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225"/>
  <workbookPr autoCompressPictures="0"/>
  <bookViews>
    <workbookView xWindow="0" yWindow="0" windowWidth="25600" windowHeight="16020" tabRatio="845" activeTab="3"/>
  </bookViews>
  <sheets>
    <sheet name="CONSOLIDADO" sheetId="4" r:id="rId1"/>
    <sheet name="INGRESOS MICRODEPOSITO" sheetId="6" r:id="rId2"/>
    <sheet name="PRICING" sheetId="10" r:id="rId3"/>
    <sheet name="ESTIMACION DE DEMANDA" sheetId="11" r:id="rId4"/>
    <sheet name="EGRESOS MICRODEP." sheetId="1" r:id="rId5"/>
    <sheet name="EGRESOS WAREHOUSE" sheetId="2" r:id="rId6"/>
    <sheet name="PAYROLL MENSUAL" sheetId="5" r:id="rId7"/>
    <sheet name="INVERSION INICIAL" sheetId="3" r:id="rId8"/>
    <sheet name="VOLUMETRIA" sheetId="7" r:id="rId9"/>
    <sheet name="CALCULO WACC" sheetId="8" r:id="rId10"/>
    <sheet name="CAPITALIZACIÓN" sheetId="9" r:id="rId11"/>
    <sheet name="MODELO DE COLAS NORMAL" sheetId="12" r:id="rId12"/>
    <sheet name="MODELO DE COLAS PICO" sheetId="13" r:id="rId1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1" i="11" l="1"/>
  <c r="B20" i="11"/>
  <c r="C18" i="11"/>
  <c r="B6" i="6"/>
  <c r="B20" i="1"/>
  <c r="L13" i="13"/>
  <c r="A19" i="13"/>
  <c r="A20" i="13"/>
  <c r="A21" i="13"/>
  <c r="A22" i="13"/>
  <c r="H22" i="13"/>
  <c r="J19" i="13"/>
  <c r="K19" i="13"/>
  <c r="J20" i="13"/>
  <c r="K20" i="13"/>
  <c r="J21" i="13"/>
  <c r="K21" i="13"/>
  <c r="J22" i="13"/>
  <c r="F22" i="13"/>
  <c r="B22" i="13"/>
  <c r="D22" i="13"/>
  <c r="M22" i="13"/>
  <c r="A23" i="13"/>
  <c r="H23" i="13"/>
  <c r="K22" i="13"/>
  <c r="J23" i="13"/>
  <c r="F23" i="13"/>
  <c r="B23" i="13"/>
  <c r="D23" i="13"/>
  <c r="M23" i="13"/>
  <c r="K23" i="13"/>
  <c r="A24" i="13"/>
  <c r="J24" i="13"/>
  <c r="K24" i="13"/>
  <c r="A25" i="13"/>
  <c r="J25" i="13"/>
  <c r="K25" i="13"/>
  <c r="A26" i="13"/>
  <c r="J26" i="13"/>
  <c r="K26" i="13"/>
  <c r="A27" i="13"/>
  <c r="J27" i="13"/>
  <c r="K27" i="13"/>
  <c r="A28" i="13"/>
  <c r="J28" i="13"/>
  <c r="K28" i="13"/>
  <c r="A29" i="13"/>
  <c r="J29" i="13"/>
  <c r="K29" i="13"/>
  <c r="A30" i="13"/>
  <c r="J30" i="13"/>
  <c r="K30" i="13"/>
  <c r="A31" i="13"/>
  <c r="J31" i="13"/>
  <c r="K31" i="13"/>
  <c r="A32" i="13"/>
  <c r="J32" i="13"/>
  <c r="K32" i="13"/>
  <c r="A33" i="13"/>
  <c r="J33" i="13"/>
  <c r="K33" i="13"/>
  <c r="A34" i="13"/>
  <c r="J34" i="13"/>
  <c r="K34" i="13"/>
  <c r="A35" i="13"/>
  <c r="J35" i="13"/>
  <c r="K35" i="13"/>
  <c r="A36" i="13"/>
  <c r="J36" i="13"/>
  <c r="K36" i="13"/>
  <c r="A37" i="13"/>
  <c r="J37" i="13"/>
  <c r="K37" i="13"/>
  <c r="A38" i="13"/>
  <c r="J38" i="13"/>
  <c r="K38" i="13"/>
  <c r="A39" i="13"/>
  <c r="J39" i="13"/>
  <c r="K39" i="13"/>
  <c r="A40" i="13"/>
  <c r="J40" i="13"/>
  <c r="K40" i="13"/>
  <c r="A41" i="13"/>
  <c r="J41" i="13"/>
  <c r="K41" i="13"/>
  <c r="A42" i="13"/>
  <c r="J42" i="13"/>
  <c r="K42" i="13"/>
  <c r="A43" i="13"/>
  <c r="J43" i="13"/>
  <c r="K43" i="13"/>
  <c r="A44" i="13"/>
  <c r="J44" i="13"/>
  <c r="K44" i="13"/>
  <c r="A45" i="13"/>
  <c r="J45" i="13"/>
  <c r="K45" i="13"/>
  <c r="A46" i="13"/>
  <c r="J46" i="13"/>
  <c r="K46" i="13"/>
  <c r="A47" i="13"/>
  <c r="J47" i="13"/>
  <c r="K47" i="13"/>
  <c r="A48" i="13"/>
  <c r="J48" i="13"/>
  <c r="K48" i="13"/>
  <c r="A49" i="13"/>
  <c r="J49" i="13"/>
  <c r="K49" i="13"/>
  <c r="A50" i="13"/>
  <c r="J50" i="13"/>
  <c r="K50" i="13"/>
  <c r="A51" i="13"/>
  <c r="J51" i="13"/>
  <c r="K51" i="13"/>
  <c r="A52" i="13"/>
  <c r="J52" i="13"/>
  <c r="K52" i="13"/>
  <c r="A53" i="13"/>
  <c r="J53" i="13"/>
  <c r="K53" i="13"/>
  <c r="A54" i="13"/>
  <c r="J54" i="13"/>
  <c r="K54" i="13"/>
  <c r="A55" i="13"/>
  <c r="J55" i="13"/>
  <c r="K55" i="13"/>
  <c r="A56" i="13"/>
  <c r="J56" i="13"/>
  <c r="K56" i="13"/>
  <c r="A57" i="13"/>
  <c r="J57" i="13"/>
  <c r="K57" i="13"/>
  <c r="A58" i="13"/>
  <c r="J58" i="13"/>
  <c r="K58" i="13"/>
  <c r="A59" i="13"/>
  <c r="J59" i="13"/>
  <c r="K59" i="13"/>
  <c r="A60" i="13"/>
  <c r="J60" i="13"/>
  <c r="K60" i="13"/>
  <c r="A61" i="13"/>
  <c r="J61" i="13"/>
  <c r="K61" i="13"/>
  <c r="A62" i="13"/>
  <c r="J62" i="13"/>
  <c r="K62" i="13"/>
  <c r="A63" i="13"/>
  <c r="J63" i="13"/>
  <c r="K63" i="13"/>
  <c r="A64" i="13"/>
  <c r="J64" i="13"/>
  <c r="K64" i="13"/>
  <c r="A65" i="13"/>
  <c r="J65" i="13"/>
  <c r="K65" i="13"/>
  <c r="A66" i="13"/>
  <c r="J66" i="13"/>
  <c r="K66" i="13"/>
  <c r="A67" i="13"/>
  <c r="J67" i="13"/>
  <c r="K67" i="13"/>
  <c r="A68" i="13"/>
  <c r="J68" i="13"/>
  <c r="K68" i="13"/>
  <c r="A69" i="13"/>
  <c r="J69" i="13"/>
  <c r="K69" i="13"/>
  <c r="A70" i="13"/>
  <c r="J70" i="13"/>
  <c r="K70" i="13"/>
  <c r="A71" i="13"/>
  <c r="J71" i="13"/>
  <c r="K71" i="13"/>
  <c r="A72" i="13"/>
  <c r="J72" i="13"/>
  <c r="K72" i="13"/>
  <c r="A73" i="13"/>
  <c r="J73" i="13"/>
  <c r="K73" i="13"/>
  <c r="A74" i="13"/>
  <c r="J74" i="13"/>
  <c r="K74" i="13"/>
  <c r="A75" i="13"/>
  <c r="J75" i="13"/>
  <c r="K75" i="13"/>
  <c r="A76" i="13"/>
  <c r="J76" i="13"/>
  <c r="K76" i="13"/>
  <c r="A77" i="13"/>
  <c r="J77" i="13"/>
  <c r="K77" i="13"/>
  <c r="A78" i="13"/>
  <c r="J78" i="13"/>
  <c r="K78" i="13"/>
  <c r="A79" i="13"/>
  <c r="J79" i="13"/>
  <c r="K79" i="13"/>
  <c r="A80" i="13"/>
  <c r="J80" i="13"/>
  <c r="K80" i="13"/>
  <c r="A81" i="13"/>
  <c r="J81" i="13"/>
  <c r="K81" i="13"/>
  <c r="A82" i="13"/>
  <c r="J82" i="13"/>
  <c r="K82" i="13"/>
  <c r="A83" i="13"/>
  <c r="J83" i="13"/>
  <c r="K83" i="13"/>
  <c r="A84" i="13"/>
  <c r="J84" i="13"/>
  <c r="K84" i="13"/>
  <c r="A85" i="13"/>
  <c r="J85" i="13"/>
  <c r="K85" i="13"/>
  <c r="A86" i="13"/>
  <c r="J86" i="13"/>
  <c r="K86" i="13"/>
  <c r="A87" i="13"/>
  <c r="J87" i="13"/>
  <c r="K87" i="13"/>
  <c r="A88" i="13"/>
  <c r="J88" i="13"/>
  <c r="K88" i="13"/>
  <c r="A89" i="13"/>
  <c r="J89" i="13"/>
  <c r="K89" i="13"/>
  <c r="A90" i="13"/>
  <c r="J90" i="13"/>
  <c r="K90" i="13"/>
  <c r="A91" i="13"/>
  <c r="J91" i="13"/>
  <c r="K91" i="13"/>
  <c r="A92" i="13"/>
  <c r="J92" i="13"/>
  <c r="K92" i="13"/>
  <c r="A93" i="13"/>
  <c r="J93" i="13"/>
  <c r="K93" i="13"/>
  <c r="A94" i="13"/>
  <c r="J94" i="13"/>
  <c r="K94" i="13"/>
  <c r="H94" i="13"/>
  <c r="F94" i="13"/>
  <c r="G94" i="13"/>
  <c r="B94" i="13"/>
  <c r="D94" i="13"/>
  <c r="E94" i="13"/>
  <c r="C94" i="13"/>
  <c r="H93" i="13"/>
  <c r="F93" i="13"/>
  <c r="G93" i="13"/>
  <c r="B93" i="13"/>
  <c r="D93" i="13"/>
  <c r="E93" i="13"/>
  <c r="C93" i="13"/>
  <c r="H92" i="13"/>
  <c r="F92" i="13"/>
  <c r="G92" i="13"/>
  <c r="B92" i="13"/>
  <c r="D92" i="13"/>
  <c r="E92" i="13"/>
  <c r="C92" i="13"/>
  <c r="H91" i="13"/>
  <c r="F91" i="13"/>
  <c r="G91" i="13"/>
  <c r="B91" i="13"/>
  <c r="D91" i="13"/>
  <c r="E91" i="13"/>
  <c r="C91" i="13"/>
  <c r="H90" i="13"/>
  <c r="F90" i="13"/>
  <c r="G90" i="13"/>
  <c r="B90" i="13"/>
  <c r="D90" i="13"/>
  <c r="E90" i="13"/>
  <c r="C90" i="13"/>
  <c r="H89" i="13"/>
  <c r="F89" i="13"/>
  <c r="G89" i="13"/>
  <c r="B89" i="13"/>
  <c r="D89" i="13"/>
  <c r="E89" i="13"/>
  <c r="C89" i="13"/>
  <c r="H88" i="13"/>
  <c r="F88" i="13"/>
  <c r="G88" i="13"/>
  <c r="B88" i="13"/>
  <c r="D88" i="13"/>
  <c r="E88" i="13"/>
  <c r="C88" i="13"/>
  <c r="H87" i="13"/>
  <c r="F87" i="13"/>
  <c r="G87" i="13"/>
  <c r="B87" i="13"/>
  <c r="D87" i="13"/>
  <c r="E87" i="13"/>
  <c r="C87" i="13"/>
  <c r="H86" i="13"/>
  <c r="F86" i="13"/>
  <c r="G86" i="13"/>
  <c r="B86" i="13"/>
  <c r="D86" i="13"/>
  <c r="E86" i="13"/>
  <c r="C86" i="13"/>
  <c r="H85" i="13"/>
  <c r="F85" i="13"/>
  <c r="G85" i="13"/>
  <c r="B85" i="13"/>
  <c r="D85" i="13"/>
  <c r="E85" i="13"/>
  <c r="C85" i="13"/>
  <c r="H84" i="13"/>
  <c r="F84" i="13"/>
  <c r="G84" i="13"/>
  <c r="B84" i="13"/>
  <c r="D84" i="13"/>
  <c r="E84" i="13"/>
  <c r="C84" i="13"/>
  <c r="H83" i="13"/>
  <c r="F83" i="13"/>
  <c r="G83" i="13"/>
  <c r="B83" i="13"/>
  <c r="D83" i="13"/>
  <c r="E83" i="13"/>
  <c r="C83" i="13"/>
  <c r="H82" i="13"/>
  <c r="F82" i="13"/>
  <c r="G82" i="13"/>
  <c r="B82" i="13"/>
  <c r="D82" i="13"/>
  <c r="E82" i="13"/>
  <c r="C82" i="13"/>
  <c r="H81" i="13"/>
  <c r="F81" i="13"/>
  <c r="G81" i="13"/>
  <c r="B81" i="13"/>
  <c r="D81" i="13"/>
  <c r="E81" i="13"/>
  <c r="C81" i="13"/>
  <c r="H80" i="13"/>
  <c r="F80" i="13"/>
  <c r="G80" i="13"/>
  <c r="B80" i="13"/>
  <c r="D80" i="13"/>
  <c r="E80" i="13"/>
  <c r="C80" i="13"/>
  <c r="H79" i="13"/>
  <c r="F79" i="13"/>
  <c r="G79" i="13"/>
  <c r="B79" i="13"/>
  <c r="D79" i="13"/>
  <c r="E79" i="13"/>
  <c r="C79" i="13"/>
  <c r="H78" i="13"/>
  <c r="F78" i="13"/>
  <c r="G78" i="13"/>
  <c r="B78" i="13"/>
  <c r="D78" i="13"/>
  <c r="E78" i="13"/>
  <c r="C78" i="13"/>
  <c r="H77" i="13"/>
  <c r="F77" i="13"/>
  <c r="G77" i="13"/>
  <c r="B77" i="13"/>
  <c r="D77" i="13"/>
  <c r="E77" i="13"/>
  <c r="C77" i="13"/>
  <c r="H76" i="13"/>
  <c r="F76" i="13"/>
  <c r="G76" i="13"/>
  <c r="B76" i="13"/>
  <c r="D76" i="13"/>
  <c r="E76" i="13"/>
  <c r="C76" i="13"/>
  <c r="H75" i="13"/>
  <c r="F75" i="13"/>
  <c r="G75" i="13"/>
  <c r="B75" i="13"/>
  <c r="D75" i="13"/>
  <c r="E75" i="13"/>
  <c r="C75" i="13"/>
  <c r="H74" i="13"/>
  <c r="F74" i="13"/>
  <c r="G74" i="13"/>
  <c r="B74" i="13"/>
  <c r="D74" i="13"/>
  <c r="E74" i="13"/>
  <c r="C74" i="13"/>
  <c r="H73" i="13"/>
  <c r="F73" i="13"/>
  <c r="G73" i="13"/>
  <c r="B73" i="13"/>
  <c r="D73" i="13"/>
  <c r="E73" i="13"/>
  <c r="C73" i="13"/>
  <c r="H72" i="13"/>
  <c r="F72" i="13"/>
  <c r="G72" i="13"/>
  <c r="B72" i="13"/>
  <c r="D72" i="13"/>
  <c r="E72" i="13"/>
  <c r="C72" i="13"/>
  <c r="H71" i="13"/>
  <c r="F71" i="13"/>
  <c r="G71" i="13"/>
  <c r="B71" i="13"/>
  <c r="D71" i="13"/>
  <c r="E71" i="13"/>
  <c r="C71" i="13"/>
  <c r="H70" i="13"/>
  <c r="F70" i="13"/>
  <c r="G70" i="13"/>
  <c r="B70" i="13"/>
  <c r="D70" i="13"/>
  <c r="E70" i="13"/>
  <c r="C70" i="13"/>
  <c r="H69" i="13"/>
  <c r="F69" i="13"/>
  <c r="G69" i="13"/>
  <c r="B69" i="13"/>
  <c r="D69" i="13"/>
  <c r="E69" i="13"/>
  <c r="C69" i="13"/>
  <c r="H68" i="13"/>
  <c r="F68" i="13"/>
  <c r="G68" i="13"/>
  <c r="B68" i="13"/>
  <c r="D68" i="13"/>
  <c r="E68" i="13"/>
  <c r="C68" i="13"/>
  <c r="H67" i="13"/>
  <c r="F67" i="13"/>
  <c r="G67" i="13"/>
  <c r="B67" i="13"/>
  <c r="D67" i="13"/>
  <c r="E67" i="13"/>
  <c r="C67" i="13"/>
  <c r="H66" i="13"/>
  <c r="F66" i="13"/>
  <c r="G66" i="13"/>
  <c r="B66" i="13"/>
  <c r="D66" i="13"/>
  <c r="E66" i="13"/>
  <c r="C66" i="13"/>
  <c r="H65" i="13"/>
  <c r="F65" i="13"/>
  <c r="G65" i="13"/>
  <c r="B65" i="13"/>
  <c r="D65" i="13"/>
  <c r="E65" i="13"/>
  <c r="C65" i="13"/>
  <c r="H64" i="13"/>
  <c r="F64" i="13"/>
  <c r="G64" i="13"/>
  <c r="B64" i="13"/>
  <c r="D64" i="13"/>
  <c r="E64" i="13"/>
  <c r="C64" i="13"/>
  <c r="H63" i="13"/>
  <c r="F63" i="13"/>
  <c r="G63" i="13"/>
  <c r="B63" i="13"/>
  <c r="D63" i="13"/>
  <c r="E63" i="13"/>
  <c r="C63" i="13"/>
  <c r="H62" i="13"/>
  <c r="F62" i="13"/>
  <c r="G62" i="13"/>
  <c r="B62" i="13"/>
  <c r="D62" i="13"/>
  <c r="E62" i="13"/>
  <c r="C62" i="13"/>
  <c r="H61" i="13"/>
  <c r="F61" i="13"/>
  <c r="G61" i="13"/>
  <c r="B61" i="13"/>
  <c r="D61" i="13"/>
  <c r="E61" i="13"/>
  <c r="C61" i="13"/>
  <c r="H60" i="13"/>
  <c r="F60" i="13"/>
  <c r="G60" i="13"/>
  <c r="B60" i="13"/>
  <c r="D60" i="13"/>
  <c r="E60" i="13"/>
  <c r="C60" i="13"/>
  <c r="H59" i="13"/>
  <c r="F59" i="13"/>
  <c r="G59" i="13"/>
  <c r="B59" i="13"/>
  <c r="D59" i="13"/>
  <c r="E59" i="13"/>
  <c r="C59" i="13"/>
  <c r="H58" i="13"/>
  <c r="F58" i="13"/>
  <c r="G58" i="13"/>
  <c r="B58" i="13"/>
  <c r="D58" i="13"/>
  <c r="E58" i="13"/>
  <c r="C58" i="13"/>
  <c r="H57" i="13"/>
  <c r="F57" i="13"/>
  <c r="G57" i="13"/>
  <c r="B57" i="13"/>
  <c r="D57" i="13"/>
  <c r="E57" i="13"/>
  <c r="C57" i="13"/>
  <c r="H56" i="13"/>
  <c r="F56" i="13"/>
  <c r="G56" i="13"/>
  <c r="B56" i="13"/>
  <c r="D56" i="13"/>
  <c r="E56" i="13"/>
  <c r="C56" i="13"/>
  <c r="H55" i="13"/>
  <c r="F55" i="13"/>
  <c r="G55" i="13"/>
  <c r="B55" i="13"/>
  <c r="D55" i="13"/>
  <c r="E55" i="13"/>
  <c r="C55" i="13"/>
  <c r="H54" i="13"/>
  <c r="F54" i="13"/>
  <c r="G54" i="13"/>
  <c r="B54" i="13"/>
  <c r="D54" i="13"/>
  <c r="E54" i="13"/>
  <c r="C54" i="13"/>
  <c r="H53" i="13"/>
  <c r="F53" i="13"/>
  <c r="G53" i="13"/>
  <c r="B53" i="13"/>
  <c r="D53" i="13"/>
  <c r="E53" i="13"/>
  <c r="C53" i="13"/>
  <c r="H52" i="13"/>
  <c r="F52" i="13"/>
  <c r="G52" i="13"/>
  <c r="B52" i="13"/>
  <c r="D52" i="13"/>
  <c r="E52" i="13"/>
  <c r="C52" i="13"/>
  <c r="H51" i="13"/>
  <c r="F51" i="13"/>
  <c r="G51" i="13"/>
  <c r="B51" i="13"/>
  <c r="D51" i="13"/>
  <c r="E51" i="13"/>
  <c r="C51" i="13"/>
  <c r="H50" i="13"/>
  <c r="F50" i="13"/>
  <c r="G50" i="13"/>
  <c r="B50" i="13"/>
  <c r="D50" i="13"/>
  <c r="E50" i="13"/>
  <c r="C50" i="13"/>
  <c r="H49" i="13"/>
  <c r="F49" i="13"/>
  <c r="G49" i="13"/>
  <c r="B49" i="13"/>
  <c r="D49" i="13"/>
  <c r="E49" i="13"/>
  <c r="C49" i="13"/>
  <c r="H48" i="13"/>
  <c r="F48" i="13"/>
  <c r="G48" i="13"/>
  <c r="B48" i="13"/>
  <c r="D48" i="13"/>
  <c r="E48" i="13"/>
  <c r="C48" i="13"/>
  <c r="H47" i="13"/>
  <c r="F47" i="13"/>
  <c r="G47" i="13"/>
  <c r="B47" i="13"/>
  <c r="D47" i="13"/>
  <c r="E47" i="13"/>
  <c r="C47" i="13"/>
  <c r="H46" i="13"/>
  <c r="F46" i="13"/>
  <c r="G46" i="13"/>
  <c r="B46" i="13"/>
  <c r="D46" i="13"/>
  <c r="E46" i="13"/>
  <c r="C46" i="13"/>
  <c r="H45" i="13"/>
  <c r="F45" i="13"/>
  <c r="G45" i="13"/>
  <c r="B45" i="13"/>
  <c r="D45" i="13"/>
  <c r="E45" i="13"/>
  <c r="C45" i="13"/>
  <c r="H44" i="13"/>
  <c r="F44" i="13"/>
  <c r="G44" i="13"/>
  <c r="B44" i="13"/>
  <c r="D44" i="13"/>
  <c r="E44" i="13"/>
  <c r="C44" i="13"/>
  <c r="H43" i="13"/>
  <c r="F43" i="13"/>
  <c r="G43" i="13"/>
  <c r="B43" i="13"/>
  <c r="D43" i="13"/>
  <c r="E43" i="13"/>
  <c r="C43" i="13"/>
  <c r="H42" i="13"/>
  <c r="F42" i="13"/>
  <c r="G42" i="13"/>
  <c r="B42" i="13"/>
  <c r="D42" i="13"/>
  <c r="E42" i="13"/>
  <c r="C42" i="13"/>
  <c r="H41" i="13"/>
  <c r="F41" i="13"/>
  <c r="G41" i="13"/>
  <c r="B41" i="13"/>
  <c r="D41" i="13"/>
  <c r="E41" i="13"/>
  <c r="C41" i="13"/>
  <c r="H40" i="13"/>
  <c r="F40" i="13"/>
  <c r="G40" i="13"/>
  <c r="B40" i="13"/>
  <c r="D40" i="13"/>
  <c r="E40" i="13"/>
  <c r="C40" i="13"/>
  <c r="H39" i="13"/>
  <c r="F39" i="13"/>
  <c r="G39" i="13"/>
  <c r="B39" i="13"/>
  <c r="D39" i="13"/>
  <c r="E39" i="13"/>
  <c r="C39" i="13"/>
  <c r="H38" i="13"/>
  <c r="F38" i="13"/>
  <c r="G38" i="13"/>
  <c r="B38" i="13"/>
  <c r="D38" i="13"/>
  <c r="E38" i="13"/>
  <c r="C38" i="13"/>
  <c r="H37" i="13"/>
  <c r="F37" i="13"/>
  <c r="G37" i="13"/>
  <c r="B37" i="13"/>
  <c r="D37" i="13"/>
  <c r="E37" i="13"/>
  <c r="C37" i="13"/>
  <c r="H36" i="13"/>
  <c r="F36" i="13"/>
  <c r="G36" i="13"/>
  <c r="B36" i="13"/>
  <c r="D36" i="13"/>
  <c r="E36" i="13"/>
  <c r="C36" i="13"/>
  <c r="H35" i="13"/>
  <c r="F35" i="13"/>
  <c r="G35" i="13"/>
  <c r="B35" i="13"/>
  <c r="D35" i="13"/>
  <c r="E35" i="13"/>
  <c r="C35" i="13"/>
  <c r="H34" i="13"/>
  <c r="F34" i="13"/>
  <c r="G34" i="13"/>
  <c r="B34" i="13"/>
  <c r="D34" i="13"/>
  <c r="E34" i="13"/>
  <c r="C34" i="13"/>
  <c r="H33" i="13"/>
  <c r="F33" i="13"/>
  <c r="G33" i="13"/>
  <c r="B33" i="13"/>
  <c r="D33" i="13"/>
  <c r="E33" i="13"/>
  <c r="C33" i="13"/>
  <c r="H32" i="13"/>
  <c r="F32" i="13"/>
  <c r="G32" i="13"/>
  <c r="B32" i="13"/>
  <c r="D32" i="13"/>
  <c r="E32" i="13"/>
  <c r="C32" i="13"/>
  <c r="H31" i="13"/>
  <c r="F31" i="13"/>
  <c r="G31" i="13"/>
  <c r="B31" i="13"/>
  <c r="D31" i="13"/>
  <c r="E31" i="13"/>
  <c r="C31" i="13"/>
  <c r="H30" i="13"/>
  <c r="F30" i="13"/>
  <c r="G30" i="13"/>
  <c r="B30" i="13"/>
  <c r="D30" i="13"/>
  <c r="E30" i="13"/>
  <c r="C30" i="13"/>
  <c r="H29" i="13"/>
  <c r="F29" i="13"/>
  <c r="G29" i="13"/>
  <c r="B29" i="13"/>
  <c r="D29" i="13"/>
  <c r="E29" i="13"/>
  <c r="C29" i="13"/>
  <c r="H28" i="13"/>
  <c r="F28" i="13"/>
  <c r="G28" i="13"/>
  <c r="B28" i="13"/>
  <c r="D28" i="13"/>
  <c r="E28" i="13"/>
  <c r="C28" i="13"/>
  <c r="H27" i="13"/>
  <c r="F27" i="13"/>
  <c r="G27" i="13"/>
  <c r="B27" i="13"/>
  <c r="D27" i="13"/>
  <c r="E27" i="13"/>
  <c r="C27" i="13"/>
  <c r="H26" i="13"/>
  <c r="F26" i="13"/>
  <c r="G26" i="13"/>
  <c r="B26" i="13"/>
  <c r="D26" i="13"/>
  <c r="E26" i="13"/>
  <c r="C26" i="13"/>
  <c r="H25" i="13"/>
  <c r="F25" i="13"/>
  <c r="G25" i="13"/>
  <c r="B25" i="13"/>
  <c r="D25" i="13"/>
  <c r="E25" i="13"/>
  <c r="C25" i="13"/>
  <c r="H24" i="13"/>
  <c r="F24" i="13"/>
  <c r="G24" i="13"/>
  <c r="B24" i="13"/>
  <c r="D24" i="13"/>
  <c r="E24" i="13"/>
  <c r="C24" i="13"/>
  <c r="G23" i="13"/>
  <c r="E23" i="13"/>
  <c r="C23" i="13"/>
  <c r="G22" i="13"/>
  <c r="E22" i="13"/>
  <c r="C22" i="13"/>
  <c r="H21" i="13"/>
  <c r="F21" i="13"/>
  <c r="B21" i="13"/>
  <c r="D21" i="13"/>
  <c r="G21" i="13"/>
  <c r="E21" i="13"/>
  <c r="C21" i="13"/>
  <c r="H20" i="13"/>
  <c r="F20" i="13"/>
  <c r="G20" i="13"/>
  <c r="B20" i="13"/>
  <c r="D20" i="13"/>
  <c r="E20" i="13"/>
  <c r="C20" i="13"/>
  <c r="H19" i="13"/>
  <c r="G19" i="13"/>
  <c r="F19" i="13"/>
  <c r="E19" i="13"/>
  <c r="D19" i="13"/>
  <c r="C19" i="13"/>
  <c r="B19" i="13"/>
  <c r="L13" i="12"/>
  <c r="A19" i="12"/>
  <c r="A20" i="12"/>
  <c r="A21" i="12"/>
  <c r="H21" i="12"/>
  <c r="J19" i="12"/>
  <c r="K19" i="12"/>
  <c r="J20" i="12"/>
  <c r="K20" i="12"/>
  <c r="J21" i="12"/>
  <c r="F21" i="12"/>
  <c r="B21" i="12"/>
  <c r="D21" i="12"/>
  <c r="M21" i="12"/>
  <c r="K21" i="12"/>
  <c r="A22" i="12"/>
  <c r="J22" i="12"/>
  <c r="K22" i="12"/>
  <c r="A23" i="12"/>
  <c r="J23" i="12"/>
  <c r="K23" i="12"/>
  <c r="A24" i="12"/>
  <c r="J24" i="12"/>
  <c r="K24" i="12"/>
  <c r="A25" i="12"/>
  <c r="J25" i="12"/>
  <c r="K25" i="12"/>
  <c r="A26" i="12"/>
  <c r="J26" i="12"/>
  <c r="K26" i="12"/>
  <c r="A27" i="12"/>
  <c r="J27" i="12"/>
  <c r="K27" i="12"/>
  <c r="A28" i="12"/>
  <c r="J28" i="12"/>
  <c r="K28" i="12"/>
  <c r="A29" i="12"/>
  <c r="J29" i="12"/>
  <c r="K29" i="12"/>
  <c r="A30" i="12"/>
  <c r="J30" i="12"/>
  <c r="K30" i="12"/>
  <c r="A31" i="12"/>
  <c r="J31" i="12"/>
  <c r="K31" i="12"/>
  <c r="A32" i="12"/>
  <c r="J32" i="12"/>
  <c r="K32" i="12"/>
  <c r="A33" i="12"/>
  <c r="J33" i="12"/>
  <c r="K33" i="12"/>
  <c r="A34" i="12"/>
  <c r="J34" i="12"/>
  <c r="K34" i="12"/>
  <c r="A35" i="12"/>
  <c r="J35" i="12"/>
  <c r="K35" i="12"/>
  <c r="A36" i="12"/>
  <c r="J36" i="12"/>
  <c r="K36" i="12"/>
  <c r="A37" i="12"/>
  <c r="J37" i="12"/>
  <c r="K37" i="12"/>
  <c r="A38" i="12"/>
  <c r="J38" i="12"/>
  <c r="K38" i="12"/>
  <c r="A39" i="12"/>
  <c r="J39" i="12"/>
  <c r="K39" i="12"/>
  <c r="A40" i="12"/>
  <c r="J40" i="12"/>
  <c r="K40" i="12"/>
  <c r="A41" i="12"/>
  <c r="J41" i="12"/>
  <c r="K41" i="12"/>
  <c r="A42" i="12"/>
  <c r="J42" i="12"/>
  <c r="K42" i="12"/>
  <c r="A43" i="12"/>
  <c r="J43" i="12"/>
  <c r="K43" i="12"/>
  <c r="A44" i="12"/>
  <c r="J44" i="12"/>
  <c r="K44" i="12"/>
  <c r="A45" i="12"/>
  <c r="J45" i="12"/>
  <c r="K45" i="12"/>
  <c r="A46" i="12"/>
  <c r="J46" i="12"/>
  <c r="K46" i="12"/>
  <c r="A47" i="12"/>
  <c r="J47" i="12"/>
  <c r="K47" i="12"/>
  <c r="A48" i="12"/>
  <c r="J48" i="12"/>
  <c r="K48" i="12"/>
  <c r="A49" i="12"/>
  <c r="J49" i="12"/>
  <c r="K49" i="12"/>
  <c r="A50" i="12"/>
  <c r="J50" i="12"/>
  <c r="K50" i="12"/>
  <c r="A51" i="12"/>
  <c r="J51" i="12"/>
  <c r="K51" i="12"/>
  <c r="A52" i="12"/>
  <c r="J52" i="12"/>
  <c r="K52" i="12"/>
  <c r="A53" i="12"/>
  <c r="J53" i="12"/>
  <c r="K53" i="12"/>
  <c r="A54" i="12"/>
  <c r="J54" i="12"/>
  <c r="K54" i="12"/>
  <c r="A55" i="12"/>
  <c r="J55" i="12"/>
  <c r="K55" i="12"/>
  <c r="A56" i="12"/>
  <c r="J56" i="12"/>
  <c r="K56" i="12"/>
  <c r="A57" i="12"/>
  <c r="J57" i="12"/>
  <c r="K57" i="12"/>
  <c r="A58" i="12"/>
  <c r="J58" i="12"/>
  <c r="K58" i="12"/>
  <c r="A59" i="12"/>
  <c r="J59" i="12"/>
  <c r="K59" i="12"/>
  <c r="A60" i="12"/>
  <c r="J60" i="12"/>
  <c r="K60" i="12"/>
  <c r="A61" i="12"/>
  <c r="J61" i="12"/>
  <c r="K61" i="12"/>
  <c r="A62" i="12"/>
  <c r="J62" i="12"/>
  <c r="K62" i="12"/>
  <c r="A63" i="12"/>
  <c r="J63" i="12"/>
  <c r="K63" i="12"/>
  <c r="A64" i="12"/>
  <c r="J64" i="12"/>
  <c r="K64" i="12"/>
  <c r="A65" i="12"/>
  <c r="J65" i="12"/>
  <c r="K65" i="12"/>
  <c r="A66" i="12"/>
  <c r="J66" i="12"/>
  <c r="K66" i="12"/>
  <c r="A67" i="12"/>
  <c r="J67" i="12"/>
  <c r="K67" i="12"/>
  <c r="A68" i="12"/>
  <c r="J68" i="12"/>
  <c r="K68" i="12"/>
  <c r="A69" i="12"/>
  <c r="J69" i="12"/>
  <c r="K69" i="12"/>
  <c r="A70" i="12"/>
  <c r="J70" i="12"/>
  <c r="K70" i="12"/>
  <c r="A71" i="12"/>
  <c r="J71" i="12"/>
  <c r="K71" i="12"/>
  <c r="A72" i="12"/>
  <c r="J72" i="12"/>
  <c r="K72" i="12"/>
  <c r="A73" i="12"/>
  <c r="J73" i="12"/>
  <c r="K73" i="12"/>
  <c r="A74" i="12"/>
  <c r="J74" i="12"/>
  <c r="K74" i="12"/>
  <c r="A75" i="12"/>
  <c r="J75" i="12"/>
  <c r="K75" i="12"/>
  <c r="A76" i="12"/>
  <c r="J76" i="12"/>
  <c r="K76" i="12"/>
  <c r="A77" i="12"/>
  <c r="J77" i="12"/>
  <c r="K77" i="12"/>
  <c r="A78" i="12"/>
  <c r="J78" i="12"/>
  <c r="K78" i="12"/>
  <c r="A79" i="12"/>
  <c r="J79" i="12"/>
  <c r="K79" i="12"/>
  <c r="A80" i="12"/>
  <c r="J80" i="12"/>
  <c r="K80" i="12"/>
  <c r="A81" i="12"/>
  <c r="J81" i="12"/>
  <c r="K81" i="12"/>
  <c r="A82" i="12"/>
  <c r="J82" i="12"/>
  <c r="K82" i="12"/>
  <c r="A83" i="12"/>
  <c r="J83" i="12"/>
  <c r="K83" i="12"/>
  <c r="A84" i="12"/>
  <c r="J84" i="12"/>
  <c r="K84" i="12"/>
  <c r="A85" i="12"/>
  <c r="J85" i="12"/>
  <c r="K85" i="12"/>
  <c r="A86" i="12"/>
  <c r="J86" i="12"/>
  <c r="K86" i="12"/>
  <c r="A87" i="12"/>
  <c r="J87" i="12"/>
  <c r="K87" i="12"/>
  <c r="A88" i="12"/>
  <c r="J88" i="12"/>
  <c r="K88" i="12"/>
  <c r="A89" i="12"/>
  <c r="J89" i="12"/>
  <c r="K89" i="12"/>
  <c r="A90" i="12"/>
  <c r="J90" i="12"/>
  <c r="K90" i="12"/>
  <c r="A91" i="12"/>
  <c r="J91" i="12"/>
  <c r="K91" i="12"/>
  <c r="A92" i="12"/>
  <c r="J92" i="12"/>
  <c r="K92" i="12"/>
  <c r="A93" i="12"/>
  <c r="J93" i="12"/>
  <c r="K93" i="12"/>
  <c r="A94" i="12"/>
  <c r="J94" i="12"/>
  <c r="K94" i="12"/>
  <c r="H94" i="12"/>
  <c r="F94" i="12"/>
  <c r="G94" i="12"/>
  <c r="B94" i="12"/>
  <c r="D94" i="12"/>
  <c r="E94" i="12"/>
  <c r="C94" i="12"/>
  <c r="H93" i="12"/>
  <c r="F93" i="12"/>
  <c r="G93" i="12"/>
  <c r="B93" i="12"/>
  <c r="D93" i="12"/>
  <c r="E93" i="12"/>
  <c r="C93" i="12"/>
  <c r="H92" i="12"/>
  <c r="F92" i="12"/>
  <c r="G92" i="12"/>
  <c r="B92" i="12"/>
  <c r="D92" i="12"/>
  <c r="E92" i="12"/>
  <c r="C92" i="12"/>
  <c r="H91" i="12"/>
  <c r="F91" i="12"/>
  <c r="G91" i="12"/>
  <c r="B91" i="12"/>
  <c r="D91" i="12"/>
  <c r="E91" i="12"/>
  <c r="C91" i="12"/>
  <c r="H90" i="12"/>
  <c r="F90" i="12"/>
  <c r="G90" i="12"/>
  <c r="B90" i="12"/>
  <c r="D90" i="12"/>
  <c r="E90" i="12"/>
  <c r="C90" i="12"/>
  <c r="H89" i="12"/>
  <c r="F89" i="12"/>
  <c r="G89" i="12"/>
  <c r="B89" i="12"/>
  <c r="D89" i="12"/>
  <c r="E89" i="12"/>
  <c r="C89" i="12"/>
  <c r="H88" i="12"/>
  <c r="F88" i="12"/>
  <c r="G88" i="12"/>
  <c r="B88" i="12"/>
  <c r="D88" i="12"/>
  <c r="E88" i="12"/>
  <c r="C88" i="12"/>
  <c r="H87" i="12"/>
  <c r="F87" i="12"/>
  <c r="G87" i="12"/>
  <c r="B87" i="12"/>
  <c r="D87" i="12"/>
  <c r="E87" i="12"/>
  <c r="C87" i="12"/>
  <c r="H86" i="12"/>
  <c r="F86" i="12"/>
  <c r="G86" i="12"/>
  <c r="B86" i="12"/>
  <c r="D86" i="12"/>
  <c r="E86" i="12"/>
  <c r="C86" i="12"/>
  <c r="H85" i="12"/>
  <c r="F85" i="12"/>
  <c r="G85" i="12"/>
  <c r="B85" i="12"/>
  <c r="D85" i="12"/>
  <c r="E85" i="12"/>
  <c r="C85" i="12"/>
  <c r="H84" i="12"/>
  <c r="F84" i="12"/>
  <c r="G84" i="12"/>
  <c r="B84" i="12"/>
  <c r="D84" i="12"/>
  <c r="E84" i="12"/>
  <c r="C84" i="12"/>
  <c r="H83" i="12"/>
  <c r="F83" i="12"/>
  <c r="G83" i="12"/>
  <c r="B83" i="12"/>
  <c r="D83" i="12"/>
  <c r="E83" i="12"/>
  <c r="C83" i="12"/>
  <c r="H82" i="12"/>
  <c r="F82" i="12"/>
  <c r="G82" i="12"/>
  <c r="B82" i="12"/>
  <c r="D82" i="12"/>
  <c r="E82" i="12"/>
  <c r="C82" i="12"/>
  <c r="H81" i="12"/>
  <c r="F81" i="12"/>
  <c r="G81" i="12"/>
  <c r="B81" i="12"/>
  <c r="D81" i="12"/>
  <c r="E81" i="12"/>
  <c r="C81" i="12"/>
  <c r="H80" i="12"/>
  <c r="F80" i="12"/>
  <c r="G80" i="12"/>
  <c r="B80" i="12"/>
  <c r="D80" i="12"/>
  <c r="E80" i="12"/>
  <c r="C80" i="12"/>
  <c r="H79" i="12"/>
  <c r="F79" i="12"/>
  <c r="G79" i="12"/>
  <c r="B79" i="12"/>
  <c r="D79" i="12"/>
  <c r="E79" i="12"/>
  <c r="C79" i="12"/>
  <c r="H78" i="12"/>
  <c r="F78" i="12"/>
  <c r="G78" i="12"/>
  <c r="B78" i="12"/>
  <c r="D78" i="12"/>
  <c r="E78" i="12"/>
  <c r="C78" i="12"/>
  <c r="H77" i="12"/>
  <c r="F77" i="12"/>
  <c r="G77" i="12"/>
  <c r="B77" i="12"/>
  <c r="D77" i="12"/>
  <c r="E77" i="12"/>
  <c r="C77" i="12"/>
  <c r="H76" i="12"/>
  <c r="F76" i="12"/>
  <c r="G76" i="12"/>
  <c r="B76" i="12"/>
  <c r="D76" i="12"/>
  <c r="E76" i="12"/>
  <c r="C76" i="12"/>
  <c r="H75" i="12"/>
  <c r="F75" i="12"/>
  <c r="G75" i="12"/>
  <c r="B75" i="12"/>
  <c r="D75" i="12"/>
  <c r="E75" i="12"/>
  <c r="C75" i="12"/>
  <c r="H74" i="12"/>
  <c r="F74" i="12"/>
  <c r="G74" i="12"/>
  <c r="B74" i="12"/>
  <c r="D74" i="12"/>
  <c r="E74" i="12"/>
  <c r="C74" i="12"/>
  <c r="H73" i="12"/>
  <c r="F73" i="12"/>
  <c r="G73" i="12"/>
  <c r="B73" i="12"/>
  <c r="D73" i="12"/>
  <c r="E73" i="12"/>
  <c r="C73" i="12"/>
  <c r="H72" i="12"/>
  <c r="F72" i="12"/>
  <c r="G72" i="12"/>
  <c r="B72" i="12"/>
  <c r="D72" i="12"/>
  <c r="E72" i="12"/>
  <c r="C72" i="12"/>
  <c r="H71" i="12"/>
  <c r="F71" i="12"/>
  <c r="G71" i="12"/>
  <c r="B71" i="12"/>
  <c r="D71" i="12"/>
  <c r="E71" i="12"/>
  <c r="C71" i="12"/>
  <c r="H70" i="12"/>
  <c r="F70" i="12"/>
  <c r="G70" i="12"/>
  <c r="B70" i="12"/>
  <c r="D70" i="12"/>
  <c r="E70" i="12"/>
  <c r="C70" i="12"/>
  <c r="H69" i="12"/>
  <c r="F69" i="12"/>
  <c r="G69" i="12"/>
  <c r="B69" i="12"/>
  <c r="D69" i="12"/>
  <c r="E69" i="12"/>
  <c r="C69" i="12"/>
  <c r="H68" i="12"/>
  <c r="F68" i="12"/>
  <c r="G68" i="12"/>
  <c r="B68" i="12"/>
  <c r="D68" i="12"/>
  <c r="E68" i="12"/>
  <c r="C68" i="12"/>
  <c r="H67" i="12"/>
  <c r="F67" i="12"/>
  <c r="G67" i="12"/>
  <c r="B67" i="12"/>
  <c r="D67" i="12"/>
  <c r="E67" i="12"/>
  <c r="C67" i="12"/>
  <c r="H66" i="12"/>
  <c r="F66" i="12"/>
  <c r="G66" i="12"/>
  <c r="B66" i="12"/>
  <c r="D66" i="12"/>
  <c r="E66" i="12"/>
  <c r="C66" i="12"/>
  <c r="H65" i="12"/>
  <c r="F65" i="12"/>
  <c r="G65" i="12"/>
  <c r="B65" i="12"/>
  <c r="D65" i="12"/>
  <c r="E65" i="12"/>
  <c r="C65" i="12"/>
  <c r="H64" i="12"/>
  <c r="F64" i="12"/>
  <c r="G64" i="12"/>
  <c r="B64" i="12"/>
  <c r="D64" i="12"/>
  <c r="E64" i="12"/>
  <c r="C64" i="12"/>
  <c r="H63" i="12"/>
  <c r="F63" i="12"/>
  <c r="G63" i="12"/>
  <c r="B63" i="12"/>
  <c r="D63" i="12"/>
  <c r="E63" i="12"/>
  <c r="C63" i="12"/>
  <c r="H62" i="12"/>
  <c r="F62" i="12"/>
  <c r="G62" i="12"/>
  <c r="B62" i="12"/>
  <c r="D62" i="12"/>
  <c r="E62" i="12"/>
  <c r="C62" i="12"/>
  <c r="H61" i="12"/>
  <c r="F61" i="12"/>
  <c r="G61" i="12"/>
  <c r="B61" i="12"/>
  <c r="D61" i="12"/>
  <c r="E61" i="12"/>
  <c r="C61" i="12"/>
  <c r="H60" i="12"/>
  <c r="F60" i="12"/>
  <c r="G60" i="12"/>
  <c r="B60" i="12"/>
  <c r="D60" i="12"/>
  <c r="E60" i="12"/>
  <c r="C60" i="12"/>
  <c r="H59" i="12"/>
  <c r="F59" i="12"/>
  <c r="G59" i="12"/>
  <c r="B59" i="12"/>
  <c r="D59" i="12"/>
  <c r="E59" i="12"/>
  <c r="C59" i="12"/>
  <c r="H58" i="12"/>
  <c r="F58" i="12"/>
  <c r="G58" i="12"/>
  <c r="B58" i="12"/>
  <c r="D58" i="12"/>
  <c r="E58" i="12"/>
  <c r="C58" i="12"/>
  <c r="H57" i="12"/>
  <c r="F57" i="12"/>
  <c r="G57" i="12"/>
  <c r="B57" i="12"/>
  <c r="D57" i="12"/>
  <c r="E57" i="12"/>
  <c r="C57" i="12"/>
  <c r="H56" i="12"/>
  <c r="F56" i="12"/>
  <c r="G56" i="12"/>
  <c r="B56" i="12"/>
  <c r="D56" i="12"/>
  <c r="E56" i="12"/>
  <c r="C56" i="12"/>
  <c r="H55" i="12"/>
  <c r="F55" i="12"/>
  <c r="G55" i="12"/>
  <c r="B55" i="12"/>
  <c r="D55" i="12"/>
  <c r="E55" i="12"/>
  <c r="C55" i="12"/>
  <c r="H54" i="12"/>
  <c r="F54" i="12"/>
  <c r="G54" i="12"/>
  <c r="B54" i="12"/>
  <c r="D54" i="12"/>
  <c r="E54" i="12"/>
  <c r="C54" i="12"/>
  <c r="H53" i="12"/>
  <c r="F53" i="12"/>
  <c r="G53" i="12"/>
  <c r="B53" i="12"/>
  <c r="D53" i="12"/>
  <c r="E53" i="12"/>
  <c r="C53" i="12"/>
  <c r="H52" i="12"/>
  <c r="F52" i="12"/>
  <c r="G52" i="12"/>
  <c r="B52" i="12"/>
  <c r="D52" i="12"/>
  <c r="E52" i="12"/>
  <c r="C52" i="12"/>
  <c r="H51" i="12"/>
  <c r="F51" i="12"/>
  <c r="G51" i="12"/>
  <c r="B51" i="12"/>
  <c r="D51" i="12"/>
  <c r="E51" i="12"/>
  <c r="C51" i="12"/>
  <c r="H50" i="12"/>
  <c r="F50" i="12"/>
  <c r="G50" i="12"/>
  <c r="B50" i="12"/>
  <c r="D50" i="12"/>
  <c r="E50" i="12"/>
  <c r="C50" i="12"/>
  <c r="H49" i="12"/>
  <c r="F49" i="12"/>
  <c r="G49" i="12"/>
  <c r="B49" i="12"/>
  <c r="D49" i="12"/>
  <c r="E49" i="12"/>
  <c r="C49" i="12"/>
  <c r="H48" i="12"/>
  <c r="F48" i="12"/>
  <c r="G48" i="12"/>
  <c r="B48" i="12"/>
  <c r="D48" i="12"/>
  <c r="E48" i="12"/>
  <c r="C48" i="12"/>
  <c r="H47" i="12"/>
  <c r="F47" i="12"/>
  <c r="G47" i="12"/>
  <c r="B47" i="12"/>
  <c r="D47" i="12"/>
  <c r="E47" i="12"/>
  <c r="C47" i="12"/>
  <c r="H46" i="12"/>
  <c r="F46" i="12"/>
  <c r="G46" i="12"/>
  <c r="B46" i="12"/>
  <c r="D46" i="12"/>
  <c r="E46" i="12"/>
  <c r="C46" i="12"/>
  <c r="H45" i="12"/>
  <c r="F45" i="12"/>
  <c r="G45" i="12"/>
  <c r="B45" i="12"/>
  <c r="D45" i="12"/>
  <c r="E45" i="12"/>
  <c r="C45" i="12"/>
  <c r="H44" i="12"/>
  <c r="F44" i="12"/>
  <c r="G44" i="12"/>
  <c r="B44" i="12"/>
  <c r="D44" i="12"/>
  <c r="E44" i="12"/>
  <c r="C44" i="12"/>
  <c r="H43" i="12"/>
  <c r="F43" i="12"/>
  <c r="G43" i="12"/>
  <c r="B43" i="12"/>
  <c r="D43" i="12"/>
  <c r="E43" i="12"/>
  <c r="C43" i="12"/>
  <c r="H42" i="12"/>
  <c r="F42" i="12"/>
  <c r="G42" i="12"/>
  <c r="B42" i="12"/>
  <c r="D42" i="12"/>
  <c r="E42" i="12"/>
  <c r="C42" i="12"/>
  <c r="H41" i="12"/>
  <c r="F41" i="12"/>
  <c r="G41" i="12"/>
  <c r="B41" i="12"/>
  <c r="D41" i="12"/>
  <c r="E41" i="12"/>
  <c r="C41" i="12"/>
  <c r="H40" i="12"/>
  <c r="F40" i="12"/>
  <c r="G40" i="12"/>
  <c r="B40" i="12"/>
  <c r="D40" i="12"/>
  <c r="E40" i="12"/>
  <c r="C40" i="12"/>
  <c r="H39" i="12"/>
  <c r="F39" i="12"/>
  <c r="G39" i="12"/>
  <c r="B39" i="12"/>
  <c r="D39" i="12"/>
  <c r="E39" i="12"/>
  <c r="C39" i="12"/>
  <c r="H38" i="12"/>
  <c r="F38" i="12"/>
  <c r="G38" i="12"/>
  <c r="B38" i="12"/>
  <c r="D38" i="12"/>
  <c r="E38" i="12"/>
  <c r="C38" i="12"/>
  <c r="H37" i="12"/>
  <c r="F37" i="12"/>
  <c r="G37" i="12"/>
  <c r="B37" i="12"/>
  <c r="D37" i="12"/>
  <c r="E37" i="12"/>
  <c r="C37" i="12"/>
  <c r="H36" i="12"/>
  <c r="F36" i="12"/>
  <c r="G36" i="12"/>
  <c r="B36" i="12"/>
  <c r="D36" i="12"/>
  <c r="E36" i="12"/>
  <c r="C36" i="12"/>
  <c r="H35" i="12"/>
  <c r="F35" i="12"/>
  <c r="G35" i="12"/>
  <c r="B35" i="12"/>
  <c r="D35" i="12"/>
  <c r="E35" i="12"/>
  <c r="C35" i="12"/>
  <c r="H34" i="12"/>
  <c r="F34" i="12"/>
  <c r="G34" i="12"/>
  <c r="B34" i="12"/>
  <c r="D34" i="12"/>
  <c r="E34" i="12"/>
  <c r="C34" i="12"/>
  <c r="H33" i="12"/>
  <c r="F33" i="12"/>
  <c r="G33" i="12"/>
  <c r="B33" i="12"/>
  <c r="D33" i="12"/>
  <c r="E33" i="12"/>
  <c r="C33" i="12"/>
  <c r="H32" i="12"/>
  <c r="F32" i="12"/>
  <c r="G32" i="12"/>
  <c r="B32" i="12"/>
  <c r="D32" i="12"/>
  <c r="E32" i="12"/>
  <c r="C32" i="12"/>
  <c r="H31" i="12"/>
  <c r="F31" i="12"/>
  <c r="G31" i="12"/>
  <c r="B31" i="12"/>
  <c r="D31" i="12"/>
  <c r="E31" i="12"/>
  <c r="C31" i="12"/>
  <c r="H30" i="12"/>
  <c r="F30" i="12"/>
  <c r="G30" i="12"/>
  <c r="B30" i="12"/>
  <c r="D30" i="12"/>
  <c r="E30" i="12"/>
  <c r="C30" i="12"/>
  <c r="H29" i="12"/>
  <c r="F29" i="12"/>
  <c r="G29" i="12"/>
  <c r="B29" i="12"/>
  <c r="D29" i="12"/>
  <c r="E29" i="12"/>
  <c r="C29" i="12"/>
  <c r="H28" i="12"/>
  <c r="F28" i="12"/>
  <c r="G28" i="12"/>
  <c r="B28" i="12"/>
  <c r="D28" i="12"/>
  <c r="E28" i="12"/>
  <c r="C28" i="12"/>
  <c r="H27" i="12"/>
  <c r="F27" i="12"/>
  <c r="G27" i="12"/>
  <c r="B27" i="12"/>
  <c r="D27" i="12"/>
  <c r="E27" i="12"/>
  <c r="C27" i="12"/>
  <c r="H26" i="12"/>
  <c r="F26" i="12"/>
  <c r="G26" i="12"/>
  <c r="B26" i="12"/>
  <c r="D26" i="12"/>
  <c r="E26" i="12"/>
  <c r="C26" i="12"/>
  <c r="H25" i="12"/>
  <c r="F25" i="12"/>
  <c r="G25" i="12"/>
  <c r="B25" i="12"/>
  <c r="D25" i="12"/>
  <c r="E25" i="12"/>
  <c r="C25" i="12"/>
  <c r="H24" i="12"/>
  <c r="F24" i="12"/>
  <c r="G24" i="12"/>
  <c r="B24" i="12"/>
  <c r="D24" i="12"/>
  <c r="E24" i="12"/>
  <c r="C24" i="12"/>
  <c r="H23" i="12"/>
  <c r="F23" i="12"/>
  <c r="G23" i="12"/>
  <c r="B23" i="12"/>
  <c r="D23" i="12"/>
  <c r="E23" i="12"/>
  <c r="C23" i="12"/>
  <c r="H22" i="12"/>
  <c r="F22" i="12"/>
  <c r="G22" i="12"/>
  <c r="B22" i="12"/>
  <c r="D22" i="12"/>
  <c r="E22" i="12"/>
  <c r="C22" i="12"/>
  <c r="G21" i="12"/>
  <c r="E21" i="12"/>
  <c r="C21" i="12"/>
  <c r="H20" i="12"/>
  <c r="F20" i="12"/>
  <c r="G20" i="12"/>
  <c r="B20" i="12"/>
  <c r="D20" i="12"/>
  <c r="E20" i="12"/>
  <c r="C20" i="12"/>
  <c r="H19" i="12"/>
  <c r="G19" i="12"/>
  <c r="F19" i="12"/>
  <c r="E19" i="12"/>
  <c r="D19" i="12"/>
  <c r="C19" i="12"/>
  <c r="B19" i="12"/>
  <c r="B10" i="1"/>
  <c r="B17" i="1"/>
  <c r="F7" i="5"/>
  <c r="F19" i="5"/>
  <c r="B11" i="1"/>
  <c r="B18" i="1"/>
  <c r="B19" i="1"/>
  <c r="B6" i="7"/>
  <c r="B10" i="7"/>
  <c r="B21" i="1"/>
  <c r="B25" i="1"/>
  <c r="B23" i="4"/>
  <c r="B7" i="7"/>
  <c r="B8" i="7"/>
  <c r="B12" i="7"/>
  <c r="B14" i="7"/>
  <c r="B15" i="7"/>
  <c r="B4" i="2"/>
  <c r="B13" i="5"/>
  <c r="B19" i="5"/>
  <c r="B11" i="2"/>
  <c r="B16" i="7"/>
  <c r="B12" i="2"/>
  <c r="B16" i="2"/>
  <c r="B24" i="4"/>
  <c r="F14" i="4"/>
  <c r="F5" i="3"/>
  <c r="F6" i="3"/>
  <c r="F20" i="3"/>
  <c r="F13" i="4"/>
  <c r="F9" i="4"/>
  <c r="B6" i="10"/>
  <c r="B8" i="6"/>
  <c r="B13" i="6"/>
  <c r="B9" i="6"/>
  <c r="B14" i="6"/>
  <c r="B10" i="6"/>
  <c r="B7" i="6"/>
  <c r="B15" i="6"/>
  <c r="B16" i="6"/>
  <c r="B12" i="4"/>
  <c r="B17" i="7"/>
  <c r="F13" i="6"/>
  <c r="F14" i="6"/>
  <c r="F16" i="6"/>
  <c r="B13" i="4"/>
  <c r="B14" i="4"/>
  <c r="F10" i="4"/>
  <c r="F12" i="3"/>
  <c r="F13" i="3"/>
  <c r="F14" i="3"/>
  <c r="F16" i="3"/>
  <c r="F15" i="4"/>
  <c r="F17" i="4"/>
  <c r="F19" i="4"/>
  <c r="F20" i="4"/>
  <c r="F21" i="4"/>
  <c r="G14" i="4"/>
  <c r="G13" i="4"/>
  <c r="G9" i="4"/>
  <c r="G10" i="4"/>
  <c r="G15" i="4"/>
  <c r="G17" i="4"/>
  <c r="E13" i="4"/>
  <c r="C5" i="3"/>
  <c r="C6" i="3"/>
  <c r="C20" i="3"/>
  <c r="E12" i="4"/>
  <c r="E17" i="4"/>
  <c r="E18" i="4"/>
  <c r="F18" i="4"/>
  <c r="G18" i="4"/>
  <c r="G19" i="4"/>
  <c r="G20" i="4"/>
  <c r="G21" i="4"/>
  <c r="H14" i="4"/>
  <c r="H9" i="4"/>
  <c r="H10" i="4"/>
  <c r="H15" i="4"/>
  <c r="H17" i="4"/>
  <c r="H18" i="4"/>
  <c r="H19" i="4"/>
  <c r="H20" i="4"/>
  <c r="H21" i="4"/>
  <c r="I14" i="4"/>
  <c r="I9" i="4"/>
  <c r="I10" i="4"/>
  <c r="I15" i="4"/>
  <c r="I17" i="4"/>
  <c r="I18" i="4"/>
  <c r="I19" i="4"/>
  <c r="I20" i="4"/>
  <c r="I21" i="4"/>
  <c r="J14" i="4"/>
  <c r="J9" i="4"/>
  <c r="J10" i="4"/>
  <c r="J15" i="4"/>
  <c r="J17" i="4"/>
  <c r="J18" i="4"/>
  <c r="J19" i="4"/>
  <c r="J20" i="4"/>
  <c r="J21" i="4"/>
  <c r="E19" i="4"/>
  <c r="E20" i="4"/>
  <c r="E21" i="4"/>
  <c r="B31" i="8"/>
  <c r="B30" i="8"/>
  <c r="D31" i="8"/>
  <c r="G31" i="8"/>
  <c r="B34" i="8"/>
  <c r="B38" i="8"/>
  <c r="E30" i="4"/>
  <c r="E31" i="4"/>
  <c r="E32" i="4"/>
  <c r="E33" i="4"/>
  <c r="B19" i="9"/>
  <c r="B27" i="9"/>
  <c r="C25" i="9"/>
  <c r="B17" i="11"/>
  <c r="G14" i="8"/>
  <c r="D23" i="8"/>
  <c r="E24" i="4"/>
  <c r="E26" i="4"/>
  <c r="E25" i="4"/>
  <c r="E27" i="4"/>
  <c r="B7" i="9"/>
  <c r="B12" i="9"/>
  <c r="B24" i="9"/>
  <c r="E5" i="9"/>
  <c r="E17" i="9"/>
  <c r="B25" i="9"/>
  <c r="B26" i="9"/>
  <c r="B22" i="7"/>
  <c r="D14" i="7"/>
  <c r="B23" i="7"/>
  <c r="B24" i="7"/>
  <c r="B26" i="7"/>
  <c r="C17" i="11"/>
  <c r="D17" i="11"/>
  <c r="E17" i="11"/>
  <c r="F17" i="11"/>
  <c r="G17" i="11"/>
  <c r="G19" i="11"/>
  <c r="G18" i="11"/>
  <c r="G20" i="11"/>
  <c r="G22" i="11"/>
  <c r="G24" i="11"/>
  <c r="F19" i="11"/>
  <c r="F18" i="11"/>
  <c r="F20" i="11"/>
  <c r="F22" i="11"/>
  <c r="F24" i="11"/>
  <c r="E19" i="11"/>
  <c r="E18" i="11"/>
  <c r="E20" i="11"/>
  <c r="E22" i="11"/>
  <c r="E24" i="11"/>
  <c r="D19" i="11"/>
  <c r="D18" i="11"/>
  <c r="D20" i="11"/>
  <c r="D22" i="11"/>
  <c r="D24" i="11"/>
  <c r="C19" i="11"/>
  <c r="C20" i="11"/>
  <c r="C22" i="11"/>
  <c r="C24" i="11"/>
  <c r="G21" i="11"/>
  <c r="F21" i="11"/>
  <c r="E21" i="11"/>
  <c r="D21" i="11"/>
  <c r="C21" i="11"/>
  <c r="B19" i="11"/>
  <c r="B18" i="11"/>
  <c r="D23" i="11"/>
  <c r="E23" i="11"/>
  <c r="F23" i="11"/>
  <c r="G23" i="11"/>
  <c r="C23" i="11"/>
  <c r="B28" i="8"/>
  <c r="B29" i="8"/>
  <c r="B13" i="9"/>
  <c r="B14" i="9"/>
  <c r="E23" i="4"/>
  <c r="D13" i="3"/>
  <c r="D12" i="3"/>
  <c r="D24" i="8"/>
  <c r="D22" i="8"/>
  <c r="D21" i="8"/>
  <c r="D20" i="8"/>
</calcChain>
</file>

<file path=xl/sharedStrings.xml><?xml version="1.0" encoding="utf-8"?>
<sst xmlns="http://schemas.openxmlformats.org/spreadsheetml/2006/main" count="385" uniqueCount="304">
  <si>
    <t>Alquiler Prom. Local</t>
  </si>
  <si>
    <t>por m2</t>
  </si>
  <si>
    <t>Local Promedio</t>
  </si>
  <si>
    <t>m2</t>
  </si>
  <si>
    <t>Costo Prom</t>
  </si>
  <si>
    <t>EGRESOS</t>
  </si>
  <si>
    <t>Alquiler Mensual</t>
  </si>
  <si>
    <t>Costo Empleados</t>
  </si>
  <si>
    <t>TOTAL EGRESOS</t>
  </si>
  <si>
    <t>INVERSION INICIAL</t>
  </si>
  <si>
    <t xml:space="preserve">Administrativo </t>
  </si>
  <si>
    <t>INGRESOS</t>
  </si>
  <si>
    <t>Seguro</t>
  </si>
  <si>
    <t xml:space="preserve"> </t>
  </si>
  <si>
    <t xml:space="preserve">Servicios </t>
  </si>
  <si>
    <t>Consultoría</t>
  </si>
  <si>
    <t>Alquiler Mensual Oficina-Galpón</t>
  </si>
  <si>
    <t>COSTOS OPERATIVOS</t>
  </si>
  <si>
    <t>Chofer camioneta x 2</t>
  </si>
  <si>
    <t>EGRESO MENSUAL</t>
  </si>
  <si>
    <t>Call Center tercerizado</t>
  </si>
  <si>
    <t>Contable + Jurídica</t>
  </si>
  <si>
    <t>Servicios de IT (mant + desarrollo)</t>
  </si>
  <si>
    <t>Desarrollo sistema informático</t>
  </si>
  <si>
    <t>Compra 2 camionetas</t>
  </si>
  <si>
    <t>Compra de mobiliario</t>
  </si>
  <si>
    <t>Egresos</t>
  </si>
  <si>
    <t>Ingresos</t>
  </si>
  <si>
    <t>camionetas</t>
  </si>
  <si>
    <t>Deposito de Garantía</t>
  </si>
  <si>
    <t>Comisión por alquiler</t>
  </si>
  <si>
    <t>Instalación del Warehouse</t>
  </si>
  <si>
    <t>OFICINA Y WAREHOUSE</t>
  </si>
  <si>
    <t>Consultoría Contable y Jurídica Inicial</t>
  </si>
  <si>
    <t>TOTAL</t>
  </si>
  <si>
    <t>POR MICRODEPOSITO</t>
  </si>
  <si>
    <t>Instalación - Mobiliario</t>
  </si>
  <si>
    <t>Consultoría RRHH</t>
  </si>
  <si>
    <t>EGRESOS MENSUALES WAREHOUSE</t>
  </si>
  <si>
    <t>COSTOS DE PERSONAL</t>
  </si>
  <si>
    <t>Gerente General</t>
  </si>
  <si>
    <t>Gerente de Logística y operaciones</t>
  </si>
  <si>
    <t>Gerente de Administración y Finanzas</t>
  </si>
  <si>
    <t>Gerente de IT</t>
  </si>
  <si>
    <t>Gerente Comercial</t>
  </si>
  <si>
    <t>Gerente de Atención al Público</t>
  </si>
  <si>
    <t>Jefe de Warehouse</t>
  </si>
  <si>
    <t>Operadores Warehouse (x3)</t>
  </si>
  <si>
    <t>SUELDOS BRUTOS</t>
  </si>
  <si>
    <t>NOMINA WAREHOUSE + OFICINA CENTRAL</t>
  </si>
  <si>
    <t>NOMINA MICRODEPOSITO</t>
  </si>
  <si>
    <t>Encargado Deposito</t>
  </si>
  <si>
    <t>Subencargado</t>
  </si>
  <si>
    <t xml:space="preserve">Operarios </t>
  </si>
  <si>
    <t xml:space="preserve">  </t>
  </si>
  <si>
    <t>Payroll microdepósito</t>
  </si>
  <si>
    <t>(sale de la otra hoja)</t>
  </si>
  <si>
    <t>DATOS</t>
  </si>
  <si>
    <t>CALCULO DE INGRESOS POR MICRODEPOSITO</t>
  </si>
  <si>
    <t>Gastos Varios</t>
  </si>
  <si>
    <t>Retiros Diarios por Deposito</t>
  </si>
  <si>
    <t>Envíos Diarios a Domicilio</t>
  </si>
  <si>
    <t>Costo Envío a Domicilio</t>
  </si>
  <si>
    <t>(Esto es el valor de un cadete tercerizado - elogistica)</t>
  </si>
  <si>
    <t>Envíos a Domicilio</t>
  </si>
  <si>
    <t>(ver cantidad de envíos en otra hoja)</t>
  </si>
  <si>
    <t>Precio Venta Retiro en Depósito</t>
  </si>
  <si>
    <t>Precio Venta Envío a Domicilio</t>
  </si>
  <si>
    <t>Retiro En Tienda</t>
  </si>
  <si>
    <t>Envío a Domicilio</t>
  </si>
  <si>
    <t>Días abierto por mes</t>
  </si>
  <si>
    <t>TOTAL INGRESOS</t>
  </si>
  <si>
    <t>INGRESOS POR WAREHOUSE</t>
  </si>
  <si>
    <t>Retiro de Devoluciones</t>
  </si>
  <si>
    <t>Por Pallet</t>
  </si>
  <si>
    <t>Stock Administrado Mensual</t>
  </si>
  <si>
    <t>Cantidad de Devoluciones</t>
  </si>
  <si>
    <t>En pallets retirados x mes</t>
  </si>
  <si>
    <t>Almac. Stock</t>
  </si>
  <si>
    <t>Devoluciones</t>
  </si>
  <si>
    <t>Stock almacenado + de 7 días</t>
  </si>
  <si>
    <t>FLUJO COMPLETO</t>
  </si>
  <si>
    <t>Ingresos Microdepósitos</t>
  </si>
  <si>
    <t>Ingreso Warehouse</t>
  </si>
  <si>
    <t>INGRESOS ANUALES</t>
  </si>
  <si>
    <t>EGRESOS ANUALES</t>
  </si>
  <si>
    <t>Egresos Microdepósitos</t>
  </si>
  <si>
    <t>Egreso Warehouse</t>
  </si>
  <si>
    <t>Payroll Mensual</t>
  </si>
  <si>
    <t>Ver Hoja de Payroll</t>
  </si>
  <si>
    <t>Total Ingresos</t>
  </si>
  <si>
    <t>Ingresos Anuales</t>
  </si>
  <si>
    <t>Egresos Anuales</t>
  </si>
  <si>
    <t>Inversión Inicial Warehouse</t>
  </si>
  <si>
    <t>Inversión Inicial Microdep.</t>
  </si>
  <si>
    <t>TIR</t>
  </si>
  <si>
    <t>FLUJO DE FONDOS DESCONTADO</t>
  </si>
  <si>
    <t>(Máxima venta)</t>
  </si>
  <si>
    <t>Cargas Sociales</t>
  </si>
  <si>
    <t>Cajas de Zapato x m2</t>
  </si>
  <si>
    <t>Micro Deposito</t>
  </si>
  <si>
    <t>Factor Ocupación</t>
  </si>
  <si>
    <t>Cantidad de Paquetes x Microdep.</t>
  </si>
  <si>
    <t>Venta Diaria Máxima</t>
  </si>
  <si>
    <t>Días de Stock</t>
  </si>
  <si>
    <t>MICRODEPOSITO</t>
  </si>
  <si>
    <t>WAREHOUSE CENTRAL</t>
  </si>
  <si>
    <t>Cantidad de Microdepósitos</t>
  </si>
  <si>
    <t>Stock Promedio Almacenado</t>
  </si>
  <si>
    <t>Días</t>
  </si>
  <si>
    <t>Stock para los Microdepósitos</t>
  </si>
  <si>
    <t>Paquetes</t>
  </si>
  <si>
    <t>Tamaño del Warehouse</t>
  </si>
  <si>
    <t>(Cant. Entregas diarias promedio x depósito)</t>
  </si>
  <si>
    <t>DATOS DAMODARAN</t>
  </si>
  <si>
    <t>Industry</t>
  </si>
  <si>
    <t xml:space="preserve">Beta </t>
  </si>
  <si>
    <t>D/E Ratio</t>
  </si>
  <si>
    <t>Tax rate</t>
  </si>
  <si>
    <t>Unlevered beta</t>
  </si>
  <si>
    <t>Cash/Firm value</t>
  </si>
  <si>
    <t>Unlevered beta corrected for cash</t>
  </si>
  <si>
    <t>HiLo Risk</t>
  </si>
  <si>
    <t>Standard deviation of equity</t>
  </si>
  <si>
    <t>Cost of Equity (Damodaran)</t>
  </si>
  <si>
    <t>Software (Internet)</t>
  </si>
  <si>
    <t>Transportation</t>
  </si>
  <si>
    <t>UPS, FEDEX</t>
  </si>
  <si>
    <t>Retail (Distributors)</t>
  </si>
  <si>
    <t>STD DEV Total MKT</t>
  </si>
  <si>
    <t>Long Term Treasury bond rate =</t>
  </si>
  <si>
    <t>Ke</t>
  </si>
  <si>
    <t>Risk Premium to Use for Equity =</t>
  </si>
  <si>
    <t>WACC  = Ke</t>
  </si>
  <si>
    <t>Suponemos que no tomamos deuda</t>
  </si>
  <si>
    <t>WACC Standard CAPM</t>
  </si>
  <si>
    <t>Riesgo País Colombia</t>
  </si>
  <si>
    <t>Ambito</t>
  </si>
  <si>
    <t>Riesgo País Chile</t>
  </si>
  <si>
    <t>Damodaran</t>
  </si>
  <si>
    <t>Riesgo País Perú</t>
  </si>
  <si>
    <t>Riesgo País Argentina</t>
  </si>
  <si>
    <t>Riesgo País Brasil</t>
  </si>
  <si>
    <t>WACC</t>
  </si>
  <si>
    <t>Ver Hoja de WACC</t>
  </si>
  <si>
    <t>NPV</t>
  </si>
  <si>
    <t>Valor Terminal</t>
  </si>
  <si>
    <t>Crecimiento</t>
  </si>
  <si>
    <t>Enterprise Value</t>
  </si>
  <si>
    <t>BETA DESAPALANCADO (cero deuda) Transportation</t>
  </si>
  <si>
    <t>USD x m2</t>
  </si>
  <si>
    <t>TC</t>
  </si>
  <si>
    <t>Valor Promedio de STOCK</t>
  </si>
  <si>
    <t>Valor de Costo de Paquete prom.</t>
  </si>
  <si>
    <t>Valor Promedio Stock Almacenado</t>
  </si>
  <si>
    <t>Tasa de Seguro de Mercadería</t>
  </si>
  <si>
    <t>Seguro de Mercadería</t>
  </si>
  <si>
    <t>Seguro Mercadería</t>
  </si>
  <si>
    <t>Combustible + Mant. Vehiculos</t>
  </si>
  <si>
    <t>Tax</t>
  </si>
  <si>
    <t>Imp. Ganacias</t>
  </si>
  <si>
    <t>Amortizaciones</t>
  </si>
  <si>
    <t>ITEMS AMORTIZABLES - 5 AÑOS</t>
  </si>
  <si>
    <t>Microdepósitos - mobil.</t>
  </si>
  <si>
    <t>TOTAL AMORTIZ.</t>
  </si>
  <si>
    <t>Divido por 2 porque amortizo en 10 años</t>
  </si>
  <si>
    <t>EBIT</t>
  </si>
  <si>
    <t>NOPAT</t>
  </si>
  <si>
    <t>FCF</t>
  </si>
  <si>
    <t>(in USD)</t>
  </si>
  <si>
    <t>USD</t>
  </si>
  <si>
    <t>(TC)</t>
  </si>
  <si>
    <t>en USD</t>
  </si>
  <si>
    <t>in USD</t>
  </si>
  <si>
    <t>VALOR EMPRESA</t>
  </si>
  <si>
    <t>Seeding Inicial</t>
  </si>
  <si>
    <t>1ra Ronda</t>
  </si>
  <si>
    <t>Descuento en Valuación</t>
  </si>
  <si>
    <t>Valor Empresa 1ra Ronda</t>
  </si>
  <si>
    <t>CALCULO DE SEEDING Y 1ra RONDA DE CAPITALIZACIÓN</t>
  </si>
  <si>
    <t>CALCULO MODELO INTERNACIONAL - NO DIVERSIFICADO - ILIQUIDEZ</t>
  </si>
  <si>
    <t>Beta desapalancado</t>
  </si>
  <si>
    <t>Correlación R</t>
  </si>
  <si>
    <t>De la formula de Beta</t>
  </si>
  <si>
    <t>Ce</t>
  </si>
  <si>
    <t>rf US</t>
  </si>
  <si>
    <t xml:space="preserve"> + </t>
  </si>
  <si>
    <t>STDEV Sec/MK * MRP</t>
  </si>
  <si>
    <t>STDEV Sector / Market</t>
  </si>
  <si>
    <t>*</t>
  </si>
  <si>
    <t>STDEV Arg / STDEV US</t>
  </si>
  <si>
    <t>STD DEV Argentina Market</t>
  </si>
  <si>
    <t>STD DEV Transportation</t>
  </si>
  <si>
    <t>IYT ETF</t>
  </si>
  <si>
    <t>US S&amp;P500</t>
  </si>
  <si>
    <t>Burcap - Pereiro</t>
  </si>
  <si>
    <t>Cross border adjustment</t>
  </si>
  <si>
    <t xml:space="preserve">Total Beta </t>
  </si>
  <si>
    <t>+</t>
  </si>
  <si>
    <t>Prima por iliquidez y falta de control</t>
  </si>
  <si>
    <t>(ver Pereiro)</t>
  </si>
  <si>
    <t>Cd</t>
  </si>
  <si>
    <t>E/D+E</t>
  </si>
  <si>
    <t>D/D+E</t>
  </si>
  <si>
    <t>Tasa Banco USD</t>
  </si>
  <si>
    <t>% Post Money Investors</t>
  </si>
  <si>
    <t>Founders</t>
  </si>
  <si>
    <t>Según estandar del sector</t>
  </si>
  <si>
    <t>METODO DE VALUACIÓN PARA MERCADO EMERGENTE (Pereiro)</t>
  </si>
  <si>
    <t>Ver Hoja WACC</t>
  </si>
  <si>
    <t>Gestión de Devoluciones</t>
  </si>
  <si>
    <t>Precio Devoluciones</t>
  </si>
  <si>
    <t>ESQUEMA DE PRICING</t>
  </si>
  <si>
    <t>Posición Pallet en el depósito</t>
  </si>
  <si>
    <t>Posicion pallet ( 1,80 x 1 x 1,10 )</t>
  </si>
  <si>
    <t>Cantidad de Pallets</t>
  </si>
  <si>
    <t>Posicion pallet ( 1,80 x 1 x 1,10 )  - 2 M3</t>
  </si>
  <si>
    <t>0,05 m3 por paquete promedio (caja de zapatos y media)</t>
  </si>
  <si>
    <t>pallets x 3 semanas x factor ocupación x precio pallet</t>
  </si>
  <si>
    <t>Precio por Retiro en Pickup Center</t>
  </si>
  <si>
    <t>&lt;300 paquetes mensuales</t>
  </si>
  <si>
    <t>300 - 3000</t>
  </si>
  <si>
    <t>&gt;3000</t>
  </si>
  <si>
    <t>Precio</t>
  </si>
  <si>
    <t>Precio PROMEDIO Venta Retiro en Pickup Center</t>
  </si>
  <si>
    <t>Demanda</t>
  </si>
  <si>
    <t>PRECIOS DE LA COMPETENCIA</t>
  </si>
  <si>
    <t>Servicio 24 - 48 hs Puerta</t>
  </si>
  <si>
    <t>Servicio 48 - 96 hs Puerta a Puerta</t>
  </si>
  <si>
    <t>Servicio 48 hs retiro por sucursal</t>
  </si>
  <si>
    <t>OCA</t>
  </si>
  <si>
    <t>URBANO</t>
  </si>
  <si>
    <t>Devoluciones - Logística Reversa</t>
  </si>
  <si>
    <t>ANDREANI</t>
  </si>
  <si>
    <t>-</t>
  </si>
  <si>
    <t>(&lt;50 kg, paquetes chicos)</t>
  </si>
  <si>
    <t>AÑO</t>
  </si>
  <si>
    <t>EN CABA</t>
  </si>
  <si>
    <t>EN GBA</t>
  </si>
  <si>
    <t>Zona de influencia (porción CABA + porción GBA)</t>
  </si>
  <si>
    <t>% CABA</t>
  </si>
  <si>
    <t>% GBA</t>
  </si>
  <si>
    <t>% MIX CABA</t>
  </si>
  <si>
    <t>% MIX GBA</t>
  </si>
  <si>
    <t>% CRECIMIENTO ANUAL</t>
  </si>
  <si>
    <t>(Estimación en unidades de paquetería entregadas)</t>
  </si>
  <si>
    <t>TOTAL MERCADO (anual)</t>
  </si>
  <si>
    <t>Mercado potencial diario</t>
  </si>
  <si>
    <t>ESTIMACIÓN DE MERCADO Y DEMANDA</t>
  </si>
  <si>
    <t>Estimación de ventas diarias (ver hoja consolidado)</t>
  </si>
  <si>
    <t>(en %)</t>
  </si>
  <si>
    <t>% Paquetería chica aplicable</t>
  </si>
  <si>
    <t>(en % sobre total de mercado)</t>
  </si>
  <si>
    <t>Pallets</t>
  </si>
  <si>
    <t>Costo Mensual Almacenam.</t>
  </si>
  <si>
    <t>ANALISIS TERCERIZACION DE WAREHOUSE</t>
  </si>
  <si>
    <t>Costo Pallet x mes</t>
  </si>
  <si>
    <t>Costo Picking</t>
  </si>
  <si>
    <t>x pallet</t>
  </si>
  <si>
    <t>TOTAL COSTO MENSUAL</t>
  </si>
  <si>
    <t>Inicio de op.</t>
  </si>
  <si>
    <t>Precio Venta Envío a Domicilio &lt; 4 hs</t>
  </si>
  <si>
    <t>según CACE</t>
  </si>
  <si>
    <t>EGRESOS POR MICRODEPOSITO - ESTIMACIÓN</t>
  </si>
  <si>
    <t>productos por pallet</t>
  </si>
  <si>
    <t>Devoluciones Diarias</t>
  </si>
  <si>
    <t>Gastos de Marketing</t>
  </si>
  <si>
    <t>Base 2014</t>
  </si>
  <si>
    <t>CABA</t>
  </si>
  <si>
    <t>Microdep. Año 0</t>
  </si>
  <si>
    <t>Microdep. Año 1</t>
  </si>
  <si>
    <t>Microdep. Año 2+</t>
  </si>
  <si>
    <t>% de Utilización  (sobre máximo)</t>
  </si>
  <si>
    <t>Valor Punto</t>
  </si>
  <si>
    <t>Inputs:</t>
  </si>
  <si>
    <t>Definitions of terms:</t>
  </si>
  <si>
    <t>l</t>
  </si>
  <si>
    <r>
      <t>l</t>
    </r>
    <r>
      <rPr>
        <sz val="10"/>
        <rFont val="Arial"/>
        <family val="2"/>
      </rPr>
      <t xml:space="preserve">       = arrival rate</t>
    </r>
  </si>
  <si>
    <t>m</t>
  </si>
  <si>
    <r>
      <t>m</t>
    </r>
    <r>
      <rPr>
        <sz val="10"/>
        <rFont val="Arial"/>
        <family val="2"/>
      </rPr>
      <t xml:space="preserve">       = service rate</t>
    </r>
  </si>
  <si>
    <t>s       = number of servers</t>
  </si>
  <si>
    <t>Lq     = average number queue</t>
  </si>
  <si>
    <t>Ls     = average number in the system</t>
  </si>
  <si>
    <t>Wq   = average time spent in the queue (avg. wait in queue)</t>
  </si>
  <si>
    <t>Ws   = average time spent in the system (avg. wait in system)</t>
  </si>
  <si>
    <t>P(0)   = probability of zero customers in the system</t>
  </si>
  <si>
    <t xml:space="preserve">P(delay)   = probability that an arriving customer has to wait </t>
  </si>
  <si>
    <t>lambda/mu</t>
  </si>
  <si>
    <r>
      <t xml:space="preserve">r </t>
    </r>
    <r>
      <rPr>
        <sz val="10"/>
        <rFont val="Arial"/>
        <family val="2"/>
      </rPr>
      <t xml:space="preserve">     =  Utilization ( fraction of time servers are busy)</t>
    </r>
  </si>
  <si>
    <t>Outputs:</t>
  </si>
  <si>
    <t>Intermediate Calculations:</t>
  </si>
  <si>
    <t>s</t>
  </si>
  <si>
    <t>Lq</t>
  </si>
  <si>
    <t>Ls</t>
  </si>
  <si>
    <t>Wq</t>
  </si>
  <si>
    <t>Ws</t>
  </si>
  <si>
    <t>P(0)</t>
  </si>
  <si>
    <t>P(Delay)</t>
  </si>
  <si>
    <t>r</t>
  </si>
  <si>
    <t>(l/u)^s/s!</t>
  </si>
  <si>
    <t>sum (l/u)^s/s!</t>
  </si>
  <si>
    <t>MODELO DE ATENCION NORMAL - NO PICO</t>
  </si>
  <si>
    <t>minutos</t>
  </si>
  <si>
    <t xml:space="preserve">MODELO DE ATENCION NORMAL -  HORA PICO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</si>
</sst>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6" formatCode="&quot;$&quot;#,##0;[Red]\-&quot;$&quot;#,##0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[$$-409]* #,##0.00_ ;_-[$$-409]* \-#,##0.00\ ;_-[$$-409]* &quot;-&quot;??_ ;_-@_ "/>
    <numFmt numFmtId="166" formatCode="_-* #,##0_-;\-* #,##0_-;_-* &quot;-&quot;??_-;_-@_-"/>
    <numFmt numFmtId="167" formatCode="0.0000"/>
    <numFmt numFmtId="168" formatCode="General_)"/>
    <numFmt numFmtId="169" formatCode="0.000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i/>
      <sz val="11"/>
      <color theme="1"/>
      <name val="Calibri"/>
      <scheme val="minor"/>
    </font>
    <font>
      <b/>
      <i/>
      <sz val="11"/>
      <color theme="1"/>
      <name val="Calibri"/>
      <scheme val="minor"/>
    </font>
    <font>
      <b/>
      <sz val="12"/>
      <color theme="1"/>
      <name val="Calibri"/>
      <family val="2"/>
      <scheme val="minor"/>
    </font>
    <font>
      <i/>
      <sz val="10"/>
      <name val="Verdana"/>
    </font>
    <font>
      <i/>
      <sz val="9"/>
      <name val="Geneva"/>
    </font>
    <font>
      <b/>
      <sz val="12"/>
      <color rgb="FF000000"/>
      <name val="Calibri"/>
      <family val="2"/>
      <scheme val="minor"/>
    </font>
    <font>
      <sz val="9"/>
      <name val="Geneva"/>
    </font>
    <font>
      <b/>
      <sz val="14"/>
      <color theme="1"/>
      <name val="Calibri"/>
      <scheme val="minor"/>
    </font>
    <font>
      <sz val="11"/>
      <color rgb="FF222222"/>
      <name val="Calibri"/>
      <scheme val="minor"/>
    </font>
    <font>
      <sz val="12"/>
      <color rgb="FF006100"/>
      <name val="Calibri"/>
      <family val="2"/>
      <scheme val="minor"/>
    </font>
    <font>
      <sz val="12"/>
      <name val="Calibri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Symbol"/>
      <family val="1"/>
      <charset val="2"/>
    </font>
    <font>
      <b/>
      <sz val="12"/>
      <color indexed="56"/>
      <name val="Arial"/>
      <family val="2"/>
    </font>
    <font>
      <sz val="10"/>
      <name val="Symbol"/>
      <family val="1"/>
      <charset val="2"/>
    </font>
    <font>
      <sz val="10"/>
      <color indexed="56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9"/>
      <color theme="1"/>
      <name val="Calibri"/>
      <scheme val="minor"/>
    </font>
    <font>
      <sz val="9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F305"/>
        <bgColor rgb="FF000000"/>
      </patternFill>
    </fill>
    <fill>
      <patternFill patternType="solid">
        <fgColor rgb="FFC6EFCE"/>
      </patternFill>
    </fill>
    <fill>
      <patternFill patternType="solid">
        <fgColor indexed="26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48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79">
    <xf numFmtId="0" fontId="0" fillId="0" borderId="0" xfId="0"/>
    <xf numFmtId="165" fontId="0" fillId="0" borderId="0" xfId="1" applyNumberFormat="1" applyFont="1"/>
    <xf numFmtId="165" fontId="0" fillId="0" borderId="0" xfId="0" applyNumberFormat="1"/>
    <xf numFmtId="0" fontId="2" fillId="0" borderId="0" xfId="0" applyFont="1"/>
    <xf numFmtId="165" fontId="2" fillId="0" borderId="0" xfId="0" applyNumberFormat="1" applyFont="1"/>
    <xf numFmtId="0" fontId="0" fillId="2" borderId="0" xfId="0" applyFill="1"/>
    <xf numFmtId="9" fontId="0" fillId="0" borderId="0" xfId="0" applyNumberFormat="1"/>
    <xf numFmtId="0" fontId="5" fillId="0" borderId="0" xfId="0" applyFont="1"/>
    <xf numFmtId="0" fontId="0" fillId="0" borderId="0" xfId="0" quotePrefix="1"/>
    <xf numFmtId="0" fontId="0" fillId="0" borderId="0" xfId="0" applyFont="1"/>
    <xf numFmtId="165" fontId="0" fillId="2" borderId="0" xfId="0" applyNumberFormat="1" applyFill="1"/>
    <xf numFmtId="165" fontId="0" fillId="0" borderId="0" xfId="15" applyNumberFormat="1" applyFont="1"/>
    <xf numFmtId="9" fontId="0" fillId="2" borderId="0" xfId="0" applyNumberFormat="1" applyFill="1"/>
    <xf numFmtId="0" fontId="6" fillId="0" borderId="0" xfId="0" applyFont="1"/>
    <xf numFmtId="166" fontId="5" fillId="3" borderId="0" xfId="14" applyNumberFormat="1" applyFont="1" applyFill="1"/>
    <xf numFmtId="0" fontId="7" fillId="0" borderId="0" xfId="0" applyFont="1"/>
    <xf numFmtId="0" fontId="8" fillId="0" borderId="1" xfId="0" applyFont="1" applyBorder="1" applyAlignment="1">
      <alignment wrapText="1"/>
    </xf>
    <xf numFmtId="2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9" fillId="0" borderId="3" xfId="0" applyFont="1" applyBorder="1"/>
    <xf numFmtId="0" fontId="0" fillId="0" borderId="2" xfId="0" applyBorder="1"/>
    <xf numFmtId="2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10" fontId="0" fillId="0" borderId="0" xfId="0" applyNumberFormat="1"/>
    <xf numFmtId="0" fontId="0" fillId="0" borderId="0" xfId="0" applyFill="1" applyBorder="1"/>
    <xf numFmtId="10" fontId="10" fillId="0" borderId="2" xfId="0" applyNumberFormat="1" applyFont="1" applyBorder="1" applyAlignment="1">
      <alignment horizontal="center"/>
    </xf>
    <xf numFmtId="0" fontId="11" fillId="0" borderId="0" xfId="0" applyFont="1"/>
    <xf numFmtId="10" fontId="11" fillId="4" borderId="2" xfId="0" applyNumberFormat="1" applyFont="1" applyFill="1" applyBorder="1"/>
    <xf numFmtId="0" fontId="12" fillId="0" borderId="0" xfId="0" applyFont="1"/>
    <xf numFmtId="10" fontId="12" fillId="0" borderId="0" xfId="0" applyNumberFormat="1" applyFont="1"/>
    <xf numFmtId="10" fontId="11" fillId="4" borderId="1" xfId="0" applyNumberFormat="1" applyFont="1" applyFill="1" applyBorder="1"/>
    <xf numFmtId="165" fontId="0" fillId="3" borderId="0" xfId="0" applyNumberFormat="1" applyFill="1"/>
    <xf numFmtId="9" fontId="2" fillId="0" borderId="0" xfId="0" applyNumberFormat="1" applyFont="1"/>
    <xf numFmtId="165" fontId="2" fillId="0" borderId="0" xfId="1" applyNumberFormat="1" applyFont="1"/>
    <xf numFmtId="165" fontId="0" fillId="2" borderId="0" xfId="1" applyNumberFormat="1" applyFont="1" applyFill="1"/>
    <xf numFmtId="10" fontId="0" fillId="0" borderId="0" xfId="15" applyNumberFormat="1" applyFont="1"/>
    <xf numFmtId="2" fontId="0" fillId="0" borderId="0" xfId="0" applyNumberFormat="1"/>
    <xf numFmtId="43" fontId="0" fillId="0" borderId="0" xfId="14" applyFont="1"/>
    <xf numFmtId="10" fontId="10" fillId="0" borderId="0" xfId="0" applyNumberFormat="1" applyFont="1" applyBorder="1" applyAlignment="1">
      <alignment horizontal="center"/>
    </xf>
    <xf numFmtId="10" fontId="2" fillId="0" borderId="0" xfId="15" applyNumberFormat="1" applyFont="1"/>
    <xf numFmtId="9" fontId="2" fillId="2" borderId="0" xfId="0" applyNumberFormat="1" applyFont="1" applyFill="1"/>
    <xf numFmtId="10" fontId="2" fillId="0" borderId="0" xfId="0" applyNumberFormat="1" applyFont="1"/>
    <xf numFmtId="165" fontId="0" fillId="3" borderId="0" xfId="1" applyNumberFormat="1" applyFont="1" applyFill="1"/>
    <xf numFmtId="0" fontId="13" fillId="0" borderId="0" xfId="0" applyFont="1"/>
    <xf numFmtId="6" fontId="0" fillId="0" borderId="0" xfId="0" applyNumberFormat="1"/>
    <xf numFmtId="1" fontId="2" fillId="0" borderId="0" xfId="0" applyNumberFormat="1" applyFont="1"/>
    <xf numFmtId="3" fontId="5" fillId="0" borderId="0" xfId="0" applyNumberFormat="1" applyFont="1"/>
    <xf numFmtId="0" fontId="16" fillId="0" borderId="0" xfId="0" applyFont="1" applyBorder="1" applyAlignment="1" applyProtection="1">
      <alignment horizontal="left"/>
    </xf>
    <xf numFmtId="0" fontId="16" fillId="0" borderId="0" xfId="0" applyFont="1" applyBorder="1"/>
    <xf numFmtId="11" fontId="16" fillId="0" borderId="0" xfId="0" applyNumberFormat="1" applyFont="1" applyBorder="1"/>
    <xf numFmtId="168" fontId="17" fillId="0" borderId="0" xfId="0" applyNumberFormat="1" applyFont="1" applyBorder="1" applyAlignment="1" applyProtection="1">
      <alignment horizontal="left"/>
    </xf>
    <xf numFmtId="0" fontId="18" fillId="0" borderId="0" xfId="0" applyFont="1" applyBorder="1"/>
    <xf numFmtId="0" fontId="19" fillId="6" borderId="0" xfId="0" applyFont="1" applyFill="1" applyBorder="1" applyAlignment="1" applyProtection="1">
      <alignment horizontal="center"/>
    </xf>
    <xf numFmtId="168" fontId="20" fillId="6" borderId="0" xfId="0" applyNumberFormat="1" applyFont="1" applyFill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/>
    </xf>
    <xf numFmtId="0" fontId="22" fillId="0" borderId="0" xfId="0" applyFont="1" applyFill="1" applyBorder="1" applyProtection="1"/>
    <xf numFmtId="168" fontId="16" fillId="0" borderId="0" xfId="0" applyNumberFormat="1" applyFont="1" applyBorder="1" applyProtection="1"/>
    <xf numFmtId="0" fontId="21" fillId="0" borderId="0" xfId="0" applyFont="1" applyFill="1" applyBorder="1" applyAlignment="1" applyProtection="1">
      <alignment horizontal="left"/>
    </xf>
    <xf numFmtId="0" fontId="16" fillId="0" borderId="0" xfId="0" applyFont="1" applyBorder="1" applyProtection="1"/>
    <xf numFmtId="11" fontId="16" fillId="0" borderId="0" xfId="0" applyNumberFormat="1" applyFont="1" applyBorder="1" applyAlignment="1" applyProtection="1">
      <alignment horizontal="left"/>
    </xf>
    <xf numFmtId="0" fontId="16" fillId="0" borderId="4" xfId="0" applyFont="1" applyBorder="1" applyAlignment="1" applyProtection="1">
      <alignment horizontal="center"/>
    </xf>
    <xf numFmtId="0" fontId="16" fillId="0" borderId="4" xfId="0" applyFont="1" applyBorder="1" applyAlignment="1" applyProtection="1">
      <alignment horizontal="left"/>
    </xf>
    <xf numFmtId="0" fontId="21" fillId="0" borderId="4" xfId="0" applyFont="1" applyBorder="1" applyAlignment="1" applyProtection="1">
      <alignment horizontal="center"/>
    </xf>
    <xf numFmtId="0" fontId="16" fillId="0" borderId="5" xfId="0" applyFont="1" applyBorder="1"/>
    <xf numFmtId="11" fontId="16" fillId="0" borderId="0" xfId="0" applyNumberFormat="1" applyFont="1" applyBorder="1" applyProtection="1"/>
    <xf numFmtId="169" fontId="16" fillId="0" borderId="5" xfId="0" applyNumberFormat="1" applyFont="1" applyBorder="1" applyProtection="1"/>
    <xf numFmtId="169" fontId="16" fillId="0" borderId="0" xfId="0" applyNumberFormat="1" applyFont="1" applyBorder="1" applyProtection="1"/>
    <xf numFmtId="0" fontId="23" fillId="0" borderId="0" xfId="0" applyFont="1" applyBorder="1" applyAlignment="1" applyProtection="1">
      <alignment horizontal="left"/>
    </xf>
    <xf numFmtId="168" fontId="23" fillId="0" borderId="0" xfId="0" applyNumberFormat="1" applyFont="1" applyBorder="1" applyAlignment="1" applyProtection="1">
      <alignment horizontal="left"/>
    </xf>
    <xf numFmtId="169" fontId="24" fillId="0" borderId="0" xfId="0" applyNumberFormat="1" applyFont="1" applyBorder="1" applyProtection="1"/>
    <xf numFmtId="168" fontId="23" fillId="0" borderId="0" xfId="0" applyNumberFormat="1" applyFont="1" applyBorder="1" applyProtection="1"/>
    <xf numFmtId="0" fontId="25" fillId="0" borderId="0" xfId="0" applyFont="1" applyBorder="1"/>
    <xf numFmtId="0" fontId="26" fillId="0" borderId="0" xfId="0" applyFont="1" applyBorder="1"/>
    <xf numFmtId="165" fontId="26" fillId="0" borderId="0" xfId="0" applyNumberFormat="1" applyFont="1" applyBorder="1"/>
    <xf numFmtId="165" fontId="26" fillId="0" borderId="0" xfId="1" applyNumberFormat="1" applyFont="1" applyBorder="1"/>
    <xf numFmtId="3" fontId="15" fillId="3" borderId="0" xfId="320" applyNumberFormat="1" applyFont="1" applyFill="1"/>
    <xf numFmtId="3" fontId="0" fillId="0" borderId="0" xfId="0" applyNumberFormat="1"/>
  </cellXfs>
  <cellStyles count="483">
    <cellStyle name="Comma" xfId="14" builtinId="3"/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Good" xfId="320" builtinId="26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Normal" xfId="0" builtinId="0"/>
    <cellStyle name="Percent" xfId="15" builtinId="5"/>
  </cellStyles>
  <dxfs count="1">
    <dxf>
      <numFmt numFmtId="10" formatCode="&quot;$&quot;#,##0;[Red]\-&quot;$&quot;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ables/table1.xml><?xml version="1.0" encoding="utf-8"?>
<table xmlns="http://schemas.openxmlformats.org/spreadsheetml/2006/main" id="1" name="Table1" displayName="Table1" ref="A13:C16" totalsRowShown="0">
  <autoFilter ref="A13:C16"/>
  <tableColumns count="3">
    <tableColumn id="1" name="Precio por Retiro en Pickup Center"/>
    <tableColumn id="2" name="Precio" dataDxfId="0"/>
    <tableColumn id="3" name="Demanda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>
      <selection activeCell="E13" sqref="E13"/>
    </sheetView>
  </sheetViews>
  <sheetFormatPr baseColWidth="10" defaultColWidth="11.5" defaultRowHeight="14" x14ac:dyDescent="0"/>
  <cols>
    <col min="1" max="1" width="19.83203125" customWidth="1"/>
    <col min="2" max="2" width="16" customWidth="1"/>
    <col min="4" max="4" width="24.1640625" customWidth="1"/>
    <col min="5" max="5" width="18.1640625" customWidth="1"/>
    <col min="6" max="6" width="16" bestFit="1" customWidth="1"/>
    <col min="7" max="7" width="16.1640625" bestFit="1" customWidth="1"/>
    <col min="8" max="8" width="15.6640625" customWidth="1"/>
    <col min="9" max="10" width="16.1640625" bestFit="1" customWidth="1"/>
  </cols>
  <sheetData>
    <row r="1" spans="1:10">
      <c r="A1" s="3" t="s">
        <v>81</v>
      </c>
    </row>
    <row r="3" spans="1:10">
      <c r="A3" s="13" t="s">
        <v>57</v>
      </c>
    </row>
    <row r="4" spans="1:10">
      <c r="A4" t="s">
        <v>269</v>
      </c>
      <c r="B4" s="5">
        <v>3</v>
      </c>
    </row>
    <row r="5" spans="1:10">
      <c r="A5" t="s">
        <v>270</v>
      </c>
      <c r="B5" s="5">
        <v>6</v>
      </c>
      <c r="D5" s="3" t="s">
        <v>96</v>
      </c>
    </row>
    <row r="6" spans="1:10">
      <c r="A6" t="s">
        <v>271</v>
      </c>
      <c r="B6" s="5">
        <v>10</v>
      </c>
      <c r="E6">
        <v>0</v>
      </c>
      <c r="F6">
        <v>1</v>
      </c>
      <c r="G6">
        <v>2</v>
      </c>
      <c r="H6">
        <v>3</v>
      </c>
      <c r="I6">
        <v>4</v>
      </c>
      <c r="J6">
        <v>5</v>
      </c>
    </row>
    <row r="7" spans="1:10">
      <c r="D7" s="3" t="s">
        <v>27</v>
      </c>
    </row>
    <row r="8" spans="1:10">
      <c r="A8" t="s">
        <v>159</v>
      </c>
      <c r="B8" s="12">
        <v>0.35</v>
      </c>
      <c r="D8" t="s">
        <v>272</v>
      </c>
      <c r="F8" s="12">
        <v>0.2</v>
      </c>
      <c r="G8" s="12">
        <v>0.5</v>
      </c>
      <c r="H8" s="12">
        <v>0.8</v>
      </c>
      <c r="I8" s="12">
        <v>1</v>
      </c>
      <c r="J8" s="12">
        <v>1</v>
      </c>
    </row>
    <row r="9" spans="1:10">
      <c r="A9" t="s">
        <v>151</v>
      </c>
      <c r="B9">
        <v>8.9</v>
      </c>
      <c r="D9" s="7" t="s">
        <v>113</v>
      </c>
      <c r="F9" s="14">
        <f>F8*'INGRESOS MICRODEPOSITO'!$B$5</f>
        <v>60</v>
      </c>
      <c r="G9" s="14">
        <f>G8*'INGRESOS MICRODEPOSITO'!$B$5</f>
        <v>150</v>
      </c>
      <c r="H9" s="14">
        <f>H8*'INGRESOS MICRODEPOSITO'!$B$5</f>
        <v>240</v>
      </c>
      <c r="I9" s="14">
        <f>I8*'INGRESOS MICRODEPOSITO'!$B$5</f>
        <v>300</v>
      </c>
      <c r="J9" s="14">
        <f>J8*'INGRESOS MICRODEPOSITO'!$B$5</f>
        <v>300</v>
      </c>
    </row>
    <row r="10" spans="1:10">
      <c r="D10" s="7" t="s">
        <v>91</v>
      </c>
      <c r="F10" s="2">
        <f>$B$14*F8</f>
        <v>12722100</v>
      </c>
      <c r="G10" s="2">
        <f>$B$14*G8</f>
        <v>31805250</v>
      </c>
      <c r="H10" s="2">
        <f>$B$14*H8</f>
        <v>50888400</v>
      </c>
      <c r="I10" s="2">
        <f>$B$14*I8</f>
        <v>63610500</v>
      </c>
      <c r="J10" s="2">
        <f>$B$14*J8</f>
        <v>63610500</v>
      </c>
    </row>
    <row r="11" spans="1:10">
      <c r="A11" s="3" t="s">
        <v>84</v>
      </c>
      <c r="B11" t="s">
        <v>97</v>
      </c>
      <c r="D11" s="3" t="s">
        <v>26</v>
      </c>
    </row>
    <row r="12" spans="1:10">
      <c r="A12" t="s">
        <v>82</v>
      </c>
      <c r="B12" s="2">
        <f>B6*'INGRESOS MICRODEPOSITO'!B16*12</f>
        <v>62640000</v>
      </c>
      <c r="D12" t="s">
        <v>93</v>
      </c>
      <c r="E12" s="2">
        <f>'INVERSION INICIAL'!C20</f>
        <v>2012140</v>
      </c>
    </row>
    <row r="13" spans="1:10">
      <c r="A13" t="s">
        <v>83</v>
      </c>
      <c r="B13" s="2">
        <f>'INGRESOS MICRODEPOSITO'!F16*12</f>
        <v>970500.00000000023</v>
      </c>
      <c r="D13" t="s">
        <v>94</v>
      </c>
      <c r="E13" s="2">
        <f>B4*'INVERSION INICIAL'!F20</f>
        <v>1050000</v>
      </c>
      <c r="F13" s="2">
        <f>(B5-B4)*'INVERSION INICIAL'!F20</f>
        <v>1050000</v>
      </c>
      <c r="G13" s="1">
        <f>'INVERSION INICIAL'!F20*(B6-B5)</f>
        <v>1400000</v>
      </c>
    </row>
    <row r="14" spans="1:10">
      <c r="A14" s="7" t="s">
        <v>90</v>
      </c>
      <c r="B14" s="2">
        <f>B12+B13</f>
        <v>63610500</v>
      </c>
      <c r="D14" s="9" t="s">
        <v>92</v>
      </c>
      <c r="F14" s="2">
        <f>B24+B23*B4</f>
        <v>14034120</v>
      </c>
      <c r="G14" s="2">
        <f>B24+B23*B5</f>
        <v>20573520</v>
      </c>
      <c r="H14" s="2">
        <f>B24+B23*B6</f>
        <v>29292720</v>
      </c>
      <c r="I14" s="2">
        <f>H14</f>
        <v>29292720</v>
      </c>
      <c r="J14" s="2">
        <f>I14</f>
        <v>29292720</v>
      </c>
    </row>
    <row r="15" spans="1:10">
      <c r="A15" s="7"/>
      <c r="B15" s="2"/>
      <c r="D15" s="9" t="s">
        <v>161</v>
      </c>
      <c r="F15" s="2">
        <f>0.2*'INVERSION INICIAL'!$F$16</f>
        <v>160000</v>
      </c>
      <c r="G15" s="2">
        <f>0.2*'INVERSION INICIAL'!$F$16</f>
        <v>160000</v>
      </c>
      <c r="H15" s="2">
        <f>0.2*'INVERSION INICIAL'!$F$16</f>
        <v>160000</v>
      </c>
      <c r="I15" s="2">
        <f>0.2*'INVERSION INICIAL'!$F$16</f>
        <v>160000</v>
      </c>
      <c r="J15" s="2">
        <f>0.2*'INVERSION INICIAL'!$F$16</f>
        <v>160000</v>
      </c>
    </row>
    <row r="17" spans="1:10">
      <c r="D17" t="s">
        <v>166</v>
      </c>
      <c r="E17" s="2">
        <f t="shared" ref="E17:J17" si="0">SUM(E7:E10)-SUM(E11:E16)</f>
        <v>-3062140</v>
      </c>
      <c r="F17" s="2">
        <f t="shared" si="0"/>
        <v>-2521959.8000000007</v>
      </c>
      <c r="G17" s="2">
        <f t="shared" si="0"/>
        <v>9671880.5</v>
      </c>
      <c r="H17" s="2">
        <f t="shared" si="0"/>
        <v>21435920.799999997</v>
      </c>
      <c r="I17" s="2">
        <f t="shared" si="0"/>
        <v>34158081</v>
      </c>
      <c r="J17" s="2">
        <f t="shared" si="0"/>
        <v>34158081</v>
      </c>
    </row>
    <row r="18" spans="1:10">
      <c r="D18" t="s">
        <v>160</v>
      </c>
      <c r="E18" s="2">
        <f>$B$8*E17</f>
        <v>-1071749</v>
      </c>
      <c r="F18" s="2">
        <f>F17*$B$8+E18</f>
        <v>-1954434.9300000002</v>
      </c>
      <c r="G18" s="2">
        <f>G17*$B$8+F18</f>
        <v>1430723.2449999996</v>
      </c>
      <c r="H18" s="2">
        <f>$B$8*H17</f>
        <v>7502572.2799999984</v>
      </c>
      <c r="I18" s="2">
        <f>$B$8*I17</f>
        <v>11955328.35</v>
      </c>
      <c r="J18" s="2">
        <f>$B$8*J17</f>
        <v>11955328.35</v>
      </c>
    </row>
    <row r="19" spans="1:10">
      <c r="D19" t="s">
        <v>167</v>
      </c>
      <c r="E19" s="2">
        <f>E17</f>
        <v>-3062140</v>
      </c>
      <c r="F19" s="2">
        <f>F17</f>
        <v>-2521959.8000000007</v>
      </c>
      <c r="G19" s="2">
        <f>G17-G18</f>
        <v>8241157.2550000008</v>
      </c>
      <c r="H19" s="2">
        <f>H17-H18</f>
        <v>13933348.52</v>
      </c>
      <c r="I19" s="2">
        <f>I17-I18</f>
        <v>22202752.649999999</v>
      </c>
      <c r="J19" s="2">
        <f>J17-J18</f>
        <v>22202752.649999999</v>
      </c>
    </row>
    <row r="20" spans="1:10">
      <c r="D20" s="3" t="s">
        <v>168</v>
      </c>
      <c r="E20" s="2">
        <f t="shared" ref="E20:J20" si="1">E19+E15</f>
        <v>-3062140</v>
      </c>
      <c r="F20" s="2">
        <f t="shared" si="1"/>
        <v>-2361959.8000000007</v>
      </c>
      <c r="G20" s="2">
        <f t="shared" si="1"/>
        <v>8401157.2550000008</v>
      </c>
      <c r="H20" s="2">
        <f t="shared" si="1"/>
        <v>14093348.52</v>
      </c>
      <c r="I20" s="2">
        <f t="shared" si="1"/>
        <v>22362752.649999999</v>
      </c>
      <c r="J20" s="2">
        <f t="shared" si="1"/>
        <v>22362752.649999999</v>
      </c>
    </row>
    <row r="21" spans="1:10">
      <c r="D21" s="13" t="s">
        <v>169</v>
      </c>
      <c r="E21" s="2">
        <f t="shared" ref="E21:J21" si="2">E20/E22</f>
        <v>-344060.67415730335</v>
      </c>
      <c r="F21" s="2">
        <f t="shared" si="2"/>
        <v>-265388.7415730338</v>
      </c>
      <c r="G21" s="2">
        <f t="shared" si="2"/>
        <v>943950.25337078655</v>
      </c>
      <c r="H21" s="2">
        <f t="shared" si="2"/>
        <v>1583522.3056179774</v>
      </c>
      <c r="I21" s="2">
        <f t="shared" si="2"/>
        <v>2512668.8370786514</v>
      </c>
      <c r="J21" s="2">
        <f t="shared" si="2"/>
        <v>2512668.8370786514</v>
      </c>
    </row>
    <row r="22" spans="1:10">
      <c r="A22" s="3" t="s">
        <v>85</v>
      </c>
      <c r="B22" s="2"/>
      <c r="D22" s="7" t="s">
        <v>171</v>
      </c>
      <c r="E22">
        <v>8.9</v>
      </c>
      <c r="F22">
        <v>8.9</v>
      </c>
      <c r="G22">
        <v>8.9</v>
      </c>
      <c r="H22">
        <v>8.9</v>
      </c>
      <c r="I22">
        <v>8.9</v>
      </c>
      <c r="J22">
        <v>8.9</v>
      </c>
    </row>
    <row r="23" spans="1:10">
      <c r="A23" t="s">
        <v>86</v>
      </c>
      <c r="B23" s="2">
        <f>'EGRESOS MICRODEP.'!B25*12</f>
        <v>2179800</v>
      </c>
      <c r="D23" t="s">
        <v>95</v>
      </c>
      <c r="E23" s="34">
        <f>IRR(E21:J21)</f>
        <v>1.2589996356299125</v>
      </c>
      <c r="F23" s="3" t="s">
        <v>172</v>
      </c>
    </row>
    <row r="24" spans="1:10">
      <c r="A24" s="9" t="s">
        <v>87</v>
      </c>
      <c r="B24" s="2">
        <f>12*'EGRESOS WAREHOUSE'!B16</f>
        <v>7494720</v>
      </c>
      <c r="D24" t="s">
        <v>143</v>
      </c>
      <c r="E24" s="43">
        <f>'CALCULO WACC'!D23</f>
        <v>0.12509111146501323</v>
      </c>
      <c r="F24" t="s">
        <v>144</v>
      </c>
    </row>
    <row r="25" spans="1:10">
      <c r="A25" s="7"/>
      <c r="B25" s="2"/>
      <c r="D25" t="s">
        <v>145</v>
      </c>
      <c r="E25" s="4">
        <f>E21+NPV(E24,F21:J21)</f>
        <v>4239588.854462808</v>
      </c>
      <c r="F25" s="3" t="s">
        <v>172</v>
      </c>
    </row>
    <row r="26" spans="1:10">
      <c r="D26" t="s">
        <v>146</v>
      </c>
      <c r="E26" s="35">
        <f>J21*(1+G26)/(E24-G26)/ (1+E24)^5</f>
        <v>15097119.279328022</v>
      </c>
      <c r="F26" t="s">
        <v>147</v>
      </c>
      <c r="G26" s="6">
        <v>0.03</v>
      </c>
    </row>
    <row r="27" spans="1:10">
      <c r="D27" t="s">
        <v>148</v>
      </c>
      <c r="E27" s="4">
        <f>E26+E25</f>
        <v>19336708.133790828</v>
      </c>
      <c r="F27" s="4" t="s">
        <v>173</v>
      </c>
    </row>
    <row r="28" spans="1:10">
      <c r="G28" s="3"/>
    </row>
    <row r="29" spans="1:10">
      <c r="D29" s="3" t="s">
        <v>208</v>
      </c>
    </row>
    <row r="30" spans="1:10">
      <c r="D30" t="s">
        <v>143</v>
      </c>
      <c r="E30" s="25">
        <f>'CALCULO WACC'!B38</f>
        <v>0.40847682043381595</v>
      </c>
      <c r="F30" t="s">
        <v>209</v>
      </c>
    </row>
    <row r="31" spans="1:10">
      <c r="D31" t="s">
        <v>145</v>
      </c>
      <c r="E31" s="2">
        <f>E21+NPV(E30,F21:J21)</f>
        <v>1601838.1067910194</v>
      </c>
    </row>
    <row r="32" spans="1:10">
      <c r="D32" t="s">
        <v>146</v>
      </c>
      <c r="E32" s="1">
        <f>J21*(1+G26)/(E30-G26)/ (1+E30)^5</f>
        <v>1233629.2866808241</v>
      </c>
    </row>
    <row r="33" spans="4:5">
      <c r="D33" s="3" t="s">
        <v>148</v>
      </c>
      <c r="E33" s="4">
        <f>E31+E32</f>
        <v>2835467.3934718436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38"/>
  <sheetViews>
    <sheetView topLeftCell="A12" zoomScale="125" zoomScaleNormal="125" zoomScalePageLayoutView="125" workbookViewId="0">
      <selection activeCell="B42" sqref="B42"/>
    </sheetView>
  </sheetViews>
  <sheetFormatPr baseColWidth="10" defaultColWidth="11.5" defaultRowHeight="14" x14ac:dyDescent="0"/>
  <cols>
    <col min="1" max="1" width="26" customWidth="1"/>
  </cols>
  <sheetData>
    <row r="5" spans="1:12" ht="15">
      <c r="A5" s="15" t="s">
        <v>114</v>
      </c>
    </row>
    <row r="6" spans="1:12" ht="53">
      <c r="A6" s="16" t="s">
        <v>115</v>
      </c>
      <c r="B6" s="17" t="s">
        <v>116</v>
      </c>
      <c r="C6" s="18" t="s">
        <v>117</v>
      </c>
      <c r="D6" s="18" t="s">
        <v>118</v>
      </c>
      <c r="E6" s="18" t="s">
        <v>119</v>
      </c>
      <c r="F6" s="18" t="s">
        <v>120</v>
      </c>
      <c r="G6" s="19" t="s">
        <v>121</v>
      </c>
      <c r="H6" s="19" t="s">
        <v>122</v>
      </c>
      <c r="I6" s="19" t="s">
        <v>123</v>
      </c>
      <c r="J6" s="20" t="s">
        <v>124</v>
      </c>
    </row>
    <row r="7" spans="1:12">
      <c r="A7" s="21" t="s">
        <v>125</v>
      </c>
      <c r="B7" s="22">
        <v>1.2861935664335664</v>
      </c>
      <c r="C7" s="23">
        <v>5.5879257238773461E-2</v>
      </c>
      <c r="D7" s="23">
        <v>5.0749210652175719E-2</v>
      </c>
      <c r="E7" s="22">
        <v>1.2214060037424865</v>
      </c>
      <c r="F7" s="23">
        <v>5.5813874756180222E-2</v>
      </c>
      <c r="G7" s="22">
        <v>1.2936072359960591</v>
      </c>
      <c r="H7" s="24">
        <v>0.63190305817577086</v>
      </c>
      <c r="I7" s="23">
        <v>0.72479655370858842</v>
      </c>
      <c r="J7" s="25">
        <v>9.5699999999999993E-2</v>
      </c>
    </row>
    <row r="8" spans="1:12">
      <c r="A8" s="21" t="s">
        <v>126</v>
      </c>
      <c r="B8" s="22">
        <v>0.85708894230769239</v>
      </c>
      <c r="C8" s="23">
        <v>0.2103080820948808</v>
      </c>
      <c r="D8" s="23">
        <v>0.20078919928811217</v>
      </c>
      <c r="E8" s="22">
        <v>0.73375846026109959</v>
      </c>
      <c r="F8" s="23">
        <v>4.1104012594832123E-2</v>
      </c>
      <c r="G8" s="22">
        <v>0.76521173297084655</v>
      </c>
      <c r="H8" s="24">
        <v>0.38285443844439099</v>
      </c>
      <c r="I8" s="23">
        <v>0.42357145248846528</v>
      </c>
      <c r="J8" s="25">
        <v>7.0999999999999994E-2</v>
      </c>
      <c r="L8" t="s">
        <v>127</v>
      </c>
    </row>
    <row r="9" spans="1:12">
      <c r="A9" s="21" t="s">
        <v>128</v>
      </c>
      <c r="B9" s="22">
        <v>1.1151793589743593</v>
      </c>
      <c r="C9" s="23">
        <v>0.47997270258934305</v>
      </c>
      <c r="D9" s="23">
        <v>0.16838920057571785</v>
      </c>
      <c r="E9" s="22">
        <v>0.79704032740011155</v>
      </c>
      <c r="F9" s="23">
        <v>1.7794131635986216E-2</v>
      </c>
      <c r="G9" s="22">
        <v>0.81147990769764133</v>
      </c>
      <c r="H9" s="24">
        <v>0.47014275836091762</v>
      </c>
      <c r="I9" s="23">
        <v>0.52060805240935182</v>
      </c>
      <c r="J9" s="25">
        <v>8.5800000000000001E-2</v>
      </c>
    </row>
    <row r="10" spans="1:12" ht="15">
      <c r="A10" s="26" t="s">
        <v>129</v>
      </c>
      <c r="B10" s="27">
        <v>9.5600000000000004E-2</v>
      </c>
      <c r="C10" t="s">
        <v>194</v>
      </c>
    </row>
    <row r="11" spans="1:12" ht="15">
      <c r="A11" s="26" t="s">
        <v>192</v>
      </c>
      <c r="B11" s="40">
        <v>8.7499999999999994E-2</v>
      </c>
      <c r="C11" t="s">
        <v>193</v>
      </c>
    </row>
    <row r="12" spans="1:12">
      <c r="A12" s="26" t="s">
        <v>191</v>
      </c>
      <c r="B12" s="34">
        <v>0.28999999999999998</v>
      </c>
      <c r="C12" t="s">
        <v>195</v>
      </c>
    </row>
    <row r="14" spans="1:12" ht="18">
      <c r="A14" s="28" t="s">
        <v>130</v>
      </c>
      <c r="B14" s="28"/>
      <c r="C14" s="28"/>
      <c r="D14" s="29">
        <v>2.1700000000000001E-2</v>
      </c>
      <c r="F14" s="30" t="s">
        <v>131</v>
      </c>
      <c r="G14" s="31">
        <f>D14+D15*E8</f>
        <v>6.3891111465013223E-2</v>
      </c>
      <c r="I14" t="s">
        <v>149</v>
      </c>
    </row>
    <row r="15" spans="1:12">
      <c r="A15" s="28" t="s">
        <v>132</v>
      </c>
      <c r="B15" s="28"/>
      <c r="C15" s="28"/>
      <c r="D15" s="32">
        <v>5.7500000000000002E-2</v>
      </c>
    </row>
    <row r="16" spans="1:12">
      <c r="F16" t="s">
        <v>133</v>
      </c>
      <c r="G16" t="s">
        <v>134</v>
      </c>
    </row>
    <row r="18" spans="1:10">
      <c r="D18" s="25"/>
      <c r="E18" s="25"/>
    </row>
    <row r="19" spans="1:10" ht="15">
      <c r="D19" s="15" t="s">
        <v>135</v>
      </c>
    </row>
    <row r="20" spans="1:10">
      <c r="A20" t="s">
        <v>136</v>
      </c>
      <c r="B20" s="25">
        <v>2.23E-2</v>
      </c>
      <c r="C20" t="s">
        <v>137</v>
      </c>
      <c r="D20" s="25">
        <f>B20+$G$14</f>
        <v>8.6191111465013223E-2</v>
      </c>
    </row>
    <row r="21" spans="1:10">
      <c r="A21" t="s">
        <v>138</v>
      </c>
      <c r="B21" s="25">
        <v>2.18E-2</v>
      </c>
      <c r="C21" t="s">
        <v>139</v>
      </c>
      <c r="D21" s="25">
        <f>B21+$G$14</f>
        <v>8.5691111465013223E-2</v>
      </c>
    </row>
    <row r="22" spans="1:10">
      <c r="A22" t="s">
        <v>140</v>
      </c>
      <c r="B22" s="25">
        <v>1.84E-2</v>
      </c>
      <c r="C22" t="s">
        <v>137</v>
      </c>
      <c r="D22" s="25">
        <f>B22+$G$14</f>
        <v>8.2291111465013222E-2</v>
      </c>
    </row>
    <row r="23" spans="1:10">
      <c r="A23" t="s">
        <v>141</v>
      </c>
      <c r="B23" s="25">
        <v>6.1199999999999997E-2</v>
      </c>
      <c r="C23" t="s">
        <v>137</v>
      </c>
      <c r="D23" s="25">
        <f>B23+$G$14</f>
        <v>0.12509111146501323</v>
      </c>
    </row>
    <row r="24" spans="1:10">
      <c r="A24" t="s">
        <v>142</v>
      </c>
      <c r="B24" s="25">
        <v>3.2399999999999998E-2</v>
      </c>
      <c r="C24" t="s">
        <v>137</v>
      </c>
      <c r="D24" s="25">
        <f>B24+$G$14</f>
        <v>9.6291111465013221E-2</v>
      </c>
    </row>
    <row r="26" spans="1:10">
      <c r="A26" s="3" t="s">
        <v>180</v>
      </c>
    </row>
    <row r="28" spans="1:10">
      <c r="A28" t="s">
        <v>181</v>
      </c>
      <c r="B28" s="38">
        <f>E8</f>
        <v>0.73375846026109959</v>
      </c>
    </row>
    <row r="29" spans="1:10">
      <c r="A29" t="s">
        <v>182</v>
      </c>
      <c r="B29">
        <f>B28*B10/B11</f>
        <v>0.80168352915384145</v>
      </c>
      <c r="C29" t="s">
        <v>183</v>
      </c>
    </row>
    <row r="30" spans="1:10">
      <c r="A30" t="s">
        <v>188</v>
      </c>
      <c r="B30" s="39">
        <f>B11/B10</f>
        <v>0.91527196652719656</v>
      </c>
    </row>
    <row r="31" spans="1:10">
      <c r="A31" t="s">
        <v>184</v>
      </c>
      <c r="B31" s="25">
        <f>D14</f>
        <v>2.1700000000000001E-2</v>
      </c>
      <c r="C31" t="s">
        <v>186</v>
      </c>
      <c r="D31" s="37">
        <f>B30*D15</f>
        <v>5.2628138075313802E-2</v>
      </c>
      <c r="F31" t="s">
        <v>189</v>
      </c>
      <c r="G31" s="39">
        <f>B12/B10</f>
        <v>3.03347280334728</v>
      </c>
      <c r="I31" t="s">
        <v>198</v>
      </c>
      <c r="J31" s="6">
        <v>0.3</v>
      </c>
    </row>
    <row r="32" spans="1:10">
      <c r="B32" t="s">
        <v>185</v>
      </c>
      <c r="D32" t="s">
        <v>187</v>
      </c>
      <c r="F32" t="s">
        <v>190</v>
      </c>
      <c r="I32" t="s">
        <v>199</v>
      </c>
    </row>
    <row r="33" spans="1:9">
      <c r="D33" t="s">
        <v>197</v>
      </c>
      <c r="F33" t="s">
        <v>196</v>
      </c>
      <c r="I33" t="s">
        <v>200</v>
      </c>
    </row>
    <row r="34" spans="1:9">
      <c r="A34" s="3" t="s">
        <v>184</v>
      </c>
      <c r="B34" s="41">
        <f>B31+D31*G31+J31</f>
        <v>0.48134602554226991</v>
      </c>
    </row>
    <row r="35" spans="1:9">
      <c r="A35" s="3" t="s">
        <v>201</v>
      </c>
      <c r="B35" s="42">
        <v>0.18</v>
      </c>
      <c r="C35" s="3" t="s">
        <v>204</v>
      </c>
    </row>
    <row r="36" spans="1:9">
      <c r="A36" s="3" t="s">
        <v>202</v>
      </c>
      <c r="B36" s="12">
        <v>0.8</v>
      </c>
    </row>
    <row r="37" spans="1:9">
      <c r="A37" s="3" t="s">
        <v>203</v>
      </c>
      <c r="B37" s="12">
        <v>0.2</v>
      </c>
      <c r="C37" s="3" t="s">
        <v>207</v>
      </c>
    </row>
    <row r="38" spans="1:9" ht="18">
      <c r="A38" s="30" t="s">
        <v>143</v>
      </c>
      <c r="B38" s="31">
        <f>B36*B34+B37*0.65*B35</f>
        <v>0.40847682043381595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7"/>
  <sheetViews>
    <sheetView topLeftCell="A16" zoomScale="150" zoomScaleNormal="150" zoomScalePageLayoutView="150" workbookViewId="0">
      <selection activeCell="A17" sqref="A17:E27"/>
    </sheetView>
  </sheetViews>
  <sheetFormatPr baseColWidth="10" defaultColWidth="11.5" defaultRowHeight="14" x14ac:dyDescent="0"/>
  <cols>
    <col min="1" max="1" width="19.6640625" customWidth="1"/>
    <col min="2" max="2" width="15.33203125" bestFit="1" customWidth="1"/>
    <col min="3" max="3" width="12.5" bestFit="1" customWidth="1"/>
    <col min="4" max="4" width="14.33203125" bestFit="1" customWidth="1"/>
  </cols>
  <sheetData>
    <row r="5" spans="1:5">
      <c r="A5" s="3" t="s">
        <v>179</v>
      </c>
      <c r="D5" t="s">
        <v>143</v>
      </c>
      <c r="E5" s="25">
        <f>'CALCULO WACC'!D23</f>
        <v>0.12509111146501323</v>
      </c>
    </row>
    <row r="7" spans="1:5">
      <c r="A7" t="s">
        <v>174</v>
      </c>
      <c r="B7" s="2">
        <f>CONSOLIDADO!E27</f>
        <v>19336708.133790828</v>
      </c>
      <c r="C7" t="s">
        <v>170</v>
      </c>
    </row>
    <row r="8" spans="1:5">
      <c r="A8" t="s">
        <v>175</v>
      </c>
      <c r="B8" s="36">
        <v>500000</v>
      </c>
    </row>
    <row r="10" spans="1:5">
      <c r="A10" t="s">
        <v>176</v>
      </c>
      <c r="B10" s="36">
        <v>1500000</v>
      </c>
      <c r="C10" t="s">
        <v>170</v>
      </c>
    </row>
    <row r="11" spans="1:5">
      <c r="A11" t="s">
        <v>177</v>
      </c>
      <c r="B11" s="12">
        <v>0.75</v>
      </c>
    </row>
    <row r="12" spans="1:5">
      <c r="A12" t="s">
        <v>178</v>
      </c>
      <c r="B12" s="2">
        <f>(1-B11)*B7</f>
        <v>4834177.0334477071</v>
      </c>
    </row>
    <row r="13" spans="1:5">
      <c r="A13" t="s">
        <v>205</v>
      </c>
      <c r="B13" s="37">
        <f>B10/B12</f>
        <v>0.31029066366860147</v>
      </c>
    </row>
    <row r="14" spans="1:5">
      <c r="A14" t="s">
        <v>206</v>
      </c>
      <c r="B14" s="25">
        <f>100%-B13</f>
        <v>0.68970933633139853</v>
      </c>
    </row>
    <row r="17" spans="1:5">
      <c r="A17" s="3" t="s">
        <v>179</v>
      </c>
      <c r="D17" t="s">
        <v>143</v>
      </c>
      <c r="E17" s="25">
        <f>'CALCULO WACC'!B38</f>
        <v>0.40847682043381595</v>
      </c>
    </row>
    <row r="19" spans="1:5">
      <c r="A19" t="s">
        <v>174</v>
      </c>
      <c r="B19" s="2">
        <f>CONSOLIDADO!E33</f>
        <v>2835467.3934718436</v>
      </c>
      <c r="C19" t="s">
        <v>170</v>
      </c>
    </row>
    <row r="20" spans="1:5">
      <c r="A20" t="s">
        <v>175</v>
      </c>
      <c r="B20" s="36">
        <v>350000</v>
      </c>
    </row>
    <row r="22" spans="1:5">
      <c r="A22" t="s">
        <v>176</v>
      </c>
      <c r="B22" s="36">
        <v>500000</v>
      </c>
      <c r="C22" t="s">
        <v>170</v>
      </c>
    </row>
    <row r="23" spans="1:5">
      <c r="A23" t="s">
        <v>177</v>
      </c>
      <c r="B23" s="12">
        <v>0.5</v>
      </c>
      <c r="D23" s="2"/>
      <c r="E23" s="2"/>
    </row>
    <row r="24" spans="1:5">
      <c r="A24" t="s">
        <v>178</v>
      </c>
      <c r="B24" s="2">
        <f>(1-B23)*B19</f>
        <v>1417733.6967359218</v>
      </c>
    </row>
    <row r="25" spans="1:5">
      <c r="A25" t="s">
        <v>205</v>
      </c>
      <c r="B25" s="37">
        <f>B22/B24</f>
        <v>0.35267554206488888</v>
      </c>
      <c r="C25" s="2">
        <f>B19/100</f>
        <v>28354.673934718434</v>
      </c>
      <c r="D25" s="2"/>
    </row>
    <row r="26" spans="1:5">
      <c r="A26" t="s">
        <v>206</v>
      </c>
      <c r="B26" s="25">
        <f>100%-B25</f>
        <v>0.64732445793511117</v>
      </c>
    </row>
    <row r="27" spans="1:5">
      <c r="A27" t="s">
        <v>273</v>
      </c>
      <c r="B27" s="2">
        <f>B19/100*B23</f>
        <v>14177.336967359217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topLeftCell="A4" workbookViewId="0">
      <selection sqref="A1:N23"/>
    </sheetView>
  </sheetViews>
  <sheetFormatPr baseColWidth="10" defaultColWidth="11" defaultRowHeight="12" x14ac:dyDescent="0"/>
  <cols>
    <col min="1" max="8" width="11" style="50" customWidth="1"/>
    <col min="9" max="9" width="11" style="50" hidden="1" customWidth="1"/>
    <col min="10" max="11" width="11" style="51" hidden="1" customWidth="1"/>
    <col min="12" max="12" width="11" style="50" hidden="1" customWidth="1"/>
    <col min="13" max="256" width="11" style="50"/>
    <col min="257" max="264" width="11" style="50" customWidth="1"/>
    <col min="265" max="268" width="0" style="50" hidden="1" customWidth="1"/>
    <col min="269" max="512" width="11" style="50"/>
    <col min="513" max="520" width="11" style="50" customWidth="1"/>
    <col min="521" max="524" width="0" style="50" hidden="1" customWidth="1"/>
    <col min="525" max="768" width="11" style="50"/>
    <col min="769" max="776" width="11" style="50" customWidth="1"/>
    <col min="777" max="780" width="0" style="50" hidden="1" customWidth="1"/>
    <col min="781" max="1024" width="11" style="50"/>
    <col min="1025" max="1032" width="11" style="50" customWidth="1"/>
    <col min="1033" max="1036" width="0" style="50" hidden="1" customWidth="1"/>
    <col min="1037" max="1280" width="11" style="50"/>
    <col min="1281" max="1288" width="11" style="50" customWidth="1"/>
    <col min="1289" max="1292" width="0" style="50" hidden="1" customWidth="1"/>
    <col min="1293" max="1536" width="11" style="50"/>
    <col min="1537" max="1544" width="11" style="50" customWidth="1"/>
    <col min="1545" max="1548" width="0" style="50" hidden="1" customWidth="1"/>
    <col min="1549" max="1792" width="11" style="50"/>
    <col min="1793" max="1800" width="11" style="50" customWidth="1"/>
    <col min="1801" max="1804" width="0" style="50" hidden="1" customWidth="1"/>
    <col min="1805" max="2048" width="11" style="50"/>
    <col min="2049" max="2056" width="11" style="50" customWidth="1"/>
    <col min="2057" max="2060" width="0" style="50" hidden="1" customWidth="1"/>
    <col min="2061" max="2304" width="11" style="50"/>
    <col min="2305" max="2312" width="11" style="50" customWidth="1"/>
    <col min="2313" max="2316" width="0" style="50" hidden="1" customWidth="1"/>
    <col min="2317" max="2560" width="11" style="50"/>
    <col min="2561" max="2568" width="11" style="50" customWidth="1"/>
    <col min="2569" max="2572" width="0" style="50" hidden="1" customWidth="1"/>
    <col min="2573" max="2816" width="11" style="50"/>
    <col min="2817" max="2824" width="11" style="50" customWidth="1"/>
    <col min="2825" max="2828" width="0" style="50" hidden="1" customWidth="1"/>
    <col min="2829" max="3072" width="11" style="50"/>
    <col min="3073" max="3080" width="11" style="50" customWidth="1"/>
    <col min="3081" max="3084" width="0" style="50" hidden="1" customWidth="1"/>
    <col min="3085" max="3328" width="11" style="50"/>
    <col min="3329" max="3336" width="11" style="50" customWidth="1"/>
    <col min="3337" max="3340" width="0" style="50" hidden="1" customWidth="1"/>
    <col min="3341" max="3584" width="11" style="50"/>
    <col min="3585" max="3592" width="11" style="50" customWidth="1"/>
    <col min="3593" max="3596" width="0" style="50" hidden="1" customWidth="1"/>
    <col min="3597" max="3840" width="11" style="50"/>
    <col min="3841" max="3848" width="11" style="50" customWidth="1"/>
    <col min="3849" max="3852" width="0" style="50" hidden="1" customWidth="1"/>
    <col min="3853" max="4096" width="11" style="50"/>
    <col min="4097" max="4104" width="11" style="50" customWidth="1"/>
    <col min="4105" max="4108" width="0" style="50" hidden="1" customWidth="1"/>
    <col min="4109" max="4352" width="11" style="50"/>
    <col min="4353" max="4360" width="11" style="50" customWidth="1"/>
    <col min="4361" max="4364" width="0" style="50" hidden="1" customWidth="1"/>
    <col min="4365" max="4608" width="11" style="50"/>
    <col min="4609" max="4616" width="11" style="50" customWidth="1"/>
    <col min="4617" max="4620" width="0" style="50" hidden="1" customWidth="1"/>
    <col min="4621" max="4864" width="11" style="50"/>
    <col min="4865" max="4872" width="11" style="50" customWidth="1"/>
    <col min="4873" max="4876" width="0" style="50" hidden="1" customWidth="1"/>
    <col min="4877" max="5120" width="11" style="50"/>
    <col min="5121" max="5128" width="11" style="50" customWidth="1"/>
    <col min="5129" max="5132" width="0" style="50" hidden="1" customWidth="1"/>
    <col min="5133" max="5376" width="11" style="50"/>
    <col min="5377" max="5384" width="11" style="50" customWidth="1"/>
    <col min="5385" max="5388" width="0" style="50" hidden="1" customWidth="1"/>
    <col min="5389" max="5632" width="11" style="50"/>
    <col min="5633" max="5640" width="11" style="50" customWidth="1"/>
    <col min="5641" max="5644" width="0" style="50" hidden="1" customWidth="1"/>
    <col min="5645" max="5888" width="11" style="50"/>
    <col min="5889" max="5896" width="11" style="50" customWidth="1"/>
    <col min="5897" max="5900" width="0" style="50" hidden="1" customWidth="1"/>
    <col min="5901" max="6144" width="11" style="50"/>
    <col min="6145" max="6152" width="11" style="50" customWidth="1"/>
    <col min="6153" max="6156" width="0" style="50" hidden="1" customWidth="1"/>
    <col min="6157" max="6400" width="11" style="50"/>
    <col min="6401" max="6408" width="11" style="50" customWidth="1"/>
    <col min="6409" max="6412" width="0" style="50" hidden="1" customWidth="1"/>
    <col min="6413" max="6656" width="11" style="50"/>
    <col min="6657" max="6664" width="11" style="50" customWidth="1"/>
    <col min="6665" max="6668" width="0" style="50" hidden="1" customWidth="1"/>
    <col min="6669" max="6912" width="11" style="50"/>
    <col min="6913" max="6920" width="11" style="50" customWidth="1"/>
    <col min="6921" max="6924" width="0" style="50" hidden="1" customWidth="1"/>
    <col min="6925" max="7168" width="11" style="50"/>
    <col min="7169" max="7176" width="11" style="50" customWidth="1"/>
    <col min="7177" max="7180" width="0" style="50" hidden="1" customWidth="1"/>
    <col min="7181" max="7424" width="11" style="50"/>
    <col min="7425" max="7432" width="11" style="50" customWidth="1"/>
    <col min="7433" max="7436" width="0" style="50" hidden="1" customWidth="1"/>
    <col min="7437" max="7680" width="11" style="50"/>
    <col min="7681" max="7688" width="11" style="50" customWidth="1"/>
    <col min="7689" max="7692" width="0" style="50" hidden="1" customWidth="1"/>
    <col min="7693" max="7936" width="11" style="50"/>
    <col min="7937" max="7944" width="11" style="50" customWidth="1"/>
    <col min="7945" max="7948" width="0" style="50" hidden="1" customWidth="1"/>
    <col min="7949" max="8192" width="11" style="50"/>
    <col min="8193" max="8200" width="11" style="50" customWidth="1"/>
    <col min="8201" max="8204" width="0" style="50" hidden="1" customWidth="1"/>
    <col min="8205" max="8448" width="11" style="50"/>
    <col min="8449" max="8456" width="11" style="50" customWidth="1"/>
    <col min="8457" max="8460" width="0" style="50" hidden="1" customWidth="1"/>
    <col min="8461" max="8704" width="11" style="50"/>
    <col min="8705" max="8712" width="11" style="50" customWidth="1"/>
    <col min="8713" max="8716" width="0" style="50" hidden="1" customWidth="1"/>
    <col min="8717" max="8960" width="11" style="50"/>
    <col min="8961" max="8968" width="11" style="50" customWidth="1"/>
    <col min="8969" max="8972" width="0" style="50" hidden="1" customWidth="1"/>
    <col min="8973" max="9216" width="11" style="50"/>
    <col min="9217" max="9224" width="11" style="50" customWidth="1"/>
    <col min="9225" max="9228" width="0" style="50" hidden="1" customWidth="1"/>
    <col min="9229" max="9472" width="11" style="50"/>
    <col min="9473" max="9480" width="11" style="50" customWidth="1"/>
    <col min="9481" max="9484" width="0" style="50" hidden="1" customWidth="1"/>
    <col min="9485" max="9728" width="11" style="50"/>
    <col min="9729" max="9736" width="11" style="50" customWidth="1"/>
    <col min="9737" max="9740" width="0" style="50" hidden="1" customWidth="1"/>
    <col min="9741" max="9984" width="11" style="50"/>
    <col min="9985" max="9992" width="11" style="50" customWidth="1"/>
    <col min="9993" max="9996" width="0" style="50" hidden="1" customWidth="1"/>
    <col min="9997" max="10240" width="11" style="50"/>
    <col min="10241" max="10248" width="11" style="50" customWidth="1"/>
    <col min="10249" max="10252" width="0" style="50" hidden="1" customWidth="1"/>
    <col min="10253" max="10496" width="11" style="50"/>
    <col min="10497" max="10504" width="11" style="50" customWidth="1"/>
    <col min="10505" max="10508" width="0" style="50" hidden="1" customWidth="1"/>
    <col min="10509" max="10752" width="11" style="50"/>
    <col min="10753" max="10760" width="11" style="50" customWidth="1"/>
    <col min="10761" max="10764" width="0" style="50" hidden="1" customWidth="1"/>
    <col min="10765" max="11008" width="11" style="50"/>
    <col min="11009" max="11016" width="11" style="50" customWidth="1"/>
    <col min="11017" max="11020" width="0" style="50" hidden="1" customWidth="1"/>
    <col min="11021" max="11264" width="11" style="50"/>
    <col min="11265" max="11272" width="11" style="50" customWidth="1"/>
    <col min="11273" max="11276" width="0" style="50" hidden="1" customWidth="1"/>
    <col min="11277" max="11520" width="11" style="50"/>
    <col min="11521" max="11528" width="11" style="50" customWidth="1"/>
    <col min="11529" max="11532" width="0" style="50" hidden="1" customWidth="1"/>
    <col min="11533" max="11776" width="11" style="50"/>
    <col min="11777" max="11784" width="11" style="50" customWidth="1"/>
    <col min="11785" max="11788" width="0" style="50" hidden="1" customWidth="1"/>
    <col min="11789" max="12032" width="11" style="50"/>
    <col min="12033" max="12040" width="11" style="50" customWidth="1"/>
    <col min="12041" max="12044" width="0" style="50" hidden="1" customWidth="1"/>
    <col min="12045" max="12288" width="11" style="50"/>
    <col min="12289" max="12296" width="11" style="50" customWidth="1"/>
    <col min="12297" max="12300" width="0" style="50" hidden="1" customWidth="1"/>
    <col min="12301" max="12544" width="11" style="50"/>
    <col min="12545" max="12552" width="11" style="50" customWidth="1"/>
    <col min="12553" max="12556" width="0" style="50" hidden="1" customWidth="1"/>
    <col min="12557" max="12800" width="11" style="50"/>
    <col min="12801" max="12808" width="11" style="50" customWidth="1"/>
    <col min="12809" max="12812" width="0" style="50" hidden="1" customWidth="1"/>
    <col min="12813" max="13056" width="11" style="50"/>
    <col min="13057" max="13064" width="11" style="50" customWidth="1"/>
    <col min="13065" max="13068" width="0" style="50" hidden="1" customWidth="1"/>
    <col min="13069" max="13312" width="11" style="50"/>
    <col min="13313" max="13320" width="11" style="50" customWidth="1"/>
    <col min="13321" max="13324" width="0" style="50" hidden="1" customWidth="1"/>
    <col min="13325" max="13568" width="11" style="50"/>
    <col min="13569" max="13576" width="11" style="50" customWidth="1"/>
    <col min="13577" max="13580" width="0" style="50" hidden="1" customWidth="1"/>
    <col min="13581" max="13824" width="11" style="50"/>
    <col min="13825" max="13832" width="11" style="50" customWidth="1"/>
    <col min="13833" max="13836" width="0" style="50" hidden="1" customWidth="1"/>
    <col min="13837" max="14080" width="11" style="50"/>
    <col min="14081" max="14088" width="11" style="50" customWidth="1"/>
    <col min="14089" max="14092" width="0" style="50" hidden="1" customWidth="1"/>
    <col min="14093" max="14336" width="11" style="50"/>
    <col min="14337" max="14344" width="11" style="50" customWidth="1"/>
    <col min="14345" max="14348" width="0" style="50" hidden="1" customWidth="1"/>
    <col min="14349" max="14592" width="11" style="50"/>
    <col min="14593" max="14600" width="11" style="50" customWidth="1"/>
    <col min="14601" max="14604" width="0" style="50" hidden="1" customWidth="1"/>
    <col min="14605" max="14848" width="11" style="50"/>
    <col min="14849" max="14856" width="11" style="50" customWidth="1"/>
    <col min="14857" max="14860" width="0" style="50" hidden="1" customWidth="1"/>
    <col min="14861" max="15104" width="11" style="50"/>
    <col min="15105" max="15112" width="11" style="50" customWidth="1"/>
    <col min="15113" max="15116" width="0" style="50" hidden="1" customWidth="1"/>
    <col min="15117" max="15360" width="11" style="50"/>
    <col min="15361" max="15368" width="11" style="50" customWidth="1"/>
    <col min="15369" max="15372" width="0" style="50" hidden="1" customWidth="1"/>
    <col min="15373" max="15616" width="11" style="50"/>
    <col min="15617" max="15624" width="11" style="50" customWidth="1"/>
    <col min="15625" max="15628" width="0" style="50" hidden="1" customWidth="1"/>
    <col min="15629" max="15872" width="11" style="50"/>
    <col min="15873" max="15880" width="11" style="50" customWidth="1"/>
    <col min="15881" max="15884" width="0" style="50" hidden="1" customWidth="1"/>
    <col min="15885" max="16128" width="11" style="50"/>
    <col min="16129" max="16136" width="11" style="50" customWidth="1"/>
    <col min="16137" max="16140" width="0" style="50" hidden="1" customWidth="1"/>
    <col min="16141" max="16384" width="11" style="50"/>
  </cols>
  <sheetData>
    <row r="1" spans="1:12">
      <c r="A1" s="69" t="s">
        <v>301</v>
      </c>
    </row>
    <row r="3" spans="1:12" ht="15">
      <c r="A3" s="52" t="s">
        <v>274</v>
      </c>
      <c r="B3" s="53"/>
      <c r="D3" s="70" t="s">
        <v>275</v>
      </c>
      <c r="E3" s="72"/>
    </row>
    <row r="4" spans="1:12" ht="16">
      <c r="A4" s="54" t="s">
        <v>276</v>
      </c>
      <c r="B4" s="55">
        <v>30</v>
      </c>
      <c r="D4" s="56" t="s">
        <v>277</v>
      </c>
    </row>
    <row r="5" spans="1:12" ht="16">
      <c r="A5" s="54" t="s">
        <v>278</v>
      </c>
      <c r="B5" s="55">
        <v>20</v>
      </c>
      <c r="D5" s="56" t="s">
        <v>279</v>
      </c>
    </row>
    <row r="6" spans="1:12">
      <c r="A6" s="49"/>
      <c r="B6" s="57"/>
      <c r="D6" s="49" t="s">
        <v>280</v>
      </c>
    </row>
    <row r="7" spans="1:12">
      <c r="A7" s="49"/>
      <c r="B7" s="57"/>
      <c r="D7" s="49" t="s">
        <v>281</v>
      </c>
    </row>
    <row r="8" spans="1:12">
      <c r="D8" s="49" t="s">
        <v>282</v>
      </c>
    </row>
    <row r="9" spans="1:12">
      <c r="D9" s="49" t="s">
        <v>283</v>
      </c>
    </row>
    <row r="10" spans="1:12">
      <c r="A10" s="58"/>
      <c r="B10" s="58"/>
      <c r="D10" s="49" t="s">
        <v>284</v>
      </c>
    </row>
    <row r="11" spans="1:12">
      <c r="D11" s="49" t="s">
        <v>285</v>
      </c>
    </row>
    <row r="12" spans="1:12">
      <c r="D12" s="49" t="s">
        <v>286</v>
      </c>
      <c r="L12" s="49" t="s">
        <v>287</v>
      </c>
    </row>
    <row r="13" spans="1:12" ht="14">
      <c r="D13" s="59" t="s">
        <v>288</v>
      </c>
      <c r="E13"/>
      <c r="F13"/>
      <c r="G13"/>
      <c r="H13"/>
      <c r="I13"/>
      <c r="L13" s="60">
        <f>B4/B5</f>
        <v>1.5</v>
      </c>
    </row>
    <row r="14" spans="1:12" ht="14">
      <c r="D14"/>
      <c r="E14"/>
      <c r="F14"/>
      <c r="G14"/>
      <c r="H14"/>
      <c r="I14"/>
    </row>
    <row r="16" spans="1:12">
      <c r="A16" s="49" t="s">
        <v>289</v>
      </c>
      <c r="J16" s="61" t="s">
        <v>290</v>
      </c>
    </row>
    <row r="17" spans="1:14" ht="13" thickBot="1">
      <c r="A17" s="62" t="s">
        <v>291</v>
      </c>
      <c r="B17" s="63" t="s">
        <v>292</v>
      </c>
      <c r="C17" s="63" t="s">
        <v>293</v>
      </c>
      <c r="D17" s="63" t="s">
        <v>294</v>
      </c>
      <c r="E17" s="63" t="s">
        <v>295</v>
      </c>
      <c r="F17" s="63" t="s">
        <v>296</v>
      </c>
      <c r="G17" s="63" t="s">
        <v>297</v>
      </c>
      <c r="H17" s="64" t="s">
        <v>298</v>
      </c>
      <c r="J17" s="61" t="s">
        <v>299</v>
      </c>
      <c r="K17" s="61" t="s">
        <v>300</v>
      </c>
    </row>
    <row r="18" spans="1:14">
      <c r="A18" s="60">
        <v>0</v>
      </c>
      <c r="B18" s="65"/>
      <c r="J18" s="66">
        <v>1</v>
      </c>
      <c r="K18" s="66">
        <v>1</v>
      </c>
    </row>
    <row r="19" spans="1:14">
      <c r="A19" s="60">
        <f t="shared" ref="A19:A82" si="0">A18+1</f>
        <v>1</v>
      </c>
      <c r="B19" s="67" t="str">
        <f>IF(H19&lt;1,F19*J19*H19/(1-H19)^2,"infinity")</f>
        <v>infinity</v>
      </c>
      <c r="C19" s="68" t="str">
        <f t="shared" ref="C19:C82" si="1">IF(H19&lt;1,B19+$L$13,"infinity")</f>
        <v>infinity</v>
      </c>
      <c r="D19" s="68" t="str">
        <f t="shared" ref="D19:D82" si="2">IF(H19&lt;1,B19/$B$4,"infinity")</f>
        <v>infinity</v>
      </c>
      <c r="E19" s="68" t="str">
        <f t="shared" ref="E19:E82" si="3">IF(H19&lt;1,D19+1/$B$5,"infinity")</f>
        <v>infinity</v>
      </c>
      <c r="F19" s="68">
        <f>IF($B$4&lt;A19*$B$5,1/(K18+J19/(1-H19)),0)</f>
        <v>0</v>
      </c>
      <c r="G19" s="68">
        <f>IF(H19&lt;1,1-F19*K18,1)</f>
        <v>1</v>
      </c>
      <c r="H19" s="68">
        <f t="shared" ref="H19:H82" si="4">MIN(1,+$L$13/A19)</f>
        <v>1</v>
      </c>
      <c r="J19" s="66">
        <f>L13</f>
        <v>1.5</v>
      </c>
      <c r="K19" s="66">
        <f t="shared" ref="K19:K82" si="5">K18+J19</f>
        <v>2.5</v>
      </c>
    </row>
    <row r="20" spans="1:14">
      <c r="A20" s="60">
        <f t="shared" si="0"/>
        <v>2</v>
      </c>
      <c r="B20" s="67">
        <f t="shared" ref="B20:B83" si="6">IF(H20&lt;1,F20*J20*H20/(1-H20)^2,"infinity")</f>
        <v>1.9285714285714284</v>
      </c>
      <c r="C20" s="68">
        <f t="shared" si="1"/>
        <v>3.4285714285714284</v>
      </c>
      <c r="D20" s="68">
        <f t="shared" si="2"/>
        <v>6.4285714285714279E-2</v>
      </c>
      <c r="E20" s="68">
        <f t="shared" si="3"/>
        <v>0.11428571428571428</v>
      </c>
      <c r="F20" s="68">
        <f t="shared" ref="F20:F83" si="7">IF($B$4&lt;A20*$B$5,1/(K19+J20/(1-H20)),0)</f>
        <v>0.14285714285714285</v>
      </c>
      <c r="G20" s="68">
        <f t="shared" ref="G20:G83" si="8">IF(H20&lt;1,1-F20*K19,1)</f>
        <v>0.6428571428571429</v>
      </c>
      <c r="H20" s="68">
        <f t="shared" si="4"/>
        <v>0.75</v>
      </c>
      <c r="J20" s="66">
        <f t="shared" ref="J20:J83" si="9">$L$13*J19/A20</f>
        <v>1.125</v>
      </c>
      <c r="K20" s="66">
        <f t="shared" si="5"/>
        <v>3.625</v>
      </c>
    </row>
    <row r="21" spans="1:14" ht="13">
      <c r="A21" s="60">
        <f t="shared" si="0"/>
        <v>3</v>
      </c>
      <c r="B21" s="67">
        <f t="shared" si="6"/>
        <v>0.23684210526315788</v>
      </c>
      <c r="C21" s="68">
        <f t="shared" si="1"/>
        <v>1.736842105263158</v>
      </c>
      <c r="D21" s="71">
        <f t="shared" si="2"/>
        <v>7.8947368421052634E-3</v>
      </c>
      <c r="E21" s="68">
        <f t="shared" si="3"/>
        <v>5.7894736842105263E-2</v>
      </c>
      <c r="F21" s="68">
        <f t="shared" si="7"/>
        <v>0.21052631578947367</v>
      </c>
      <c r="G21" s="68">
        <f t="shared" si="8"/>
        <v>0.23684210526315796</v>
      </c>
      <c r="H21" s="68">
        <f t="shared" si="4"/>
        <v>0.5</v>
      </c>
      <c r="J21" s="66">
        <f t="shared" si="9"/>
        <v>0.5625</v>
      </c>
      <c r="K21" s="66">
        <f t="shared" si="5"/>
        <v>4.1875</v>
      </c>
      <c r="M21" s="50">
        <f>D21*60</f>
        <v>0.47368421052631582</v>
      </c>
      <c r="N21" s="50" t="s">
        <v>302</v>
      </c>
    </row>
    <row r="22" spans="1:14">
      <c r="A22" s="60">
        <f t="shared" si="0"/>
        <v>4</v>
      </c>
      <c r="B22" s="67">
        <f t="shared" si="6"/>
        <v>4.4751381215469614E-2</v>
      </c>
      <c r="C22" s="68">
        <f t="shared" si="1"/>
        <v>1.5447513812154696</v>
      </c>
      <c r="D22" s="68">
        <f t="shared" si="2"/>
        <v>1.4917127071823204E-3</v>
      </c>
      <c r="E22" s="68">
        <f t="shared" si="3"/>
        <v>5.1491712707182322E-2</v>
      </c>
      <c r="F22" s="68">
        <f t="shared" si="7"/>
        <v>0.22099447513812154</v>
      </c>
      <c r="G22" s="68">
        <f t="shared" si="8"/>
        <v>7.4585635359116109E-2</v>
      </c>
      <c r="H22" s="68">
        <f t="shared" si="4"/>
        <v>0.375</v>
      </c>
      <c r="J22" s="66">
        <f t="shared" si="9"/>
        <v>0.2109375</v>
      </c>
      <c r="K22" s="66">
        <f t="shared" si="5"/>
        <v>4.3984375</v>
      </c>
    </row>
    <row r="23" spans="1:14">
      <c r="A23" s="60">
        <f t="shared" si="0"/>
        <v>5</v>
      </c>
      <c r="B23" s="67">
        <f t="shared" si="6"/>
        <v>8.6311003765006736E-3</v>
      </c>
      <c r="C23" s="68">
        <f t="shared" si="1"/>
        <v>1.5086311003765007</v>
      </c>
      <c r="D23" s="68">
        <f t="shared" si="2"/>
        <v>2.877033458833558E-4</v>
      </c>
      <c r="E23" s="68">
        <f t="shared" si="3"/>
        <v>5.028770334588336E-2</v>
      </c>
      <c r="F23" s="68">
        <f t="shared" si="7"/>
        <v>0.22277473893585281</v>
      </c>
      <c r="G23" s="68">
        <f t="shared" si="8"/>
        <v>2.0139234211834944E-2</v>
      </c>
      <c r="H23" s="68">
        <f t="shared" si="4"/>
        <v>0.3</v>
      </c>
      <c r="J23" s="66">
        <f t="shared" si="9"/>
        <v>6.3281249999999997E-2</v>
      </c>
      <c r="K23" s="66">
        <f t="shared" si="5"/>
        <v>4.4617187500000002</v>
      </c>
    </row>
    <row r="24" spans="1:14">
      <c r="A24" s="60">
        <f t="shared" si="0"/>
        <v>6</v>
      </c>
      <c r="B24" s="67">
        <f t="shared" si="6"/>
        <v>1.5684907633321714E-3</v>
      </c>
      <c r="C24" s="68">
        <f t="shared" si="1"/>
        <v>1.5015684907633322</v>
      </c>
      <c r="D24" s="68">
        <f t="shared" si="2"/>
        <v>5.2283025444405711E-5</v>
      </c>
      <c r="E24" s="68">
        <f t="shared" si="3"/>
        <v>5.0052283025444406E-2</v>
      </c>
      <c r="F24" s="68">
        <f t="shared" si="7"/>
        <v>0.22307424189613104</v>
      </c>
      <c r="G24" s="68">
        <f t="shared" si="8"/>
        <v>4.7054722899965151E-3</v>
      </c>
      <c r="H24" s="68">
        <f t="shared" si="4"/>
        <v>0.25</v>
      </c>
      <c r="J24" s="66">
        <f t="shared" si="9"/>
        <v>1.5820312499999999E-2</v>
      </c>
      <c r="K24" s="66">
        <f t="shared" si="5"/>
        <v>4.4775390625</v>
      </c>
    </row>
    <row r="25" spans="1:14">
      <c r="A25" s="60">
        <f t="shared" si="0"/>
        <v>7</v>
      </c>
      <c r="B25" s="67">
        <f t="shared" si="6"/>
        <v>2.6255151087769998E-4</v>
      </c>
      <c r="C25" s="68">
        <f t="shared" si="1"/>
        <v>1.5002625515108776</v>
      </c>
      <c r="D25" s="68">
        <f t="shared" si="2"/>
        <v>8.7517170292566665E-6</v>
      </c>
      <c r="E25" s="68">
        <f t="shared" si="3"/>
        <v>5.0008751717029259E-2</v>
      </c>
      <c r="F25" s="68">
        <f t="shared" si="7"/>
        <v>0.22312196436070331</v>
      </c>
      <c r="G25" s="68">
        <f t="shared" si="8"/>
        <v>9.6268887321815377E-4</v>
      </c>
      <c r="H25" s="68">
        <f t="shared" si="4"/>
        <v>0.21428571428571427</v>
      </c>
      <c r="J25" s="66">
        <f t="shared" si="9"/>
        <v>3.390066964285714E-3</v>
      </c>
      <c r="K25" s="66">
        <f t="shared" si="5"/>
        <v>4.4809291294642861</v>
      </c>
    </row>
    <row r="26" spans="1:14">
      <c r="A26" s="60">
        <f t="shared" si="0"/>
        <v>8</v>
      </c>
      <c r="B26" s="67">
        <f t="shared" si="6"/>
        <v>4.0282850074820728E-5</v>
      </c>
      <c r="C26" s="68">
        <f t="shared" si="1"/>
        <v>1.5000402828500747</v>
      </c>
      <c r="D26" s="68">
        <f t="shared" si="2"/>
        <v>1.3427616691606909E-6</v>
      </c>
      <c r="E26" s="68">
        <f t="shared" si="3"/>
        <v>5.0001342761669162E-2</v>
      </c>
      <c r="F26" s="68">
        <f t="shared" si="7"/>
        <v>0.22312904580629742</v>
      </c>
      <c r="G26" s="68">
        <f t="shared" si="8"/>
        <v>1.7455901699092724E-4</v>
      </c>
      <c r="H26" s="68">
        <f t="shared" si="4"/>
        <v>0.1875</v>
      </c>
      <c r="J26" s="66">
        <f t="shared" si="9"/>
        <v>6.3563755580357134E-4</v>
      </c>
      <c r="K26" s="66">
        <f t="shared" si="5"/>
        <v>4.4815647670200898</v>
      </c>
    </row>
    <row r="27" spans="1:14">
      <c r="A27" s="60">
        <f t="shared" si="0"/>
        <v>9</v>
      </c>
      <c r="B27" s="67">
        <f t="shared" si="6"/>
        <v>5.6731928098779215E-6</v>
      </c>
      <c r="C27" s="68">
        <f t="shared" si="1"/>
        <v>1.50000567319281</v>
      </c>
      <c r="D27" s="68">
        <f t="shared" si="2"/>
        <v>1.8910642699593071E-7</v>
      </c>
      <c r="E27" s="68">
        <f t="shared" si="3"/>
        <v>5.0000189106427E-2</v>
      </c>
      <c r="F27" s="68">
        <f t="shared" si="7"/>
        <v>0.22313001954021922</v>
      </c>
      <c r="G27" s="68">
        <f t="shared" si="8"/>
        <v>2.836596404942604E-5</v>
      </c>
      <c r="H27" s="68">
        <f t="shared" si="4"/>
        <v>0.16666666666666666</v>
      </c>
      <c r="J27" s="66">
        <f t="shared" si="9"/>
        <v>1.0593959263392856E-4</v>
      </c>
      <c r="K27" s="66">
        <f t="shared" si="5"/>
        <v>4.4816707066127233</v>
      </c>
    </row>
    <row r="28" spans="1:14">
      <c r="A28" s="60">
        <f t="shared" si="0"/>
        <v>10</v>
      </c>
      <c r="B28" s="67">
        <f t="shared" si="6"/>
        <v>7.3614134497620312E-7</v>
      </c>
      <c r="C28" s="68">
        <f t="shared" si="1"/>
        <v>1.500000736141345</v>
      </c>
      <c r="D28" s="68">
        <f t="shared" si="2"/>
        <v>2.4538044832540103E-8</v>
      </c>
      <c r="E28" s="68">
        <f t="shared" si="3"/>
        <v>5.0000024538044835E-2</v>
      </c>
      <c r="F28" s="68">
        <f t="shared" si="7"/>
        <v>0.2231301436441728</v>
      </c>
      <c r="G28" s="68">
        <f t="shared" si="8"/>
        <v>4.1714676216608737E-6</v>
      </c>
      <c r="H28" s="68">
        <f t="shared" si="4"/>
        <v>0.15</v>
      </c>
      <c r="J28" s="66">
        <f t="shared" si="9"/>
        <v>1.5890938895089285E-5</v>
      </c>
      <c r="K28" s="66">
        <f t="shared" si="5"/>
        <v>4.4816865975516187</v>
      </c>
    </row>
    <row r="29" spans="1:14">
      <c r="A29" s="60">
        <f t="shared" si="0"/>
        <v>11</v>
      </c>
      <c r="B29" s="67">
        <f t="shared" si="6"/>
        <v>8.8398142400535551E-8</v>
      </c>
      <c r="C29" s="68">
        <f t="shared" si="1"/>
        <v>1.5000000883981424</v>
      </c>
      <c r="D29" s="68">
        <f t="shared" si="2"/>
        <v>2.9466047466845182E-9</v>
      </c>
      <c r="E29" s="68">
        <f t="shared" si="3"/>
        <v>5.0000002946604748E-2</v>
      </c>
      <c r="F29" s="68">
        <f t="shared" si="7"/>
        <v>0.22313015834070277</v>
      </c>
      <c r="G29" s="68">
        <f t="shared" si="8"/>
        <v>5.598549018825949E-7</v>
      </c>
      <c r="H29" s="68">
        <f t="shared" si="4"/>
        <v>0.13636363636363635</v>
      </c>
      <c r="J29" s="66">
        <f t="shared" si="9"/>
        <v>2.1669462129667207E-6</v>
      </c>
      <c r="K29" s="66">
        <f t="shared" si="5"/>
        <v>4.4816887644978314</v>
      </c>
    </row>
    <row r="30" spans="1:14">
      <c r="A30" s="60">
        <f t="shared" si="0"/>
        <v>12</v>
      </c>
      <c r="B30" s="67">
        <f t="shared" si="6"/>
        <v>9.8675725536853788E-9</v>
      </c>
      <c r="C30" s="68">
        <f t="shared" si="1"/>
        <v>1.5000000098675725</v>
      </c>
      <c r="D30" s="68">
        <f t="shared" si="2"/>
        <v>3.2891908512284598E-10</v>
      </c>
      <c r="E30" s="68">
        <f t="shared" si="3"/>
        <v>5.0000000328919089E-2</v>
      </c>
      <c r="F30" s="68">
        <f t="shared" si="7"/>
        <v>0.22313015996304714</v>
      </c>
      <c r="G30" s="68">
        <f t="shared" si="8"/>
        <v>6.9073007757936011E-8</v>
      </c>
      <c r="H30" s="68">
        <f t="shared" si="4"/>
        <v>0.125</v>
      </c>
      <c r="J30" s="66">
        <f t="shared" si="9"/>
        <v>2.7086827662084009E-7</v>
      </c>
      <c r="K30" s="66">
        <f t="shared" si="5"/>
        <v>4.4816890353661076</v>
      </c>
    </row>
    <row r="31" spans="1:14">
      <c r="A31" s="60">
        <f t="shared" si="0"/>
        <v>13</v>
      </c>
      <c r="B31" s="67">
        <f t="shared" si="6"/>
        <v>1.0282607512860125E-9</v>
      </c>
      <c r="C31" s="68">
        <f t="shared" si="1"/>
        <v>1.5000000010282608</v>
      </c>
      <c r="D31" s="68">
        <f t="shared" si="2"/>
        <v>3.4275358376200417E-11</v>
      </c>
      <c r="E31" s="68">
        <f t="shared" si="3"/>
        <v>5.0000000034275363E-2</v>
      </c>
      <c r="F31" s="68">
        <f t="shared" si="7"/>
        <v>0.2231301601305718</v>
      </c>
      <c r="G31" s="68">
        <f t="shared" si="8"/>
        <v>7.883332542313326E-9</v>
      </c>
      <c r="H31" s="68">
        <f t="shared" si="4"/>
        <v>0.11538461538461539</v>
      </c>
      <c r="J31" s="66">
        <f t="shared" si="9"/>
        <v>3.1254031917789239E-8</v>
      </c>
      <c r="K31" s="66">
        <f t="shared" si="5"/>
        <v>4.4816890666201399</v>
      </c>
    </row>
    <row r="32" spans="1:14">
      <c r="A32" s="60">
        <f t="shared" si="0"/>
        <v>14</v>
      </c>
      <c r="B32" s="67">
        <f t="shared" si="6"/>
        <v>1.0042152691751693E-10</v>
      </c>
      <c r="C32" s="68">
        <f t="shared" si="1"/>
        <v>1.5000000001004214</v>
      </c>
      <c r="D32" s="68">
        <f t="shared" si="2"/>
        <v>3.3473842305838979E-12</v>
      </c>
      <c r="E32" s="68">
        <f t="shared" si="3"/>
        <v>5.0000000003347388E-2</v>
      </c>
      <c r="F32" s="68">
        <f t="shared" si="7"/>
        <v>0.22313016014680884</v>
      </c>
      <c r="G32" s="68">
        <f t="shared" si="8"/>
        <v>8.3684592588895157E-10</v>
      </c>
      <c r="H32" s="68">
        <f t="shared" si="4"/>
        <v>0.10714285714285714</v>
      </c>
      <c r="J32" s="66">
        <f t="shared" si="9"/>
        <v>3.34864627690599E-9</v>
      </c>
      <c r="K32" s="66">
        <f t="shared" si="5"/>
        <v>4.4816890699687866</v>
      </c>
    </row>
    <row r="33" spans="1:11">
      <c r="A33" s="60">
        <f t="shared" si="0"/>
        <v>15</v>
      </c>
      <c r="B33" s="67">
        <f t="shared" si="6"/>
        <v>9.2244935808149521E-12</v>
      </c>
      <c r="C33" s="68">
        <f t="shared" si="1"/>
        <v>1.5000000000092244</v>
      </c>
      <c r="D33" s="68">
        <f t="shared" si="2"/>
        <v>3.0748311936049842E-13</v>
      </c>
      <c r="E33" s="68">
        <f t="shared" si="3"/>
        <v>5.0000000000307486E-2</v>
      </c>
      <c r="F33" s="68">
        <f t="shared" si="7"/>
        <v>0.22313016014829073</v>
      </c>
      <c r="G33" s="68">
        <f t="shared" si="8"/>
        <v>8.3020479380024881E-11</v>
      </c>
      <c r="H33" s="68">
        <f t="shared" si="4"/>
        <v>0.1</v>
      </c>
      <c r="J33" s="66">
        <f t="shared" si="9"/>
        <v>3.3486462769059901E-10</v>
      </c>
      <c r="K33" s="66">
        <f t="shared" si="5"/>
        <v>4.4816890703036512</v>
      </c>
    </row>
    <row r="34" spans="1:11">
      <c r="A34" s="60">
        <f t="shared" si="0"/>
        <v>16</v>
      </c>
      <c r="B34" s="67">
        <f t="shared" si="6"/>
        <v>7.9960235676788958E-13</v>
      </c>
      <c r="C34" s="68">
        <f t="shared" si="1"/>
        <v>1.5000000000007996</v>
      </c>
      <c r="D34" s="68">
        <f t="shared" si="2"/>
        <v>2.6653411892262985E-14</v>
      </c>
      <c r="E34" s="68">
        <f t="shared" si="3"/>
        <v>5.0000000000026655E-2</v>
      </c>
      <c r="F34" s="68">
        <f t="shared" si="7"/>
        <v>0.22313016014841852</v>
      </c>
      <c r="G34" s="68">
        <f t="shared" si="8"/>
        <v>7.7293726974403398E-12</v>
      </c>
      <c r="H34" s="68">
        <f t="shared" si="4"/>
        <v>9.375E-2</v>
      </c>
      <c r="J34" s="66">
        <f t="shared" si="9"/>
        <v>3.1393558845993659E-11</v>
      </c>
      <c r="K34" s="66">
        <f t="shared" si="5"/>
        <v>4.4816890703350447</v>
      </c>
    </row>
    <row r="35" spans="1:11">
      <c r="A35" s="60">
        <f t="shared" si="0"/>
        <v>17</v>
      </c>
      <c r="B35" s="67">
        <f t="shared" si="6"/>
        <v>6.560213144268599E-14</v>
      </c>
      <c r="C35" s="68">
        <f t="shared" si="1"/>
        <v>1.5000000000000655</v>
      </c>
      <c r="D35" s="68">
        <f t="shared" si="2"/>
        <v>2.1867377147561995E-15</v>
      </c>
      <c r="E35" s="68">
        <f t="shared" si="3"/>
        <v>5.0000000000002189E-2</v>
      </c>
      <c r="F35" s="68">
        <f t="shared" si="7"/>
        <v>0.2231301601484289</v>
      </c>
      <c r="G35" s="68">
        <f t="shared" si="8"/>
        <v>6.780132011385831E-13</v>
      </c>
      <c r="H35" s="68">
        <f t="shared" si="4"/>
        <v>8.8235294117647065E-2</v>
      </c>
      <c r="J35" s="66">
        <f t="shared" si="9"/>
        <v>2.7700198981759111E-12</v>
      </c>
      <c r="K35" s="66">
        <f t="shared" si="5"/>
        <v>4.4816890703378149</v>
      </c>
    </row>
    <row r="36" spans="1:11">
      <c r="A36" s="60">
        <f t="shared" si="0"/>
        <v>18</v>
      </c>
      <c r="B36" s="67">
        <f t="shared" si="6"/>
        <v>5.108057714829158E-15</v>
      </c>
      <c r="C36" s="68">
        <f t="shared" si="1"/>
        <v>1.5000000000000051</v>
      </c>
      <c r="D36" s="68">
        <f t="shared" si="2"/>
        <v>1.7026859049430526E-16</v>
      </c>
      <c r="E36" s="68">
        <f t="shared" si="3"/>
        <v>5.0000000000000176E-2</v>
      </c>
      <c r="F36" s="68">
        <f t="shared" si="7"/>
        <v>0.22313016014842971</v>
      </c>
      <c r="G36" s="68">
        <f t="shared" si="8"/>
        <v>5.6288307348495437E-14</v>
      </c>
      <c r="H36" s="68">
        <f t="shared" si="4"/>
        <v>8.3333333333333329E-2</v>
      </c>
      <c r="J36" s="66">
        <f t="shared" si="9"/>
        <v>2.3083499151465929E-13</v>
      </c>
      <c r="K36" s="66">
        <f t="shared" si="5"/>
        <v>4.4816890703380459</v>
      </c>
    </row>
    <row r="37" spans="1:11">
      <c r="A37" s="60">
        <f t="shared" si="0"/>
        <v>19</v>
      </c>
      <c r="B37" s="67">
        <f t="shared" si="6"/>
        <v>3.7841325520060918E-16</v>
      </c>
      <c r="C37" s="68">
        <f t="shared" si="1"/>
        <v>1.5000000000000004</v>
      </c>
      <c r="D37" s="68">
        <f t="shared" si="2"/>
        <v>1.261377517335364E-17</v>
      </c>
      <c r="E37" s="68">
        <f t="shared" si="3"/>
        <v>5.0000000000000017E-2</v>
      </c>
      <c r="F37" s="68">
        <f t="shared" si="7"/>
        <v>0.22313016014842979</v>
      </c>
      <c r="G37" s="68">
        <f t="shared" si="8"/>
        <v>4.4408920985006262E-15</v>
      </c>
      <c r="H37" s="68">
        <f t="shared" si="4"/>
        <v>7.8947368421052627E-2</v>
      </c>
      <c r="J37" s="66">
        <f t="shared" si="9"/>
        <v>1.8223815119578365E-14</v>
      </c>
      <c r="K37" s="66">
        <f t="shared" si="5"/>
        <v>4.4816890703380645</v>
      </c>
    </row>
    <row r="38" spans="1:11">
      <c r="A38" s="60">
        <f t="shared" si="0"/>
        <v>20</v>
      </c>
      <c r="B38" s="67">
        <f t="shared" si="6"/>
        <v>2.6732319266122762E-17</v>
      </c>
      <c r="C38" s="68">
        <f t="shared" si="1"/>
        <v>1.5</v>
      </c>
      <c r="D38" s="68">
        <f t="shared" si="2"/>
        <v>8.9107730887075876E-19</v>
      </c>
      <c r="E38" s="68">
        <f t="shared" si="3"/>
        <v>0.05</v>
      </c>
      <c r="F38" s="68">
        <f t="shared" si="7"/>
        <v>0.22313016014842976</v>
      </c>
      <c r="G38" s="68">
        <f t="shared" si="8"/>
        <v>3.3306690738754696E-16</v>
      </c>
      <c r="H38" s="68">
        <f t="shared" si="4"/>
        <v>7.4999999999999997E-2</v>
      </c>
      <c r="J38" s="66">
        <f t="shared" si="9"/>
        <v>1.3667861339683774E-15</v>
      </c>
      <c r="K38" s="66">
        <f t="shared" si="5"/>
        <v>4.4816890703380663</v>
      </c>
    </row>
    <row r="39" spans="1:11">
      <c r="A39" s="60">
        <f t="shared" si="0"/>
        <v>21</v>
      </c>
      <c r="B39" s="67">
        <f t="shared" si="6"/>
        <v>1.804563366633238E-18</v>
      </c>
      <c r="C39" s="68">
        <f t="shared" si="1"/>
        <v>1.5</v>
      </c>
      <c r="D39" s="68">
        <f t="shared" si="2"/>
        <v>6.0152112221107931E-20</v>
      </c>
      <c r="E39" s="68">
        <f t="shared" si="3"/>
        <v>0.05</v>
      </c>
      <c r="F39" s="68">
        <f t="shared" si="7"/>
        <v>0.22313016014842976</v>
      </c>
      <c r="G39" s="68">
        <f t="shared" si="8"/>
        <v>0</v>
      </c>
      <c r="H39" s="68">
        <f t="shared" si="4"/>
        <v>7.1428571428571425E-2</v>
      </c>
      <c r="J39" s="66">
        <f t="shared" si="9"/>
        <v>9.762758099774124E-17</v>
      </c>
      <c r="K39" s="66">
        <f t="shared" si="5"/>
        <v>4.4816890703380663</v>
      </c>
    </row>
    <row r="40" spans="1:11">
      <c r="A40" s="60">
        <f t="shared" si="0"/>
        <v>22</v>
      </c>
      <c r="B40" s="67">
        <f t="shared" si="6"/>
        <v>1.1662874482234871E-19</v>
      </c>
      <c r="C40" s="68">
        <f t="shared" si="1"/>
        <v>1.5</v>
      </c>
      <c r="D40" s="68">
        <f t="shared" si="2"/>
        <v>3.8876248274116237E-21</v>
      </c>
      <c r="E40" s="68">
        <f t="shared" si="3"/>
        <v>0.05</v>
      </c>
      <c r="F40" s="68">
        <f t="shared" si="7"/>
        <v>0.22313016014842976</v>
      </c>
      <c r="G40" s="68">
        <f t="shared" si="8"/>
        <v>0</v>
      </c>
      <c r="H40" s="68">
        <f t="shared" si="4"/>
        <v>6.8181818181818177E-2</v>
      </c>
      <c r="J40" s="66">
        <f t="shared" si="9"/>
        <v>6.6564259771187211E-18</v>
      </c>
      <c r="K40" s="66">
        <f t="shared" si="5"/>
        <v>4.4816890703380663</v>
      </c>
    </row>
    <row r="41" spans="1:11">
      <c r="A41" s="60">
        <f t="shared" si="0"/>
        <v>23</v>
      </c>
      <c r="B41" s="67">
        <f t="shared" si="6"/>
        <v>7.2294454021719935E-21</v>
      </c>
      <c r="C41" s="68">
        <f t="shared" si="1"/>
        <v>1.5</v>
      </c>
      <c r="D41" s="68">
        <f t="shared" si="2"/>
        <v>2.4098151340573309E-22</v>
      </c>
      <c r="E41" s="68">
        <f t="shared" si="3"/>
        <v>0.05</v>
      </c>
      <c r="F41" s="68">
        <f t="shared" si="7"/>
        <v>0.22313016014842976</v>
      </c>
      <c r="G41" s="68">
        <f t="shared" si="8"/>
        <v>0</v>
      </c>
      <c r="H41" s="68">
        <f t="shared" si="4"/>
        <v>6.5217391304347824E-2</v>
      </c>
      <c r="J41" s="66">
        <f t="shared" si="9"/>
        <v>4.3411473763817751E-19</v>
      </c>
      <c r="K41" s="66">
        <f t="shared" si="5"/>
        <v>4.4816890703380663</v>
      </c>
    </row>
    <row r="42" spans="1:11">
      <c r="A42" s="60">
        <f t="shared" si="0"/>
        <v>24</v>
      </c>
      <c r="B42" s="67">
        <f t="shared" si="6"/>
        <v>4.3050707080888946E-22</v>
      </c>
      <c r="C42" s="68">
        <f t="shared" si="1"/>
        <v>1.5</v>
      </c>
      <c r="D42" s="68">
        <f t="shared" si="2"/>
        <v>1.4350235693629649E-23</v>
      </c>
      <c r="E42" s="68">
        <f t="shared" si="3"/>
        <v>0.05</v>
      </c>
      <c r="F42" s="68">
        <f t="shared" si="7"/>
        <v>0.22313016014842976</v>
      </c>
      <c r="G42" s="68">
        <f t="shared" si="8"/>
        <v>0</v>
      </c>
      <c r="H42" s="68">
        <f t="shared" si="4"/>
        <v>6.25E-2</v>
      </c>
      <c r="J42" s="66">
        <f t="shared" si="9"/>
        <v>2.7132171102386095E-20</v>
      </c>
      <c r="K42" s="66">
        <f t="shared" si="5"/>
        <v>4.4816890703380663</v>
      </c>
    </row>
    <row r="43" spans="1:11">
      <c r="A43" s="60">
        <f t="shared" si="0"/>
        <v>25</v>
      </c>
      <c r="B43" s="67">
        <f t="shared" si="6"/>
        <v>2.4665482638863767E-23</v>
      </c>
      <c r="C43" s="68">
        <f t="shared" si="1"/>
        <v>1.5</v>
      </c>
      <c r="D43" s="68">
        <f t="shared" si="2"/>
        <v>8.2218275462879223E-25</v>
      </c>
      <c r="E43" s="68">
        <f t="shared" si="3"/>
        <v>0.05</v>
      </c>
      <c r="F43" s="68">
        <f t="shared" si="7"/>
        <v>0.22313016014842976</v>
      </c>
      <c r="G43" s="68">
        <f t="shared" si="8"/>
        <v>0</v>
      </c>
      <c r="H43" s="68">
        <f t="shared" si="4"/>
        <v>0.06</v>
      </c>
      <c r="J43" s="66">
        <f t="shared" si="9"/>
        <v>1.6279302661431656E-21</v>
      </c>
      <c r="K43" s="66">
        <f t="shared" si="5"/>
        <v>4.4816890703380663</v>
      </c>
    </row>
    <row r="44" spans="1:11">
      <c r="A44" s="60">
        <f t="shared" si="0"/>
        <v>26</v>
      </c>
      <c r="B44" s="67">
        <f t="shared" si="6"/>
        <v>1.3615839520845497E-24</v>
      </c>
      <c r="C44" s="68">
        <f t="shared" si="1"/>
        <v>1.5</v>
      </c>
      <c r="D44" s="68">
        <f t="shared" si="2"/>
        <v>4.538613173615166E-26</v>
      </c>
      <c r="E44" s="68">
        <f t="shared" si="3"/>
        <v>0.05</v>
      </c>
      <c r="F44" s="68">
        <f t="shared" si="7"/>
        <v>0.22313016014842976</v>
      </c>
      <c r="G44" s="68">
        <f t="shared" si="8"/>
        <v>0</v>
      </c>
      <c r="H44" s="68">
        <f t="shared" si="4"/>
        <v>5.7692307692307696E-2</v>
      </c>
      <c r="J44" s="66">
        <f t="shared" si="9"/>
        <v>9.3919053815951858E-23</v>
      </c>
      <c r="K44" s="66">
        <f t="shared" si="5"/>
        <v>4.4816890703380663</v>
      </c>
    </row>
    <row r="45" spans="1:11">
      <c r="A45" s="60">
        <f t="shared" si="0"/>
        <v>27</v>
      </c>
      <c r="B45" s="67">
        <f t="shared" si="6"/>
        <v>7.2512711138208754E-26</v>
      </c>
      <c r="C45" s="68">
        <f t="shared" si="1"/>
        <v>1.5</v>
      </c>
      <c r="D45" s="68">
        <f t="shared" si="2"/>
        <v>2.4170903712736251E-27</v>
      </c>
      <c r="E45" s="68">
        <f t="shared" si="3"/>
        <v>0.05</v>
      </c>
      <c r="F45" s="68">
        <f t="shared" si="7"/>
        <v>0.22313016014842976</v>
      </c>
      <c r="G45" s="68">
        <f t="shared" si="8"/>
        <v>0</v>
      </c>
      <c r="H45" s="68">
        <f t="shared" si="4"/>
        <v>5.5555555555555552E-2</v>
      </c>
      <c r="J45" s="66">
        <f t="shared" si="9"/>
        <v>5.2177252119973252E-24</v>
      </c>
      <c r="K45" s="66">
        <f t="shared" si="5"/>
        <v>4.4816890703380663</v>
      </c>
    </row>
    <row r="46" spans="1:11">
      <c r="A46" s="60">
        <f t="shared" si="0"/>
        <v>28</v>
      </c>
      <c r="B46" s="67">
        <f t="shared" si="6"/>
        <v>3.7301839656358722E-27</v>
      </c>
      <c r="C46" s="68">
        <f t="shared" si="1"/>
        <v>1.5</v>
      </c>
      <c r="D46" s="68">
        <f t="shared" si="2"/>
        <v>1.2433946552119575E-28</v>
      </c>
      <c r="E46" s="68">
        <f t="shared" si="3"/>
        <v>0.05</v>
      </c>
      <c r="F46" s="68">
        <f t="shared" si="7"/>
        <v>0.22313016014842976</v>
      </c>
      <c r="G46" s="68">
        <f t="shared" si="8"/>
        <v>0</v>
      </c>
      <c r="H46" s="68">
        <f t="shared" si="4"/>
        <v>5.3571428571428568E-2</v>
      </c>
      <c r="J46" s="66">
        <f t="shared" si="9"/>
        <v>2.7952099349985672E-25</v>
      </c>
      <c r="K46" s="66">
        <f t="shared" si="5"/>
        <v>4.4816890703380663</v>
      </c>
    </row>
    <row r="47" spans="1:11">
      <c r="A47" s="60">
        <f t="shared" si="0"/>
        <v>29</v>
      </c>
      <c r="B47" s="67">
        <f t="shared" si="6"/>
        <v>1.8556233930586479E-28</v>
      </c>
      <c r="C47" s="68">
        <f t="shared" si="1"/>
        <v>1.5</v>
      </c>
      <c r="D47" s="68">
        <f t="shared" si="2"/>
        <v>6.1854113101954932E-30</v>
      </c>
      <c r="E47" s="68">
        <f t="shared" si="3"/>
        <v>0.05</v>
      </c>
      <c r="F47" s="68">
        <f t="shared" si="7"/>
        <v>0.22313016014842976</v>
      </c>
      <c r="G47" s="68">
        <f t="shared" si="8"/>
        <v>0</v>
      </c>
      <c r="H47" s="68">
        <f t="shared" si="4"/>
        <v>5.1724137931034482E-2</v>
      </c>
      <c r="J47" s="66">
        <f t="shared" si="9"/>
        <v>1.4457982422406383E-26</v>
      </c>
      <c r="K47" s="66">
        <f t="shared" si="5"/>
        <v>4.4816890703380663</v>
      </c>
    </row>
    <row r="48" spans="1:11">
      <c r="A48" s="60">
        <f t="shared" si="0"/>
        <v>30</v>
      </c>
      <c r="B48" s="67">
        <f t="shared" si="6"/>
        <v>8.9363211449715203E-30</v>
      </c>
      <c r="C48" s="68">
        <f t="shared" si="1"/>
        <v>1.5</v>
      </c>
      <c r="D48" s="68">
        <f t="shared" si="2"/>
        <v>2.9787737149905067E-31</v>
      </c>
      <c r="E48" s="68">
        <f t="shared" si="3"/>
        <v>0.05</v>
      </c>
      <c r="F48" s="68">
        <f t="shared" si="7"/>
        <v>0.22313016014842976</v>
      </c>
      <c r="G48" s="68">
        <f t="shared" si="8"/>
        <v>0</v>
      </c>
      <c r="H48" s="68">
        <f t="shared" si="4"/>
        <v>0.05</v>
      </c>
      <c r="J48" s="66">
        <f t="shared" si="9"/>
        <v>7.2289912112031912E-28</v>
      </c>
      <c r="K48" s="66">
        <f t="shared" si="5"/>
        <v>4.4816890703380663</v>
      </c>
    </row>
    <row r="49" spans="1:11">
      <c r="A49" s="60">
        <f t="shared" si="0"/>
        <v>31</v>
      </c>
      <c r="B49" s="67">
        <f t="shared" si="6"/>
        <v>4.1703687733427839E-31</v>
      </c>
      <c r="C49" s="68">
        <f t="shared" si="1"/>
        <v>1.5</v>
      </c>
      <c r="D49" s="68">
        <f t="shared" si="2"/>
        <v>1.3901229244475948E-32</v>
      </c>
      <c r="E49" s="68">
        <f t="shared" si="3"/>
        <v>0.05</v>
      </c>
      <c r="F49" s="68">
        <f t="shared" si="7"/>
        <v>0.22313016014842976</v>
      </c>
      <c r="G49" s="68">
        <f t="shared" si="8"/>
        <v>0</v>
      </c>
      <c r="H49" s="68">
        <f t="shared" si="4"/>
        <v>4.8387096774193547E-2</v>
      </c>
      <c r="J49" s="66">
        <f t="shared" si="9"/>
        <v>3.4978989731628343E-29</v>
      </c>
      <c r="K49" s="66">
        <f t="shared" si="5"/>
        <v>4.4816890703380663</v>
      </c>
    </row>
    <row r="50" spans="1:11">
      <c r="A50" s="60">
        <f t="shared" si="0"/>
        <v>32</v>
      </c>
      <c r="B50" s="67">
        <f t="shared" si="6"/>
        <v>1.8877669504390381E-32</v>
      </c>
      <c r="C50" s="68">
        <f t="shared" si="1"/>
        <v>1.5</v>
      </c>
      <c r="D50" s="68">
        <f t="shared" si="2"/>
        <v>6.29255650146346E-34</v>
      </c>
      <c r="E50" s="68">
        <f t="shared" si="3"/>
        <v>0.05</v>
      </c>
      <c r="F50" s="68">
        <f t="shared" si="7"/>
        <v>0.22313016014842976</v>
      </c>
      <c r="G50" s="68">
        <f t="shared" si="8"/>
        <v>0</v>
      </c>
      <c r="H50" s="68">
        <f t="shared" si="4"/>
        <v>4.6875E-2</v>
      </c>
      <c r="J50" s="66">
        <f t="shared" si="9"/>
        <v>1.6396401436700784E-30</v>
      </c>
      <c r="K50" s="66">
        <f t="shared" si="5"/>
        <v>4.4816890703380663</v>
      </c>
    </row>
    <row r="51" spans="1:11">
      <c r="A51" s="60">
        <f t="shared" si="0"/>
        <v>33</v>
      </c>
      <c r="B51" s="67">
        <f t="shared" si="6"/>
        <v>8.2959902005192503E-34</v>
      </c>
      <c r="C51" s="68">
        <f t="shared" si="1"/>
        <v>1.5</v>
      </c>
      <c r="D51" s="68">
        <f t="shared" si="2"/>
        <v>2.7653300668397503E-35</v>
      </c>
      <c r="E51" s="68">
        <f t="shared" si="3"/>
        <v>0.05</v>
      </c>
      <c r="F51" s="68">
        <f t="shared" si="7"/>
        <v>0.22313016014842976</v>
      </c>
      <c r="G51" s="68">
        <f t="shared" si="8"/>
        <v>0</v>
      </c>
      <c r="H51" s="68">
        <f t="shared" si="4"/>
        <v>4.5454545454545456E-2</v>
      </c>
      <c r="J51" s="66">
        <f t="shared" si="9"/>
        <v>7.4529097439549019E-32</v>
      </c>
      <c r="K51" s="66">
        <f t="shared" si="5"/>
        <v>4.4816890703380663</v>
      </c>
    </row>
    <row r="52" spans="1:11">
      <c r="A52" s="60">
        <f t="shared" si="0"/>
        <v>34</v>
      </c>
      <c r="B52" s="67">
        <f t="shared" si="6"/>
        <v>3.5424190538849824E-35</v>
      </c>
      <c r="C52" s="68">
        <f t="shared" si="1"/>
        <v>1.5</v>
      </c>
      <c r="D52" s="68">
        <f t="shared" si="2"/>
        <v>1.1808063512949941E-36</v>
      </c>
      <c r="E52" s="68">
        <f t="shared" si="3"/>
        <v>0.05</v>
      </c>
      <c r="F52" s="68">
        <f t="shared" si="7"/>
        <v>0.22313016014842976</v>
      </c>
      <c r="G52" s="68">
        <f t="shared" si="8"/>
        <v>0</v>
      </c>
      <c r="H52" s="68">
        <f t="shared" si="4"/>
        <v>4.4117647058823532E-2</v>
      </c>
      <c r="J52" s="66">
        <f t="shared" si="9"/>
        <v>3.2880484164506921E-33</v>
      </c>
      <c r="K52" s="66">
        <f t="shared" si="5"/>
        <v>4.4816890703380663</v>
      </c>
    </row>
    <row r="53" spans="1:11">
      <c r="A53" s="60">
        <f t="shared" si="0"/>
        <v>35</v>
      </c>
      <c r="B53" s="67">
        <f t="shared" si="6"/>
        <v>1.4709211244477399E-36</v>
      </c>
      <c r="C53" s="68">
        <f t="shared" si="1"/>
        <v>1.5</v>
      </c>
      <c r="D53" s="68">
        <f t="shared" si="2"/>
        <v>4.9030704148257995E-38</v>
      </c>
      <c r="E53" s="68">
        <f t="shared" si="3"/>
        <v>0.05</v>
      </c>
      <c r="F53" s="68">
        <f t="shared" si="7"/>
        <v>0.22313016014842976</v>
      </c>
      <c r="G53" s="68">
        <f t="shared" si="8"/>
        <v>0</v>
      </c>
      <c r="H53" s="68">
        <f t="shared" si="4"/>
        <v>4.2857142857142858E-2</v>
      </c>
      <c r="J53" s="66">
        <f t="shared" si="9"/>
        <v>1.4091636070502967E-34</v>
      </c>
      <c r="K53" s="66">
        <f t="shared" si="5"/>
        <v>4.4816890703380663</v>
      </c>
    </row>
    <row r="54" spans="1:11">
      <c r="A54" s="60">
        <f t="shared" si="0"/>
        <v>36</v>
      </c>
      <c r="B54" s="67">
        <f t="shared" si="6"/>
        <v>5.9437977564550394E-38</v>
      </c>
      <c r="C54" s="68">
        <f t="shared" si="1"/>
        <v>1.5</v>
      </c>
      <c r="D54" s="68">
        <f t="shared" si="2"/>
        <v>1.9812659188183464E-39</v>
      </c>
      <c r="E54" s="68">
        <f t="shared" si="3"/>
        <v>0.05</v>
      </c>
      <c r="F54" s="68">
        <f t="shared" si="7"/>
        <v>0.22313016014842976</v>
      </c>
      <c r="G54" s="68">
        <f t="shared" si="8"/>
        <v>0</v>
      </c>
      <c r="H54" s="68">
        <f t="shared" si="4"/>
        <v>4.1666666666666664E-2</v>
      </c>
      <c r="J54" s="66">
        <f t="shared" si="9"/>
        <v>5.8715150293762357E-36</v>
      </c>
      <c r="K54" s="66">
        <f t="shared" si="5"/>
        <v>4.4816890703380663</v>
      </c>
    </row>
    <row r="55" spans="1:11">
      <c r="A55" s="60">
        <f t="shared" si="0"/>
        <v>37</v>
      </c>
      <c r="B55" s="67">
        <f t="shared" si="6"/>
        <v>2.3390217812671462E-39</v>
      </c>
      <c r="C55" s="68">
        <f t="shared" si="1"/>
        <v>1.5</v>
      </c>
      <c r="D55" s="68">
        <f t="shared" si="2"/>
        <v>7.796739270890487E-41</v>
      </c>
      <c r="E55" s="68">
        <f t="shared" si="3"/>
        <v>0.05</v>
      </c>
      <c r="F55" s="68">
        <f t="shared" si="7"/>
        <v>0.22313016014842976</v>
      </c>
      <c r="G55" s="68">
        <f t="shared" si="8"/>
        <v>0</v>
      </c>
      <c r="H55" s="68">
        <f t="shared" si="4"/>
        <v>4.0540540540540543E-2</v>
      </c>
      <c r="J55" s="66">
        <f t="shared" si="9"/>
        <v>2.3803439308282034E-37</v>
      </c>
      <c r="K55" s="66">
        <f t="shared" si="5"/>
        <v>4.4816890703380663</v>
      </c>
    </row>
    <row r="56" spans="1:11">
      <c r="A56" s="60">
        <f t="shared" si="0"/>
        <v>38</v>
      </c>
      <c r="B56" s="67">
        <f t="shared" si="6"/>
        <v>8.9700482312748337E-41</v>
      </c>
      <c r="C56" s="68">
        <f t="shared" si="1"/>
        <v>1.5</v>
      </c>
      <c r="D56" s="68">
        <f t="shared" si="2"/>
        <v>2.9900160770916112E-42</v>
      </c>
      <c r="E56" s="68">
        <f t="shared" si="3"/>
        <v>0.05</v>
      </c>
      <c r="F56" s="68">
        <f t="shared" si="7"/>
        <v>0.22313016014842976</v>
      </c>
      <c r="G56" s="68">
        <f t="shared" si="8"/>
        <v>0</v>
      </c>
      <c r="H56" s="68">
        <f t="shared" si="4"/>
        <v>3.9473684210526314E-2</v>
      </c>
      <c r="J56" s="66">
        <f t="shared" si="9"/>
        <v>9.39609446379554E-39</v>
      </c>
      <c r="K56" s="66">
        <f t="shared" si="5"/>
        <v>4.4816890703380663</v>
      </c>
    </row>
    <row r="57" spans="1:11">
      <c r="A57" s="60">
        <f t="shared" si="0"/>
        <v>39</v>
      </c>
      <c r="B57" s="67">
        <f t="shared" si="6"/>
        <v>3.3544832999623566E-42</v>
      </c>
      <c r="C57" s="68">
        <f t="shared" si="1"/>
        <v>1.5</v>
      </c>
      <c r="D57" s="68">
        <f t="shared" si="2"/>
        <v>1.1181610999874522E-43</v>
      </c>
      <c r="E57" s="68">
        <f t="shared" si="3"/>
        <v>0.05</v>
      </c>
      <c r="F57" s="68">
        <f t="shared" si="7"/>
        <v>0.22313016014842976</v>
      </c>
      <c r="G57" s="68">
        <f t="shared" si="8"/>
        <v>0</v>
      </c>
      <c r="H57" s="68">
        <f t="shared" si="4"/>
        <v>3.8461538461538464E-2</v>
      </c>
      <c r="J57" s="66">
        <f t="shared" si="9"/>
        <v>3.6138824860752079E-40</v>
      </c>
      <c r="K57" s="66">
        <f t="shared" si="5"/>
        <v>4.4816890703380663</v>
      </c>
    </row>
    <row r="58" spans="1:11">
      <c r="A58" s="60">
        <f t="shared" si="0"/>
        <v>40</v>
      </c>
      <c r="B58" s="67">
        <f t="shared" si="6"/>
        <v>1.2240336651847022E-43</v>
      </c>
      <c r="C58" s="68">
        <f t="shared" si="1"/>
        <v>1.5</v>
      </c>
      <c r="D58" s="68">
        <f t="shared" si="2"/>
        <v>4.0801122172823407E-45</v>
      </c>
      <c r="E58" s="68">
        <f t="shared" si="3"/>
        <v>0.05</v>
      </c>
      <c r="F58" s="68">
        <f t="shared" si="7"/>
        <v>0.22313016014842976</v>
      </c>
      <c r="G58" s="68">
        <f t="shared" si="8"/>
        <v>0</v>
      </c>
      <c r="H58" s="68">
        <f t="shared" si="4"/>
        <v>3.7499999999999999E-2</v>
      </c>
      <c r="J58" s="66">
        <f t="shared" si="9"/>
        <v>1.3552059322782029E-41</v>
      </c>
      <c r="K58" s="66">
        <f t="shared" si="5"/>
        <v>4.4816890703380663</v>
      </c>
    </row>
    <row r="59" spans="1:11">
      <c r="A59" s="60">
        <f t="shared" si="0"/>
        <v>41</v>
      </c>
      <c r="B59" s="67">
        <f t="shared" si="6"/>
        <v>4.3606567061849662E-45</v>
      </c>
      <c r="C59" s="68">
        <f t="shared" si="1"/>
        <v>1.5</v>
      </c>
      <c r="D59" s="68">
        <f t="shared" si="2"/>
        <v>1.4535522353949887E-46</v>
      </c>
      <c r="E59" s="68">
        <f t="shared" si="3"/>
        <v>0.05</v>
      </c>
      <c r="F59" s="68">
        <f t="shared" si="7"/>
        <v>0.22313016014842976</v>
      </c>
      <c r="G59" s="68">
        <f t="shared" si="8"/>
        <v>0</v>
      </c>
      <c r="H59" s="68">
        <f t="shared" si="4"/>
        <v>3.6585365853658534E-2</v>
      </c>
      <c r="J59" s="66">
        <f t="shared" si="9"/>
        <v>4.9580704839446448E-43</v>
      </c>
      <c r="K59" s="66">
        <f t="shared" si="5"/>
        <v>4.4816890703380663</v>
      </c>
    </row>
    <row r="60" spans="1:11">
      <c r="A60" s="60">
        <f t="shared" si="0"/>
        <v>42</v>
      </c>
      <c r="B60" s="67">
        <f t="shared" si="6"/>
        <v>1.5175515241560648E-46</v>
      </c>
      <c r="C60" s="68">
        <f t="shared" si="1"/>
        <v>1.5</v>
      </c>
      <c r="D60" s="68">
        <f t="shared" si="2"/>
        <v>5.0585050805202161E-48</v>
      </c>
      <c r="E60" s="68">
        <f t="shared" si="3"/>
        <v>0.05</v>
      </c>
      <c r="F60" s="68">
        <f t="shared" si="7"/>
        <v>0.22313016014842976</v>
      </c>
      <c r="G60" s="68">
        <f t="shared" si="8"/>
        <v>0</v>
      </c>
      <c r="H60" s="68">
        <f t="shared" si="4"/>
        <v>3.5714285714285712E-2</v>
      </c>
      <c r="J60" s="66">
        <f t="shared" si="9"/>
        <v>1.7707394585516591E-44</v>
      </c>
      <c r="K60" s="66">
        <f t="shared" si="5"/>
        <v>4.4816890703380663</v>
      </c>
    </row>
    <row r="61" spans="1:11">
      <c r="A61" s="60">
        <f t="shared" si="0"/>
        <v>43</v>
      </c>
      <c r="B61" s="67">
        <f t="shared" si="6"/>
        <v>5.1617773417186519E-48</v>
      </c>
      <c r="C61" s="68">
        <f t="shared" si="1"/>
        <v>1.5</v>
      </c>
      <c r="D61" s="68">
        <f t="shared" si="2"/>
        <v>1.7205924472395507E-49</v>
      </c>
      <c r="E61" s="68">
        <f t="shared" si="3"/>
        <v>0.05</v>
      </c>
      <c r="F61" s="68">
        <f t="shared" si="7"/>
        <v>0.22313016014842976</v>
      </c>
      <c r="G61" s="68">
        <f t="shared" si="8"/>
        <v>0</v>
      </c>
      <c r="H61" s="68">
        <f t="shared" si="4"/>
        <v>3.4883720930232558E-2</v>
      </c>
      <c r="J61" s="66">
        <f t="shared" si="9"/>
        <v>6.1769981112267186E-46</v>
      </c>
      <c r="K61" s="66">
        <f t="shared" si="5"/>
        <v>4.4816890703380663</v>
      </c>
    </row>
    <row r="62" spans="1:11">
      <c r="A62" s="60">
        <f t="shared" si="0"/>
        <v>44</v>
      </c>
      <c r="B62" s="67">
        <f t="shared" si="6"/>
        <v>1.7168818270105319E-49</v>
      </c>
      <c r="C62" s="68">
        <f t="shared" si="1"/>
        <v>1.5</v>
      </c>
      <c r="D62" s="68">
        <f t="shared" si="2"/>
        <v>5.7229394233684399E-51</v>
      </c>
      <c r="E62" s="68">
        <f t="shared" si="3"/>
        <v>0.05</v>
      </c>
      <c r="F62" s="68">
        <f t="shared" si="7"/>
        <v>0.22313016014842976</v>
      </c>
      <c r="G62" s="68">
        <f t="shared" si="8"/>
        <v>0</v>
      </c>
      <c r="H62" s="68">
        <f t="shared" si="4"/>
        <v>3.4090909090909088E-2</v>
      </c>
      <c r="J62" s="66">
        <f t="shared" si="9"/>
        <v>2.1057948106454723E-47</v>
      </c>
      <c r="K62" s="66">
        <f t="shared" si="5"/>
        <v>4.4816890703380663</v>
      </c>
    </row>
    <row r="63" spans="1:11">
      <c r="A63" s="60">
        <f t="shared" si="0"/>
        <v>45</v>
      </c>
      <c r="B63" s="67">
        <f t="shared" si="6"/>
        <v>5.5869956401790323E-51</v>
      </c>
      <c r="C63" s="68">
        <f t="shared" si="1"/>
        <v>1.5</v>
      </c>
      <c r="D63" s="68">
        <f t="shared" si="2"/>
        <v>1.8623318800596776E-52</v>
      </c>
      <c r="E63" s="68">
        <f t="shared" si="3"/>
        <v>0.05</v>
      </c>
      <c r="F63" s="68">
        <f t="shared" si="7"/>
        <v>0.22313016014842976</v>
      </c>
      <c r="G63" s="68">
        <f t="shared" si="8"/>
        <v>0</v>
      </c>
      <c r="H63" s="68">
        <f t="shared" si="4"/>
        <v>3.3333333333333333E-2</v>
      </c>
      <c r="J63" s="66">
        <f t="shared" si="9"/>
        <v>7.0193160354849086E-49</v>
      </c>
      <c r="K63" s="66">
        <f t="shared" si="5"/>
        <v>4.4816890703380663</v>
      </c>
    </row>
    <row r="64" spans="1:11">
      <c r="A64" s="60">
        <f t="shared" si="0"/>
        <v>46</v>
      </c>
      <c r="B64" s="67">
        <f t="shared" si="6"/>
        <v>1.7795720237560534E-52</v>
      </c>
      <c r="C64" s="68">
        <f t="shared" si="1"/>
        <v>1.5</v>
      </c>
      <c r="D64" s="68">
        <f t="shared" si="2"/>
        <v>5.9319067458535117E-54</v>
      </c>
      <c r="E64" s="68">
        <f t="shared" si="3"/>
        <v>0.05</v>
      </c>
      <c r="F64" s="68">
        <f t="shared" si="7"/>
        <v>0.22313016014842976</v>
      </c>
      <c r="G64" s="68">
        <f t="shared" si="8"/>
        <v>0</v>
      </c>
      <c r="H64" s="68">
        <f t="shared" si="4"/>
        <v>3.2608695652173912E-2</v>
      </c>
      <c r="J64" s="66">
        <f t="shared" si="9"/>
        <v>2.2889074028755134E-50</v>
      </c>
      <c r="K64" s="66">
        <f t="shared" si="5"/>
        <v>4.4816890703380663</v>
      </c>
    </row>
    <row r="65" spans="1:11">
      <c r="A65" s="60">
        <f t="shared" si="0"/>
        <v>47</v>
      </c>
      <c r="B65" s="67">
        <f t="shared" si="6"/>
        <v>5.5506804471885726E-54</v>
      </c>
      <c r="C65" s="68">
        <f t="shared" si="1"/>
        <v>1.5</v>
      </c>
      <c r="D65" s="68">
        <f t="shared" si="2"/>
        <v>1.8502268157295244E-55</v>
      </c>
      <c r="E65" s="68">
        <f t="shared" si="3"/>
        <v>0.05</v>
      </c>
      <c r="F65" s="68">
        <f t="shared" si="7"/>
        <v>0.22313016014842976</v>
      </c>
      <c r="G65" s="68">
        <f t="shared" si="8"/>
        <v>0</v>
      </c>
      <c r="H65" s="68">
        <f t="shared" si="4"/>
        <v>3.1914893617021274E-2</v>
      </c>
      <c r="J65" s="66">
        <f t="shared" si="9"/>
        <v>7.3050236261984477E-52</v>
      </c>
      <c r="K65" s="66">
        <f t="shared" si="5"/>
        <v>4.4816890703380663</v>
      </c>
    </row>
    <row r="66" spans="1:11">
      <c r="A66" s="60">
        <f t="shared" si="0"/>
        <v>48</v>
      </c>
      <c r="B66" s="67">
        <f t="shared" si="6"/>
        <v>1.696119762332698E-55</v>
      </c>
      <c r="C66" s="68">
        <f t="shared" si="1"/>
        <v>1.5</v>
      </c>
      <c r="D66" s="68">
        <f t="shared" si="2"/>
        <v>5.6537325411089928E-57</v>
      </c>
      <c r="E66" s="68">
        <f t="shared" si="3"/>
        <v>0.05</v>
      </c>
      <c r="F66" s="68">
        <f t="shared" si="7"/>
        <v>0.22313016014842976</v>
      </c>
      <c r="G66" s="68">
        <f t="shared" si="8"/>
        <v>0</v>
      </c>
      <c r="H66" s="68">
        <f t="shared" si="4"/>
        <v>3.125E-2</v>
      </c>
      <c r="J66" s="66">
        <f t="shared" si="9"/>
        <v>2.2828198831870149E-53</v>
      </c>
      <c r="K66" s="66">
        <f t="shared" si="5"/>
        <v>4.4816890703380663</v>
      </c>
    </row>
    <row r="67" spans="1:11">
      <c r="A67" s="60">
        <f t="shared" si="0"/>
        <v>49</v>
      </c>
      <c r="B67" s="67">
        <f t="shared" si="6"/>
        <v>5.07954980069789E-57</v>
      </c>
      <c r="C67" s="68">
        <f t="shared" si="1"/>
        <v>1.5</v>
      </c>
      <c r="D67" s="68">
        <f t="shared" si="2"/>
        <v>1.6931832668992967E-58</v>
      </c>
      <c r="E67" s="68">
        <f t="shared" si="3"/>
        <v>0.05</v>
      </c>
      <c r="F67" s="68">
        <f t="shared" si="7"/>
        <v>0.22313016014842976</v>
      </c>
      <c r="G67" s="68">
        <f t="shared" si="8"/>
        <v>0</v>
      </c>
      <c r="H67" s="68">
        <f t="shared" si="4"/>
        <v>3.0612244897959183E-2</v>
      </c>
      <c r="J67" s="66">
        <f t="shared" si="9"/>
        <v>6.9882241322051483E-55</v>
      </c>
      <c r="K67" s="66">
        <f t="shared" si="5"/>
        <v>4.4816890703380663</v>
      </c>
    </row>
    <row r="68" spans="1:11">
      <c r="A68" s="60">
        <f t="shared" si="0"/>
        <v>50</v>
      </c>
      <c r="B68" s="67">
        <f t="shared" si="6"/>
        <v>1.4915030426132966E-58</v>
      </c>
      <c r="C68" s="68">
        <f t="shared" si="1"/>
        <v>1.5</v>
      </c>
      <c r="D68" s="68">
        <f t="shared" si="2"/>
        <v>4.9716768087109887E-60</v>
      </c>
      <c r="E68" s="68">
        <f t="shared" si="3"/>
        <v>0.05</v>
      </c>
      <c r="F68" s="68">
        <f t="shared" si="7"/>
        <v>0.22313016014842976</v>
      </c>
      <c r="G68" s="68">
        <f t="shared" si="8"/>
        <v>0</v>
      </c>
      <c r="H68" s="68">
        <f t="shared" si="4"/>
        <v>0.03</v>
      </c>
      <c r="J68" s="66">
        <f t="shared" si="9"/>
        <v>2.0964672396615446E-56</v>
      </c>
      <c r="K68" s="66">
        <f t="shared" si="5"/>
        <v>4.4816890703380663</v>
      </c>
    </row>
    <row r="69" spans="1:11">
      <c r="A69" s="60">
        <f t="shared" si="0"/>
        <v>51</v>
      </c>
      <c r="B69" s="67">
        <f t="shared" si="6"/>
        <v>4.2955470241654451E-60</v>
      </c>
      <c r="C69" s="68">
        <f t="shared" si="1"/>
        <v>1.5</v>
      </c>
      <c r="D69" s="68">
        <f t="shared" si="2"/>
        <v>1.4318490080551484E-61</v>
      </c>
      <c r="E69" s="68">
        <f t="shared" si="3"/>
        <v>0.05</v>
      </c>
      <c r="F69" s="68">
        <f t="shared" si="7"/>
        <v>0.22313016014842976</v>
      </c>
      <c r="G69" s="68">
        <f t="shared" si="8"/>
        <v>0</v>
      </c>
      <c r="H69" s="68">
        <f t="shared" si="4"/>
        <v>2.9411764705882353E-2</v>
      </c>
      <c r="J69" s="66">
        <f t="shared" si="9"/>
        <v>6.1660801166516016E-58</v>
      </c>
      <c r="K69" s="66">
        <f t="shared" si="5"/>
        <v>4.4816890703380663</v>
      </c>
    </row>
    <row r="70" spans="1:11">
      <c r="A70" s="60">
        <f t="shared" si="0"/>
        <v>52</v>
      </c>
      <c r="B70" s="67">
        <f t="shared" si="6"/>
        <v>1.2138560920741775E-61</v>
      </c>
      <c r="C70" s="68">
        <f t="shared" si="1"/>
        <v>1.5</v>
      </c>
      <c r="D70" s="68">
        <f t="shared" si="2"/>
        <v>4.0461869735805914E-63</v>
      </c>
      <c r="E70" s="68">
        <f t="shared" si="3"/>
        <v>0.05</v>
      </c>
      <c r="F70" s="68">
        <f t="shared" si="7"/>
        <v>0.22313016014842976</v>
      </c>
      <c r="G70" s="68">
        <f t="shared" si="8"/>
        <v>0</v>
      </c>
      <c r="H70" s="68">
        <f t="shared" si="4"/>
        <v>2.8846153846153848E-2</v>
      </c>
      <c r="J70" s="66">
        <f t="shared" si="9"/>
        <v>1.7786769567264236E-59</v>
      </c>
      <c r="K70" s="66">
        <f t="shared" si="5"/>
        <v>4.4816890703380663</v>
      </c>
    </row>
    <row r="71" spans="1:11">
      <c r="A71" s="60">
        <f t="shared" si="0"/>
        <v>53</v>
      </c>
      <c r="B71" s="67">
        <f t="shared" si="6"/>
        <v>3.3668472691678735E-63</v>
      </c>
      <c r="C71" s="68">
        <f t="shared" si="1"/>
        <v>1.5</v>
      </c>
      <c r="D71" s="68">
        <f t="shared" si="2"/>
        <v>1.1222824230559578E-64</v>
      </c>
      <c r="E71" s="68">
        <f t="shared" si="3"/>
        <v>0.05</v>
      </c>
      <c r="F71" s="68">
        <f t="shared" si="7"/>
        <v>0.22313016014842976</v>
      </c>
      <c r="G71" s="68">
        <f t="shared" si="8"/>
        <v>0</v>
      </c>
      <c r="H71" s="68">
        <f t="shared" si="4"/>
        <v>2.8301886792452831E-2</v>
      </c>
      <c r="J71" s="66">
        <f t="shared" si="9"/>
        <v>5.0339913869615759E-61</v>
      </c>
      <c r="K71" s="66">
        <f t="shared" si="5"/>
        <v>4.4816890703380663</v>
      </c>
    </row>
    <row r="72" spans="1:11">
      <c r="A72" s="60">
        <f t="shared" si="0"/>
        <v>54</v>
      </c>
      <c r="B72" s="67">
        <f t="shared" si="6"/>
        <v>9.1692677906820604E-65</v>
      </c>
      <c r="C72" s="68">
        <f t="shared" si="1"/>
        <v>1.5</v>
      </c>
      <c r="D72" s="68">
        <f t="shared" si="2"/>
        <v>3.05642259689402E-66</v>
      </c>
      <c r="E72" s="68">
        <f t="shared" si="3"/>
        <v>0.05</v>
      </c>
      <c r="F72" s="68">
        <f t="shared" si="7"/>
        <v>0.22313016014842976</v>
      </c>
      <c r="G72" s="68">
        <f t="shared" si="8"/>
        <v>0</v>
      </c>
      <c r="H72" s="68">
        <f t="shared" si="4"/>
        <v>2.7777777777777776E-2</v>
      </c>
      <c r="J72" s="66">
        <f t="shared" si="9"/>
        <v>1.3983309408226599E-62</v>
      </c>
      <c r="K72" s="66">
        <f t="shared" si="5"/>
        <v>4.4816890703380663</v>
      </c>
    </row>
    <row r="73" spans="1:11">
      <c r="A73" s="60">
        <f t="shared" si="0"/>
        <v>55</v>
      </c>
      <c r="B73" s="67">
        <f t="shared" si="6"/>
        <v>2.4526930394762687E-66</v>
      </c>
      <c r="C73" s="68">
        <f t="shared" si="1"/>
        <v>1.5</v>
      </c>
      <c r="D73" s="68">
        <f t="shared" si="2"/>
        <v>8.1756434649208952E-68</v>
      </c>
      <c r="E73" s="68">
        <f t="shared" si="3"/>
        <v>0.05</v>
      </c>
      <c r="F73" s="68">
        <f t="shared" si="7"/>
        <v>0.22313016014842976</v>
      </c>
      <c r="G73" s="68">
        <f t="shared" si="8"/>
        <v>0</v>
      </c>
      <c r="H73" s="68">
        <f t="shared" si="4"/>
        <v>2.7272727272727271E-2</v>
      </c>
      <c r="J73" s="66">
        <f t="shared" si="9"/>
        <v>3.8136298386072538E-64</v>
      </c>
      <c r="K73" s="66">
        <f t="shared" si="5"/>
        <v>4.4816890703380663</v>
      </c>
    </row>
    <row r="74" spans="1:11">
      <c r="A74" s="60">
        <f t="shared" si="0"/>
        <v>56</v>
      </c>
      <c r="B74" s="67">
        <f t="shared" si="6"/>
        <v>6.4459410232450151E-68</v>
      </c>
      <c r="C74" s="68">
        <f t="shared" si="1"/>
        <v>1.5</v>
      </c>
      <c r="D74" s="68">
        <f t="shared" si="2"/>
        <v>2.1486470077483384E-69</v>
      </c>
      <c r="E74" s="68">
        <f t="shared" si="3"/>
        <v>0.05</v>
      </c>
      <c r="F74" s="68">
        <f t="shared" si="7"/>
        <v>0.22313016014842976</v>
      </c>
      <c r="G74" s="68">
        <f t="shared" si="8"/>
        <v>0</v>
      </c>
      <c r="H74" s="68">
        <f t="shared" si="4"/>
        <v>2.6785714285714284E-2</v>
      </c>
      <c r="J74" s="66">
        <f t="shared" si="9"/>
        <v>1.0215079924840859E-65</v>
      </c>
      <c r="K74" s="66">
        <f t="shared" si="5"/>
        <v>4.4816890703380663</v>
      </c>
    </row>
    <row r="75" spans="1:11">
      <c r="A75" s="60">
        <f t="shared" si="0"/>
        <v>57</v>
      </c>
      <c r="B75" s="67">
        <f t="shared" si="6"/>
        <v>1.6649323736733019E-69</v>
      </c>
      <c r="C75" s="68">
        <f t="shared" si="1"/>
        <v>1.5</v>
      </c>
      <c r="D75" s="68">
        <f t="shared" si="2"/>
        <v>5.5497745789110061E-71</v>
      </c>
      <c r="E75" s="68">
        <f t="shared" si="3"/>
        <v>0.05</v>
      </c>
      <c r="F75" s="68">
        <f t="shared" si="7"/>
        <v>0.22313016014842976</v>
      </c>
      <c r="G75" s="68">
        <f t="shared" si="8"/>
        <v>0</v>
      </c>
      <c r="H75" s="68">
        <f t="shared" si="4"/>
        <v>2.6315789473684209E-2</v>
      </c>
      <c r="J75" s="66">
        <f t="shared" si="9"/>
        <v>2.6881789275896996E-67</v>
      </c>
      <c r="K75" s="66">
        <f t="shared" si="5"/>
        <v>4.4816890703380663</v>
      </c>
    </row>
    <row r="76" spans="1:11">
      <c r="A76" s="60">
        <f t="shared" si="0"/>
        <v>58</v>
      </c>
      <c r="B76" s="67">
        <f t="shared" si="6"/>
        <v>4.2276796550916397E-71</v>
      </c>
      <c r="C76" s="68">
        <f t="shared" si="1"/>
        <v>1.5</v>
      </c>
      <c r="D76" s="68">
        <f t="shared" si="2"/>
        <v>1.4092265516972133E-72</v>
      </c>
      <c r="E76" s="68">
        <f t="shared" si="3"/>
        <v>0.05</v>
      </c>
      <c r="F76" s="68">
        <f t="shared" si="7"/>
        <v>0.22313016014842976</v>
      </c>
      <c r="G76" s="68">
        <f t="shared" si="8"/>
        <v>0</v>
      </c>
      <c r="H76" s="68">
        <f t="shared" si="4"/>
        <v>2.5862068965517241E-2</v>
      </c>
      <c r="J76" s="66">
        <f t="shared" si="9"/>
        <v>6.9521868816974989E-69</v>
      </c>
      <c r="K76" s="66">
        <f t="shared" si="5"/>
        <v>4.4816890703380663</v>
      </c>
    </row>
    <row r="77" spans="1:11">
      <c r="A77" s="60">
        <f t="shared" si="0"/>
        <v>59</v>
      </c>
      <c r="B77" s="67">
        <f t="shared" si="6"/>
        <v>1.0556660227338207E-72</v>
      </c>
      <c r="C77" s="68">
        <f t="shared" si="1"/>
        <v>1.5</v>
      </c>
      <c r="D77" s="68">
        <f t="shared" si="2"/>
        <v>3.5188867424460693E-74</v>
      </c>
      <c r="E77" s="68">
        <f t="shared" si="3"/>
        <v>0.05</v>
      </c>
      <c r="F77" s="68">
        <f t="shared" si="7"/>
        <v>0.22313016014842976</v>
      </c>
      <c r="G77" s="68">
        <f t="shared" si="8"/>
        <v>0</v>
      </c>
      <c r="H77" s="68">
        <f t="shared" si="4"/>
        <v>2.5423728813559324E-2</v>
      </c>
      <c r="J77" s="66">
        <f t="shared" si="9"/>
        <v>1.7675051394146183E-70</v>
      </c>
      <c r="K77" s="66">
        <f t="shared" si="5"/>
        <v>4.4816890703380663</v>
      </c>
    </row>
    <row r="78" spans="1:11">
      <c r="A78" s="60">
        <f t="shared" si="0"/>
        <v>60</v>
      </c>
      <c r="B78" s="67">
        <f t="shared" si="6"/>
        <v>2.5929237660799247E-74</v>
      </c>
      <c r="C78" s="68">
        <f t="shared" si="1"/>
        <v>1.5</v>
      </c>
      <c r="D78" s="68">
        <f t="shared" si="2"/>
        <v>8.643079220266416E-76</v>
      </c>
      <c r="E78" s="68">
        <f t="shared" si="3"/>
        <v>0.05</v>
      </c>
      <c r="F78" s="68">
        <f t="shared" si="7"/>
        <v>0.22313016014842976</v>
      </c>
      <c r="G78" s="68">
        <f t="shared" si="8"/>
        <v>0</v>
      </c>
      <c r="H78" s="68">
        <f t="shared" si="4"/>
        <v>2.5000000000000001E-2</v>
      </c>
      <c r="J78" s="66">
        <f t="shared" si="9"/>
        <v>4.4187628485365457E-72</v>
      </c>
      <c r="K78" s="66">
        <f t="shared" si="5"/>
        <v>4.4816890703380663</v>
      </c>
    </row>
    <row r="79" spans="1:11">
      <c r="A79" s="60">
        <f t="shared" si="0"/>
        <v>61</v>
      </c>
      <c r="B79" s="67">
        <f t="shared" si="6"/>
        <v>6.2662476932893304E-76</v>
      </c>
      <c r="C79" s="68">
        <f t="shared" si="1"/>
        <v>1.5</v>
      </c>
      <c r="D79" s="68">
        <f t="shared" si="2"/>
        <v>2.0887492310964434E-77</v>
      </c>
      <c r="E79" s="68">
        <f t="shared" si="3"/>
        <v>0.05</v>
      </c>
      <c r="F79" s="68">
        <f t="shared" si="7"/>
        <v>0.22313016014842976</v>
      </c>
      <c r="G79" s="68">
        <f t="shared" si="8"/>
        <v>0</v>
      </c>
      <c r="H79" s="68">
        <f t="shared" si="4"/>
        <v>2.4590163934426229E-2</v>
      </c>
      <c r="J79" s="66">
        <f t="shared" si="9"/>
        <v>1.0865810283286588E-73</v>
      </c>
      <c r="K79" s="66">
        <f t="shared" si="5"/>
        <v>4.4816890703380663</v>
      </c>
    </row>
    <row r="80" spans="1:11">
      <c r="A80" s="60">
        <f t="shared" si="0"/>
        <v>62</v>
      </c>
      <c r="B80" s="67">
        <f t="shared" si="6"/>
        <v>1.490363356182619E-77</v>
      </c>
      <c r="C80" s="68">
        <f t="shared" si="1"/>
        <v>1.5</v>
      </c>
      <c r="D80" s="68">
        <f t="shared" si="2"/>
        <v>4.9678778539420636E-79</v>
      </c>
      <c r="E80" s="68">
        <f t="shared" si="3"/>
        <v>0.05</v>
      </c>
      <c r="F80" s="68">
        <f t="shared" si="7"/>
        <v>0.22313016014842976</v>
      </c>
      <c r="G80" s="68">
        <f t="shared" si="8"/>
        <v>0</v>
      </c>
      <c r="H80" s="68">
        <f t="shared" si="4"/>
        <v>2.4193548387096774E-2</v>
      </c>
      <c r="J80" s="66">
        <f t="shared" si="9"/>
        <v>2.628825068537078E-75</v>
      </c>
      <c r="K80" s="66">
        <f t="shared" si="5"/>
        <v>4.4816890703380663</v>
      </c>
    </row>
    <row r="81" spans="1:11">
      <c r="A81" s="60">
        <f t="shared" si="0"/>
        <v>63</v>
      </c>
      <c r="B81" s="67">
        <f t="shared" si="6"/>
        <v>3.4894120080005062E-79</v>
      </c>
      <c r="C81" s="68">
        <f t="shared" si="1"/>
        <v>1.5</v>
      </c>
      <c r="D81" s="68">
        <f t="shared" si="2"/>
        <v>1.1631373360001687E-80</v>
      </c>
      <c r="E81" s="68">
        <f t="shared" si="3"/>
        <v>0.05</v>
      </c>
      <c r="F81" s="68">
        <f t="shared" si="7"/>
        <v>0.22313016014842976</v>
      </c>
      <c r="G81" s="68">
        <f t="shared" si="8"/>
        <v>0</v>
      </c>
      <c r="H81" s="68">
        <f t="shared" si="4"/>
        <v>2.3809523809523808E-2</v>
      </c>
      <c r="J81" s="66">
        <f t="shared" si="9"/>
        <v>6.2591073060406619E-77</v>
      </c>
      <c r="K81" s="66">
        <f t="shared" si="5"/>
        <v>4.4816890703380663</v>
      </c>
    </row>
    <row r="82" spans="1:11">
      <c r="A82" s="60">
        <f t="shared" si="0"/>
        <v>64</v>
      </c>
      <c r="B82" s="67">
        <f t="shared" si="6"/>
        <v>8.0443907457584243E-81</v>
      </c>
      <c r="C82" s="68">
        <f t="shared" si="1"/>
        <v>1.5</v>
      </c>
      <c r="D82" s="68">
        <f t="shared" si="2"/>
        <v>2.6814635819194746E-82</v>
      </c>
      <c r="E82" s="68">
        <f t="shared" si="3"/>
        <v>0.05</v>
      </c>
      <c r="F82" s="68">
        <f t="shared" si="7"/>
        <v>0.22313016014842976</v>
      </c>
      <c r="G82" s="68">
        <f t="shared" si="8"/>
        <v>0</v>
      </c>
      <c r="H82" s="68">
        <f t="shared" si="4"/>
        <v>2.34375E-2</v>
      </c>
      <c r="J82" s="66">
        <f t="shared" si="9"/>
        <v>1.4669782748532801E-78</v>
      </c>
      <c r="K82" s="66">
        <f t="shared" si="5"/>
        <v>4.4816890703380663</v>
      </c>
    </row>
    <row r="83" spans="1:11">
      <c r="A83" s="60">
        <f t="shared" ref="A83:A94" si="10">A82+1</f>
        <v>65</v>
      </c>
      <c r="B83" s="67">
        <f t="shared" si="6"/>
        <v>1.8264888564824332E-82</v>
      </c>
      <c r="C83" s="68">
        <f t="shared" ref="C83:C94" si="11">IF(H83&lt;1,B83+$L$13,"infinity")</f>
        <v>1.5</v>
      </c>
      <c r="D83" s="68">
        <f t="shared" ref="D83:D94" si="12">IF(H83&lt;1,B83/$B$4,"infinity")</f>
        <v>6.0882961882747775E-84</v>
      </c>
      <c r="E83" s="68">
        <f t="shared" ref="E83:E94" si="13">IF(H83&lt;1,D83+1/$B$5,"infinity")</f>
        <v>0.05</v>
      </c>
      <c r="F83" s="68">
        <f t="shared" si="7"/>
        <v>0.22313016014842976</v>
      </c>
      <c r="G83" s="68">
        <f t="shared" si="8"/>
        <v>0</v>
      </c>
      <c r="H83" s="68">
        <f t="shared" ref="H83:H94" si="14">MIN(1,+$L$13/A83)</f>
        <v>2.3076923076923078E-2</v>
      </c>
      <c r="J83" s="66">
        <f t="shared" si="9"/>
        <v>3.3853344804306463E-80</v>
      </c>
      <c r="K83" s="66">
        <f t="shared" ref="K83:K94" si="15">K82+J83</f>
        <v>4.4816890703380663</v>
      </c>
    </row>
    <row r="84" spans="1:11">
      <c r="A84" s="60">
        <f t="shared" si="10"/>
        <v>66</v>
      </c>
      <c r="B84" s="67">
        <f t="shared" ref="B84:B94" si="16">IF(H84&lt;1,F84*J84*H84/(1-H84)^2,"infinity")</f>
        <v>4.0852905612465733E-84</v>
      </c>
      <c r="C84" s="68">
        <f t="shared" si="11"/>
        <v>1.5</v>
      </c>
      <c r="D84" s="68">
        <f t="shared" si="12"/>
        <v>1.3617635204155245E-85</v>
      </c>
      <c r="E84" s="68">
        <f t="shared" si="13"/>
        <v>0.05</v>
      </c>
      <c r="F84" s="68">
        <f t="shared" ref="F84:F94" si="17">IF($B$4&lt;A84*$B$5,1/(K83+J84/(1-H84)),0)</f>
        <v>0.22313016014842976</v>
      </c>
      <c r="G84" s="68">
        <f t="shared" ref="G84:G94" si="18">IF(H84&lt;1,1-F84*K83,1)</f>
        <v>0</v>
      </c>
      <c r="H84" s="68">
        <f t="shared" si="14"/>
        <v>2.2727272727272728E-2</v>
      </c>
      <c r="J84" s="66">
        <f t="shared" ref="J84:J94" si="19">$L$13*J83/A84</f>
        <v>7.6939420009787413E-82</v>
      </c>
      <c r="K84" s="66">
        <f t="shared" si="15"/>
        <v>4.4816890703380663</v>
      </c>
    </row>
    <row r="85" spans="1:11">
      <c r="A85" s="60">
        <f t="shared" si="10"/>
        <v>67</v>
      </c>
      <c r="B85" s="67">
        <f t="shared" si="16"/>
        <v>9.0034115713886401E-86</v>
      </c>
      <c r="C85" s="68">
        <f t="shared" si="11"/>
        <v>1.5</v>
      </c>
      <c r="D85" s="68">
        <f t="shared" si="12"/>
        <v>3.0011371904628801E-87</v>
      </c>
      <c r="E85" s="68">
        <f t="shared" si="13"/>
        <v>0.05</v>
      </c>
      <c r="F85" s="68">
        <f t="shared" si="17"/>
        <v>0.22313016014842976</v>
      </c>
      <c r="G85" s="68">
        <f t="shared" si="18"/>
        <v>0</v>
      </c>
      <c r="H85" s="68">
        <f t="shared" si="14"/>
        <v>2.2388059701492536E-2</v>
      </c>
      <c r="J85" s="66">
        <f t="shared" si="19"/>
        <v>1.72252432857733E-83</v>
      </c>
      <c r="K85" s="66">
        <f t="shared" si="15"/>
        <v>4.4816890703380663</v>
      </c>
    </row>
    <row r="86" spans="1:11">
      <c r="A86" s="60">
        <f t="shared" si="10"/>
        <v>68</v>
      </c>
      <c r="B86" s="67">
        <f t="shared" si="16"/>
        <v>1.9555227337075219E-87</v>
      </c>
      <c r="C86" s="68">
        <f t="shared" si="11"/>
        <v>1.5</v>
      </c>
      <c r="D86" s="68">
        <f t="shared" si="12"/>
        <v>6.5184091123584062E-89</v>
      </c>
      <c r="E86" s="68">
        <f t="shared" si="13"/>
        <v>0.05</v>
      </c>
      <c r="F86" s="68">
        <f t="shared" si="17"/>
        <v>0.22313016014842976</v>
      </c>
      <c r="G86" s="68">
        <f t="shared" si="18"/>
        <v>0</v>
      </c>
      <c r="H86" s="68">
        <f t="shared" si="14"/>
        <v>2.2058823529411766E-2</v>
      </c>
      <c r="J86" s="66">
        <f t="shared" si="19"/>
        <v>3.7996860189205808E-85</v>
      </c>
      <c r="K86" s="66">
        <f t="shared" si="15"/>
        <v>4.4816890703380663</v>
      </c>
    </row>
    <row r="87" spans="1:11">
      <c r="A87" s="60">
        <f t="shared" si="10"/>
        <v>69</v>
      </c>
      <c r="B87" s="67">
        <f t="shared" si="16"/>
        <v>4.1867879008172763E-89</v>
      </c>
      <c r="C87" s="68">
        <f t="shared" si="11"/>
        <v>1.5</v>
      </c>
      <c r="D87" s="68">
        <f t="shared" si="12"/>
        <v>1.3955959669390922E-90</v>
      </c>
      <c r="E87" s="68">
        <f t="shared" si="13"/>
        <v>0.05</v>
      </c>
      <c r="F87" s="68">
        <f t="shared" si="17"/>
        <v>0.22313016014842976</v>
      </c>
      <c r="G87" s="68">
        <f t="shared" si="18"/>
        <v>0</v>
      </c>
      <c r="H87" s="68">
        <f t="shared" si="14"/>
        <v>2.1739130434782608E-2</v>
      </c>
      <c r="J87" s="66">
        <f t="shared" si="19"/>
        <v>8.2601869976534353E-87</v>
      </c>
      <c r="K87" s="66">
        <f t="shared" si="15"/>
        <v>4.4816890703380663</v>
      </c>
    </row>
    <row r="88" spans="1:11">
      <c r="A88" s="60">
        <f t="shared" si="10"/>
        <v>70</v>
      </c>
      <c r="B88" s="67">
        <f t="shared" si="16"/>
        <v>8.8379091207744126E-91</v>
      </c>
      <c r="C88" s="68">
        <f t="shared" si="11"/>
        <v>1.5</v>
      </c>
      <c r="D88" s="68">
        <f t="shared" si="12"/>
        <v>2.9459697069248041E-92</v>
      </c>
      <c r="E88" s="68">
        <f t="shared" si="13"/>
        <v>0.05</v>
      </c>
      <c r="F88" s="68">
        <f t="shared" si="17"/>
        <v>0.22313016014842976</v>
      </c>
      <c r="G88" s="68">
        <f t="shared" si="18"/>
        <v>0</v>
      </c>
      <c r="H88" s="68">
        <f t="shared" si="14"/>
        <v>2.1428571428571429E-2</v>
      </c>
      <c r="J88" s="66">
        <f t="shared" si="19"/>
        <v>1.7700400709257361E-88</v>
      </c>
      <c r="K88" s="66">
        <f t="shared" si="15"/>
        <v>4.4816890703380663</v>
      </c>
    </row>
    <row r="89" spans="1:11">
      <c r="A89" s="60">
        <f t="shared" si="10"/>
        <v>71</v>
      </c>
      <c r="B89" s="67">
        <f t="shared" si="16"/>
        <v>1.8397308216206079E-92</v>
      </c>
      <c r="C89" s="68">
        <f t="shared" si="11"/>
        <v>1.5</v>
      </c>
      <c r="D89" s="68">
        <f t="shared" si="12"/>
        <v>6.1324360720686934E-94</v>
      </c>
      <c r="E89" s="68">
        <f t="shared" si="13"/>
        <v>0.05</v>
      </c>
      <c r="F89" s="68">
        <f t="shared" si="17"/>
        <v>0.22313016014842976</v>
      </c>
      <c r="G89" s="68">
        <f t="shared" si="18"/>
        <v>0</v>
      </c>
      <c r="H89" s="68">
        <f t="shared" si="14"/>
        <v>2.1126760563380281E-2</v>
      </c>
      <c r="J89" s="66">
        <f t="shared" si="19"/>
        <v>3.7395212766036676E-90</v>
      </c>
      <c r="K89" s="66">
        <f t="shared" si="15"/>
        <v>4.4816890703380663</v>
      </c>
    </row>
    <row r="90" spans="1:11">
      <c r="A90" s="60">
        <f t="shared" si="10"/>
        <v>72</v>
      </c>
      <c r="B90" s="67">
        <f t="shared" si="16"/>
        <v>3.77727470043928E-94</v>
      </c>
      <c r="C90" s="68">
        <f t="shared" si="11"/>
        <v>1.5</v>
      </c>
      <c r="D90" s="68">
        <f t="shared" si="12"/>
        <v>1.2590915668130933E-95</v>
      </c>
      <c r="E90" s="68">
        <f t="shared" si="13"/>
        <v>0.05</v>
      </c>
      <c r="F90" s="68">
        <f t="shared" si="17"/>
        <v>0.22313016014842976</v>
      </c>
      <c r="G90" s="68">
        <f t="shared" si="18"/>
        <v>0</v>
      </c>
      <c r="H90" s="68">
        <f t="shared" si="14"/>
        <v>2.0833333333333332E-2</v>
      </c>
      <c r="J90" s="66">
        <f t="shared" si="19"/>
        <v>7.7906693262576413E-92</v>
      </c>
      <c r="K90" s="66">
        <f t="shared" si="15"/>
        <v>4.4816890703380663</v>
      </c>
    </row>
    <row r="91" spans="1:11">
      <c r="A91" s="60">
        <f t="shared" si="10"/>
        <v>73</v>
      </c>
      <c r="B91" s="67">
        <f t="shared" si="16"/>
        <v>7.6507406963088386E-96</v>
      </c>
      <c r="C91" s="68">
        <f t="shared" si="11"/>
        <v>1.5</v>
      </c>
      <c r="D91" s="68">
        <f t="shared" si="12"/>
        <v>2.5502468987696128E-97</v>
      </c>
      <c r="E91" s="68">
        <f t="shared" si="13"/>
        <v>0.05</v>
      </c>
      <c r="F91" s="68">
        <f t="shared" si="17"/>
        <v>0.22313016014842976</v>
      </c>
      <c r="G91" s="68">
        <f t="shared" si="18"/>
        <v>0</v>
      </c>
      <c r="H91" s="68">
        <f t="shared" si="14"/>
        <v>2.0547945205479451E-2</v>
      </c>
      <c r="J91" s="66">
        <f t="shared" si="19"/>
        <v>1.6008224642995155E-93</v>
      </c>
      <c r="K91" s="66">
        <f t="shared" si="15"/>
        <v>4.4816890703380663</v>
      </c>
    </row>
    <row r="92" spans="1:11">
      <c r="A92" s="60">
        <f t="shared" si="10"/>
        <v>74</v>
      </c>
      <c r="B92" s="67">
        <f t="shared" si="16"/>
        <v>1.529001643498309E-97</v>
      </c>
      <c r="C92" s="68">
        <f t="shared" si="11"/>
        <v>1.5</v>
      </c>
      <c r="D92" s="68">
        <f t="shared" si="12"/>
        <v>5.0966721449943632E-99</v>
      </c>
      <c r="E92" s="68">
        <f t="shared" si="13"/>
        <v>0.05</v>
      </c>
      <c r="F92" s="68">
        <f t="shared" si="17"/>
        <v>0.22313016014842976</v>
      </c>
      <c r="G92" s="68">
        <f t="shared" si="18"/>
        <v>0</v>
      </c>
      <c r="H92" s="68">
        <f t="shared" si="14"/>
        <v>2.0270270270270271E-2</v>
      </c>
      <c r="J92" s="66">
        <f t="shared" si="19"/>
        <v>3.2449104006071263E-95</v>
      </c>
      <c r="K92" s="66">
        <f t="shared" si="15"/>
        <v>4.4816890703380663</v>
      </c>
    </row>
    <row r="93" spans="1:11">
      <c r="A93" s="60">
        <f t="shared" si="10"/>
        <v>75</v>
      </c>
      <c r="B93" s="67">
        <f t="shared" si="16"/>
        <v>3.0155659198449548E-99</v>
      </c>
      <c r="C93" s="68">
        <f t="shared" si="11"/>
        <v>1.5</v>
      </c>
      <c r="D93" s="68">
        <f t="shared" si="12"/>
        <v>1.0051886399483183E-100</v>
      </c>
      <c r="E93" s="68">
        <f t="shared" si="13"/>
        <v>0.05</v>
      </c>
      <c r="F93" s="68">
        <f t="shared" si="17"/>
        <v>0.22313016014842976</v>
      </c>
      <c r="G93" s="68">
        <f t="shared" si="18"/>
        <v>0</v>
      </c>
      <c r="H93" s="68">
        <f t="shared" si="14"/>
        <v>0.02</v>
      </c>
      <c r="J93" s="66">
        <f t="shared" si="19"/>
        <v>6.4898208012142527E-97</v>
      </c>
      <c r="K93" s="66">
        <f t="shared" si="15"/>
        <v>4.4816890703380663</v>
      </c>
    </row>
    <row r="94" spans="1:11">
      <c r="A94" s="60">
        <f t="shared" si="10"/>
        <v>76</v>
      </c>
      <c r="B94" s="67">
        <f t="shared" si="16"/>
        <v>5.8703089015746683E-101</v>
      </c>
      <c r="C94" s="68">
        <f t="shared" si="11"/>
        <v>1.5</v>
      </c>
      <c r="D94" s="68">
        <f t="shared" si="12"/>
        <v>1.9567696338582228E-102</v>
      </c>
      <c r="E94" s="68">
        <f t="shared" si="13"/>
        <v>0.05</v>
      </c>
      <c r="F94" s="68">
        <f t="shared" si="17"/>
        <v>0.22313016014842976</v>
      </c>
      <c r="G94" s="68">
        <f t="shared" si="18"/>
        <v>0</v>
      </c>
      <c r="H94" s="68">
        <f t="shared" si="14"/>
        <v>1.9736842105263157E-2</v>
      </c>
      <c r="J94" s="66">
        <f t="shared" si="19"/>
        <v>1.2808856844501815E-98</v>
      </c>
      <c r="K94" s="66">
        <f t="shared" si="15"/>
        <v>4.4816890703380663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workbookViewId="0">
      <selection activeCell="C1" sqref="C1"/>
    </sheetView>
  </sheetViews>
  <sheetFormatPr baseColWidth="10" defaultColWidth="11" defaultRowHeight="12" x14ac:dyDescent="0"/>
  <cols>
    <col min="1" max="8" width="11" style="50" customWidth="1"/>
    <col min="9" max="9" width="11" style="50" hidden="1" customWidth="1"/>
    <col min="10" max="11" width="11" style="51" hidden="1" customWidth="1"/>
    <col min="12" max="12" width="11" style="50" hidden="1" customWidth="1"/>
    <col min="13" max="256" width="11" style="50"/>
    <col min="257" max="264" width="11" style="50" customWidth="1"/>
    <col min="265" max="268" width="0" style="50" hidden="1" customWidth="1"/>
    <col min="269" max="512" width="11" style="50"/>
    <col min="513" max="520" width="11" style="50" customWidth="1"/>
    <col min="521" max="524" width="0" style="50" hidden="1" customWidth="1"/>
    <col min="525" max="768" width="11" style="50"/>
    <col min="769" max="776" width="11" style="50" customWidth="1"/>
    <col min="777" max="780" width="0" style="50" hidden="1" customWidth="1"/>
    <col min="781" max="1024" width="11" style="50"/>
    <col min="1025" max="1032" width="11" style="50" customWidth="1"/>
    <col min="1033" max="1036" width="0" style="50" hidden="1" customWidth="1"/>
    <col min="1037" max="1280" width="11" style="50"/>
    <col min="1281" max="1288" width="11" style="50" customWidth="1"/>
    <col min="1289" max="1292" width="0" style="50" hidden="1" customWidth="1"/>
    <col min="1293" max="1536" width="11" style="50"/>
    <col min="1537" max="1544" width="11" style="50" customWidth="1"/>
    <col min="1545" max="1548" width="0" style="50" hidden="1" customWidth="1"/>
    <col min="1549" max="1792" width="11" style="50"/>
    <col min="1793" max="1800" width="11" style="50" customWidth="1"/>
    <col min="1801" max="1804" width="0" style="50" hidden="1" customWidth="1"/>
    <col min="1805" max="2048" width="11" style="50"/>
    <col min="2049" max="2056" width="11" style="50" customWidth="1"/>
    <col min="2057" max="2060" width="0" style="50" hidden="1" customWidth="1"/>
    <col min="2061" max="2304" width="11" style="50"/>
    <col min="2305" max="2312" width="11" style="50" customWidth="1"/>
    <col min="2313" max="2316" width="0" style="50" hidden="1" customWidth="1"/>
    <col min="2317" max="2560" width="11" style="50"/>
    <col min="2561" max="2568" width="11" style="50" customWidth="1"/>
    <col min="2569" max="2572" width="0" style="50" hidden="1" customWidth="1"/>
    <col min="2573" max="2816" width="11" style="50"/>
    <col min="2817" max="2824" width="11" style="50" customWidth="1"/>
    <col min="2825" max="2828" width="0" style="50" hidden="1" customWidth="1"/>
    <col min="2829" max="3072" width="11" style="50"/>
    <col min="3073" max="3080" width="11" style="50" customWidth="1"/>
    <col min="3081" max="3084" width="0" style="50" hidden="1" customWidth="1"/>
    <col min="3085" max="3328" width="11" style="50"/>
    <col min="3329" max="3336" width="11" style="50" customWidth="1"/>
    <col min="3337" max="3340" width="0" style="50" hidden="1" customWidth="1"/>
    <col min="3341" max="3584" width="11" style="50"/>
    <col min="3585" max="3592" width="11" style="50" customWidth="1"/>
    <col min="3593" max="3596" width="0" style="50" hidden="1" customWidth="1"/>
    <col min="3597" max="3840" width="11" style="50"/>
    <col min="3841" max="3848" width="11" style="50" customWidth="1"/>
    <col min="3849" max="3852" width="0" style="50" hidden="1" customWidth="1"/>
    <col min="3853" max="4096" width="11" style="50"/>
    <col min="4097" max="4104" width="11" style="50" customWidth="1"/>
    <col min="4105" max="4108" width="0" style="50" hidden="1" customWidth="1"/>
    <col min="4109" max="4352" width="11" style="50"/>
    <col min="4353" max="4360" width="11" style="50" customWidth="1"/>
    <col min="4361" max="4364" width="0" style="50" hidden="1" customWidth="1"/>
    <col min="4365" max="4608" width="11" style="50"/>
    <col min="4609" max="4616" width="11" style="50" customWidth="1"/>
    <col min="4617" max="4620" width="0" style="50" hidden="1" customWidth="1"/>
    <col min="4621" max="4864" width="11" style="50"/>
    <col min="4865" max="4872" width="11" style="50" customWidth="1"/>
    <col min="4873" max="4876" width="0" style="50" hidden="1" customWidth="1"/>
    <col min="4877" max="5120" width="11" style="50"/>
    <col min="5121" max="5128" width="11" style="50" customWidth="1"/>
    <col min="5129" max="5132" width="0" style="50" hidden="1" customWidth="1"/>
    <col min="5133" max="5376" width="11" style="50"/>
    <col min="5377" max="5384" width="11" style="50" customWidth="1"/>
    <col min="5385" max="5388" width="0" style="50" hidden="1" customWidth="1"/>
    <col min="5389" max="5632" width="11" style="50"/>
    <col min="5633" max="5640" width="11" style="50" customWidth="1"/>
    <col min="5641" max="5644" width="0" style="50" hidden="1" customWidth="1"/>
    <col min="5645" max="5888" width="11" style="50"/>
    <col min="5889" max="5896" width="11" style="50" customWidth="1"/>
    <col min="5897" max="5900" width="0" style="50" hidden="1" customWidth="1"/>
    <col min="5901" max="6144" width="11" style="50"/>
    <col min="6145" max="6152" width="11" style="50" customWidth="1"/>
    <col min="6153" max="6156" width="0" style="50" hidden="1" customWidth="1"/>
    <col min="6157" max="6400" width="11" style="50"/>
    <col min="6401" max="6408" width="11" style="50" customWidth="1"/>
    <col min="6409" max="6412" width="0" style="50" hidden="1" customWidth="1"/>
    <col min="6413" max="6656" width="11" style="50"/>
    <col min="6657" max="6664" width="11" style="50" customWidth="1"/>
    <col min="6665" max="6668" width="0" style="50" hidden="1" customWidth="1"/>
    <col min="6669" max="6912" width="11" style="50"/>
    <col min="6913" max="6920" width="11" style="50" customWidth="1"/>
    <col min="6921" max="6924" width="0" style="50" hidden="1" customWidth="1"/>
    <col min="6925" max="7168" width="11" style="50"/>
    <col min="7169" max="7176" width="11" style="50" customWidth="1"/>
    <col min="7177" max="7180" width="0" style="50" hidden="1" customWidth="1"/>
    <col min="7181" max="7424" width="11" style="50"/>
    <col min="7425" max="7432" width="11" style="50" customWidth="1"/>
    <col min="7433" max="7436" width="0" style="50" hidden="1" customWidth="1"/>
    <col min="7437" max="7680" width="11" style="50"/>
    <col min="7681" max="7688" width="11" style="50" customWidth="1"/>
    <col min="7689" max="7692" width="0" style="50" hidden="1" customWidth="1"/>
    <col min="7693" max="7936" width="11" style="50"/>
    <col min="7937" max="7944" width="11" style="50" customWidth="1"/>
    <col min="7945" max="7948" width="0" style="50" hidden="1" customWidth="1"/>
    <col min="7949" max="8192" width="11" style="50"/>
    <col min="8193" max="8200" width="11" style="50" customWidth="1"/>
    <col min="8201" max="8204" width="0" style="50" hidden="1" customWidth="1"/>
    <col min="8205" max="8448" width="11" style="50"/>
    <col min="8449" max="8456" width="11" style="50" customWidth="1"/>
    <col min="8457" max="8460" width="0" style="50" hidden="1" customWidth="1"/>
    <col min="8461" max="8704" width="11" style="50"/>
    <col min="8705" max="8712" width="11" style="50" customWidth="1"/>
    <col min="8713" max="8716" width="0" style="50" hidden="1" customWidth="1"/>
    <col min="8717" max="8960" width="11" style="50"/>
    <col min="8961" max="8968" width="11" style="50" customWidth="1"/>
    <col min="8969" max="8972" width="0" style="50" hidden="1" customWidth="1"/>
    <col min="8973" max="9216" width="11" style="50"/>
    <col min="9217" max="9224" width="11" style="50" customWidth="1"/>
    <col min="9225" max="9228" width="0" style="50" hidden="1" customWidth="1"/>
    <col min="9229" max="9472" width="11" style="50"/>
    <col min="9473" max="9480" width="11" style="50" customWidth="1"/>
    <col min="9481" max="9484" width="0" style="50" hidden="1" customWidth="1"/>
    <col min="9485" max="9728" width="11" style="50"/>
    <col min="9729" max="9736" width="11" style="50" customWidth="1"/>
    <col min="9737" max="9740" width="0" style="50" hidden="1" customWidth="1"/>
    <col min="9741" max="9984" width="11" style="50"/>
    <col min="9985" max="9992" width="11" style="50" customWidth="1"/>
    <col min="9993" max="9996" width="0" style="50" hidden="1" customWidth="1"/>
    <col min="9997" max="10240" width="11" style="50"/>
    <col min="10241" max="10248" width="11" style="50" customWidth="1"/>
    <col min="10249" max="10252" width="0" style="50" hidden="1" customWidth="1"/>
    <col min="10253" max="10496" width="11" style="50"/>
    <col min="10497" max="10504" width="11" style="50" customWidth="1"/>
    <col min="10505" max="10508" width="0" style="50" hidden="1" customWidth="1"/>
    <col min="10509" max="10752" width="11" style="50"/>
    <col min="10753" max="10760" width="11" style="50" customWidth="1"/>
    <col min="10761" max="10764" width="0" style="50" hidden="1" customWidth="1"/>
    <col min="10765" max="11008" width="11" style="50"/>
    <col min="11009" max="11016" width="11" style="50" customWidth="1"/>
    <col min="11017" max="11020" width="0" style="50" hidden="1" customWidth="1"/>
    <col min="11021" max="11264" width="11" style="50"/>
    <col min="11265" max="11272" width="11" style="50" customWidth="1"/>
    <col min="11273" max="11276" width="0" style="50" hidden="1" customWidth="1"/>
    <col min="11277" max="11520" width="11" style="50"/>
    <col min="11521" max="11528" width="11" style="50" customWidth="1"/>
    <col min="11529" max="11532" width="0" style="50" hidden="1" customWidth="1"/>
    <col min="11533" max="11776" width="11" style="50"/>
    <col min="11777" max="11784" width="11" style="50" customWidth="1"/>
    <col min="11785" max="11788" width="0" style="50" hidden="1" customWidth="1"/>
    <col min="11789" max="12032" width="11" style="50"/>
    <col min="12033" max="12040" width="11" style="50" customWidth="1"/>
    <col min="12041" max="12044" width="0" style="50" hidden="1" customWidth="1"/>
    <col min="12045" max="12288" width="11" style="50"/>
    <col min="12289" max="12296" width="11" style="50" customWidth="1"/>
    <col min="12297" max="12300" width="0" style="50" hidden="1" customWidth="1"/>
    <col min="12301" max="12544" width="11" style="50"/>
    <col min="12545" max="12552" width="11" style="50" customWidth="1"/>
    <col min="12553" max="12556" width="0" style="50" hidden="1" customWidth="1"/>
    <col min="12557" max="12800" width="11" style="50"/>
    <col min="12801" max="12808" width="11" style="50" customWidth="1"/>
    <col min="12809" max="12812" width="0" style="50" hidden="1" customWidth="1"/>
    <col min="12813" max="13056" width="11" style="50"/>
    <col min="13057" max="13064" width="11" style="50" customWidth="1"/>
    <col min="13065" max="13068" width="0" style="50" hidden="1" customWidth="1"/>
    <col min="13069" max="13312" width="11" style="50"/>
    <col min="13313" max="13320" width="11" style="50" customWidth="1"/>
    <col min="13321" max="13324" width="0" style="50" hidden="1" customWidth="1"/>
    <col min="13325" max="13568" width="11" style="50"/>
    <col min="13569" max="13576" width="11" style="50" customWidth="1"/>
    <col min="13577" max="13580" width="0" style="50" hidden="1" customWidth="1"/>
    <col min="13581" max="13824" width="11" style="50"/>
    <col min="13825" max="13832" width="11" style="50" customWidth="1"/>
    <col min="13833" max="13836" width="0" style="50" hidden="1" customWidth="1"/>
    <col min="13837" max="14080" width="11" style="50"/>
    <col min="14081" max="14088" width="11" style="50" customWidth="1"/>
    <col min="14089" max="14092" width="0" style="50" hidden="1" customWidth="1"/>
    <col min="14093" max="14336" width="11" style="50"/>
    <col min="14337" max="14344" width="11" style="50" customWidth="1"/>
    <col min="14345" max="14348" width="0" style="50" hidden="1" customWidth="1"/>
    <col min="14349" max="14592" width="11" style="50"/>
    <col min="14593" max="14600" width="11" style="50" customWidth="1"/>
    <col min="14601" max="14604" width="0" style="50" hidden="1" customWidth="1"/>
    <col min="14605" max="14848" width="11" style="50"/>
    <col min="14849" max="14856" width="11" style="50" customWidth="1"/>
    <col min="14857" max="14860" width="0" style="50" hidden="1" customWidth="1"/>
    <col min="14861" max="15104" width="11" style="50"/>
    <col min="15105" max="15112" width="11" style="50" customWidth="1"/>
    <col min="15113" max="15116" width="0" style="50" hidden="1" customWidth="1"/>
    <col min="15117" max="15360" width="11" style="50"/>
    <col min="15361" max="15368" width="11" style="50" customWidth="1"/>
    <col min="15369" max="15372" width="0" style="50" hidden="1" customWidth="1"/>
    <col min="15373" max="15616" width="11" style="50"/>
    <col min="15617" max="15624" width="11" style="50" customWidth="1"/>
    <col min="15625" max="15628" width="0" style="50" hidden="1" customWidth="1"/>
    <col min="15629" max="15872" width="11" style="50"/>
    <col min="15873" max="15880" width="11" style="50" customWidth="1"/>
    <col min="15881" max="15884" width="0" style="50" hidden="1" customWidth="1"/>
    <col min="15885" max="16128" width="11" style="50"/>
    <col min="16129" max="16136" width="11" style="50" customWidth="1"/>
    <col min="16137" max="16140" width="0" style="50" hidden="1" customWidth="1"/>
    <col min="16141" max="16384" width="11" style="50"/>
  </cols>
  <sheetData>
    <row r="1" spans="1:12">
      <c r="A1" s="69" t="s">
        <v>303</v>
      </c>
    </row>
    <row r="3" spans="1:12" ht="15">
      <c r="A3" s="52" t="s">
        <v>274</v>
      </c>
      <c r="B3" s="53"/>
      <c r="D3" s="70" t="s">
        <v>275</v>
      </c>
      <c r="E3" s="72"/>
    </row>
    <row r="4" spans="1:12" ht="16">
      <c r="A4" s="54" t="s">
        <v>276</v>
      </c>
      <c r="B4" s="55">
        <v>60</v>
      </c>
      <c r="D4" s="56" t="s">
        <v>277</v>
      </c>
    </row>
    <row r="5" spans="1:12" ht="16">
      <c r="A5" s="54" t="s">
        <v>278</v>
      </c>
      <c r="B5" s="55">
        <v>20</v>
      </c>
      <c r="D5" s="56" t="s">
        <v>279</v>
      </c>
    </row>
    <row r="6" spans="1:12">
      <c r="A6" s="49"/>
      <c r="B6" s="57"/>
      <c r="D6" s="49" t="s">
        <v>280</v>
      </c>
    </row>
    <row r="7" spans="1:12">
      <c r="A7" s="49"/>
      <c r="B7" s="57"/>
      <c r="D7" s="49" t="s">
        <v>281</v>
      </c>
    </row>
    <row r="8" spans="1:12">
      <c r="D8" s="49" t="s">
        <v>282</v>
      </c>
    </row>
    <row r="9" spans="1:12">
      <c r="D9" s="49" t="s">
        <v>283</v>
      </c>
    </row>
    <row r="10" spans="1:12">
      <c r="A10" s="58"/>
      <c r="B10" s="58"/>
      <c r="D10" s="49" t="s">
        <v>284</v>
      </c>
    </row>
    <row r="11" spans="1:12">
      <c r="D11" s="49" t="s">
        <v>285</v>
      </c>
    </row>
    <row r="12" spans="1:12">
      <c r="D12" s="49" t="s">
        <v>286</v>
      </c>
      <c r="L12" s="49" t="s">
        <v>287</v>
      </c>
    </row>
    <row r="13" spans="1:12" ht="14">
      <c r="D13" s="59" t="s">
        <v>288</v>
      </c>
      <c r="E13"/>
      <c r="F13"/>
      <c r="G13"/>
      <c r="H13"/>
      <c r="I13"/>
      <c r="L13" s="60">
        <f>B4/B5</f>
        <v>3</v>
      </c>
    </row>
    <row r="14" spans="1:12" ht="14">
      <c r="D14"/>
      <c r="E14"/>
      <c r="F14"/>
      <c r="G14"/>
      <c r="H14"/>
      <c r="I14"/>
    </row>
    <row r="16" spans="1:12">
      <c r="A16" s="49" t="s">
        <v>289</v>
      </c>
      <c r="J16" s="61" t="s">
        <v>290</v>
      </c>
    </row>
    <row r="17" spans="1:13" ht="13" thickBot="1">
      <c r="A17" s="62" t="s">
        <v>291</v>
      </c>
      <c r="B17" s="63" t="s">
        <v>292</v>
      </c>
      <c r="C17" s="63" t="s">
        <v>293</v>
      </c>
      <c r="D17" s="63" t="s">
        <v>294</v>
      </c>
      <c r="E17" s="63" t="s">
        <v>295</v>
      </c>
      <c r="F17" s="63" t="s">
        <v>296</v>
      </c>
      <c r="G17" s="63" t="s">
        <v>297</v>
      </c>
      <c r="H17" s="64" t="s">
        <v>298</v>
      </c>
      <c r="J17" s="61" t="s">
        <v>299</v>
      </c>
      <c r="K17" s="61" t="s">
        <v>300</v>
      </c>
    </row>
    <row r="18" spans="1:13">
      <c r="A18" s="60">
        <v>0</v>
      </c>
      <c r="B18" s="65"/>
      <c r="J18" s="66">
        <v>1</v>
      </c>
      <c r="K18" s="66">
        <v>1</v>
      </c>
    </row>
    <row r="19" spans="1:13">
      <c r="A19" s="60">
        <f t="shared" ref="A19:A82" si="0">A18+1</f>
        <v>1</v>
      </c>
      <c r="B19" s="67" t="str">
        <f>IF(H19&lt;1,F19*J19*H19/(1-H19)^2,"infinity")</f>
        <v>infinity</v>
      </c>
      <c r="C19" s="68" t="str">
        <f t="shared" ref="C19:C82" si="1">IF(H19&lt;1,B19+$L$13,"infinity")</f>
        <v>infinity</v>
      </c>
      <c r="D19" s="68" t="str">
        <f t="shared" ref="D19:D82" si="2">IF(H19&lt;1,B19/$B$4,"infinity")</f>
        <v>infinity</v>
      </c>
      <c r="E19" s="68" t="str">
        <f t="shared" ref="E19:E82" si="3">IF(H19&lt;1,D19+1/$B$5,"infinity")</f>
        <v>infinity</v>
      </c>
      <c r="F19" s="68">
        <f>IF($B$4&lt;A19*$B$5,1/(K18+J19/(1-H19)),0)</f>
        <v>0</v>
      </c>
      <c r="G19" s="68">
        <f>IF(H19&lt;1,1-F19*K18,1)</f>
        <v>1</v>
      </c>
      <c r="H19" s="68">
        <f t="shared" ref="H19:H82" si="4">MIN(1,+$L$13/A19)</f>
        <v>1</v>
      </c>
      <c r="J19" s="66">
        <f>L13</f>
        <v>3</v>
      </c>
      <c r="K19" s="66">
        <f t="shared" ref="K19:K82" si="5">K18+J19</f>
        <v>4</v>
      </c>
    </row>
    <row r="20" spans="1:13">
      <c r="A20" s="60">
        <f t="shared" si="0"/>
        <v>2</v>
      </c>
      <c r="B20" s="67" t="str">
        <f t="shared" ref="B20:B83" si="6">IF(H20&lt;1,F20*J20*H20/(1-H20)^2,"infinity")</f>
        <v>infinity</v>
      </c>
      <c r="C20" s="68" t="str">
        <f t="shared" si="1"/>
        <v>infinity</v>
      </c>
      <c r="D20" s="68" t="str">
        <f t="shared" si="2"/>
        <v>infinity</v>
      </c>
      <c r="E20" s="68" t="str">
        <f t="shared" si="3"/>
        <v>infinity</v>
      </c>
      <c r="F20" s="68">
        <f t="shared" ref="F20:F83" si="7">IF($B$4&lt;A20*$B$5,1/(K19+J20/(1-H20)),0)</f>
        <v>0</v>
      </c>
      <c r="G20" s="68">
        <f t="shared" ref="G20:G83" si="8">IF(H20&lt;1,1-F20*K19,1)</f>
        <v>1</v>
      </c>
      <c r="H20" s="68">
        <f t="shared" si="4"/>
        <v>1</v>
      </c>
      <c r="J20" s="66">
        <f t="shared" ref="J20:J83" si="9">$L$13*J19/A20</f>
        <v>4.5</v>
      </c>
      <c r="K20" s="66">
        <f t="shared" si="5"/>
        <v>8.5</v>
      </c>
    </row>
    <row r="21" spans="1:13">
      <c r="A21" s="60">
        <f t="shared" si="0"/>
        <v>3</v>
      </c>
      <c r="B21" s="67" t="str">
        <f t="shared" si="6"/>
        <v>infinity</v>
      </c>
      <c r="C21" s="68" t="str">
        <f t="shared" si="1"/>
        <v>infinity</v>
      </c>
      <c r="D21" s="68" t="str">
        <f t="shared" si="2"/>
        <v>infinity</v>
      </c>
      <c r="E21" s="68" t="str">
        <f t="shared" si="3"/>
        <v>infinity</v>
      </c>
      <c r="F21" s="68">
        <f t="shared" si="7"/>
        <v>0</v>
      </c>
      <c r="G21" s="68">
        <f t="shared" si="8"/>
        <v>1</v>
      </c>
      <c r="H21" s="68">
        <f t="shared" si="4"/>
        <v>1</v>
      </c>
      <c r="J21" s="66">
        <f t="shared" si="9"/>
        <v>4.5</v>
      </c>
      <c r="K21" s="66">
        <f t="shared" si="5"/>
        <v>13</v>
      </c>
    </row>
    <row r="22" spans="1:13" ht="13">
      <c r="A22" s="60">
        <f t="shared" si="0"/>
        <v>4</v>
      </c>
      <c r="B22" s="67">
        <f t="shared" si="6"/>
        <v>1.5283018867924527</v>
      </c>
      <c r="C22" s="68">
        <f t="shared" si="1"/>
        <v>4.5283018867924527</v>
      </c>
      <c r="D22" s="71">
        <f t="shared" si="2"/>
        <v>2.5471698113207545E-2</v>
      </c>
      <c r="E22" s="68">
        <f t="shared" si="3"/>
        <v>7.5471698113207544E-2</v>
      </c>
      <c r="F22" s="68">
        <f t="shared" si="7"/>
        <v>3.7735849056603772E-2</v>
      </c>
      <c r="G22" s="68">
        <f t="shared" si="8"/>
        <v>0.50943396226415094</v>
      </c>
      <c r="H22" s="68">
        <f t="shared" si="4"/>
        <v>0.75</v>
      </c>
      <c r="J22" s="66">
        <f t="shared" si="9"/>
        <v>3.375</v>
      </c>
      <c r="K22" s="66">
        <f t="shared" si="5"/>
        <v>16.375</v>
      </c>
      <c r="M22" s="50">
        <f>D22*60</f>
        <v>1.5283018867924527</v>
      </c>
    </row>
    <row r="23" spans="1:13">
      <c r="A23" s="60">
        <f t="shared" si="0"/>
        <v>5</v>
      </c>
      <c r="B23" s="67">
        <f t="shared" si="6"/>
        <v>0.35422740524781327</v>
      </c>
      <c r="C23" s="68">
        <f t="shared" si="1"/>
        <v>3.3542274052478134</v>
      </c>
      <c r="D23" s="68">
        <f t="shared" si="2"/>
        <v>5.9037900874635545E-3</v>
      </c>
      <c r="E23" s="68">
        <f t="shared" si="3"/>
        <v>5.5903790087463559E-2</v>
      </c>
      <c r="F23" s="68">
        <f t="shared" si="7"/>
        <v>4.6647230320699708E-2</v>
      </c>
      <c r="G23" s="68">
        <f t="shared" si="8"/>
        <v>0.23615160349854225</v>
      </c>
      <c r="H23" s="68">
        <f t="shared" si="4"/>
        <v>0.6</v>
      </c>
      <c r="J23" s="66">
        <f t="shared" si="9"/>
        <v>2.0249999999999999</v>
      </c>
      <c r="K23" s="66">
        <f t="shared" si="5"/>
        <v>18.399999999999999</v>
      </c>
      <c r="M23" s="50">
        <f>D23*60</f>
        <v>0.35422740524781327</v>
      </c>
    </row>
    <row r="24" spans="1:13">
      <c r="A24" s="60">
        <f t="shared" si="0"/>
        <v>6</v>
      </c>
      <c r="B24" s="67">
        <f t="shared" si="6"/>
        <v>9.9143206854345176E-2</v>
      </c>
      <c r="C24" s="68">
        <f t="shared" si="1"/>
        <v>3.099143206854345</v>
      </c>
      <c r="D24" s="68">
        <f t="shared" si="2"/>
        <v>1.6523867809057529E-3</v>
      </c>
      <c r="E24" s="68">
        <f t="shared" si="3"/>
        <v>5.1652386780905758E-2</v>
      </c>
      <c r="F24" s="68">
        <f t="shared" si="7"/>
        <v>4.8959608323133424E-2</v>
      </c>
      <c r="G24" s="68">
        <f t="shared" si="8"/>
        <v>9.9143206854345078E-2</v>
      </c>
      <c r="H24" s="68">
        <f t="shared" si="4"/>
        <v>0.5</v>
      </c>
      <c r="J24" s="66">
        <f t="shared" si="9"/>
        <v>1.0125</v>
      </c>
      <c r="K24" s="66">
        <f t="shared" si="5"/>
        <v>19.412499999999998</v>
      </c>
    </row>
    <row r="25" spans="1:13">
      <c r="A25" s="60">
        <f t="shared" si="0"/>
        <v>7</v>
      </c>
      <c r="B25" s="67">
        <f t="shared" si="6"/>
        <v>2.8233927188226184E-2</v>
      </c>
      <c r="C25" s="68">
        <f t="shared" si="1"/>
        <v>3.0282339271882264</v>
      </c>
      <c r="D25" s="68">
        <f t="shared" si="2"/>
        <v>4.7056545313710308E-4</v>
      </c>
      <c r="E25" s="68">
        <f t="shared" si="3"/>
        <v>5.0470565453137106E-2</v>
      </c>
      <c r="F25" s="68">
        <f t="shared" si="7"/>
        <v>4.9573973663826501E-2</v>
      </c>
      <c r="G25" s="68">
        <f t="shared" si="8"/>
        <v>3.7645236250968162E-2</v>
      </c>
      <c r="H25" s="68">
        <f t="shared" si="4"/>
        <v>0.42857142857142855</v>
      </c>
      <c r="J25" s="66">
        <f t="shared" si="9"/>
        <v>0.43392857142857139</v>
      </c>
      <c r="K25" s="66">
        <f t="shared" si="5"/>
        <v>19.846428571428568</v>
      </c>
    </row>
    <row r="26" spans="1:13">
      <c r="A26" s="60">
        <f t="shared" si="0"/>
        <v>8</v>
      </c>
      <c r="B26" s="67">
        <f t="shared" si="6"/>
        <v>7.7692321355619124E-3</v>
      </c>
      <c r="C26" s="68">
        <f t="shared" si="1"/>
        <v>3.007769232135562</v>
      </c>
      <c r="D26" s="68">
        <f t="shared" si="2"/>
        <v>1.294872022593652E-4</v>
      </c>
      <c r="E26" s="68">
        <f t="shared" si="3"/>
        <v>5.0129487202259369E-2</v>
      </c>
      <c r="F26" s="68">
        <f t="shared" si="7"/>
        <v>4.9734453542691709E-2</v>
      </c>
      <c r="G26" s="68">
        <f t="shared" si="8"/>
        <v>1.2948720225936516E-2</v>
      </c>
      <c r="H26" s="68">
        <f t="shared" si="4"/>
        <v>0.375</v>
      </c>
      <c r="J26" s="66">
        <f t="shared" si="9"/>
        <v>0.16272321428571426</v>
      </c>
      <c r="K26" s="66">
        <f t="shared" si="5"/>
        <v>20.009151785714284</v>
      </c>
    </row>
    <row r="27" spans="1:13">
      <c r="A27" s="60">
        <f t="shared" si="0"/>
        <v>9</v>
      </c>
      <c r="B27" s="67">
        <f t="shared" si="6"/>
        <v>2.0248762575620373E-3</v>
      </c>
      <c r="C27" s="68">
        <f t="shared" si="1"/>
        <v>3.0020248762575621</v>
      </c>
      <c r="D27" s="68">
        <f t="shared" si="2"/>
        <v>3.3747937626033958E-5</v>
      </c>
      <c r="E27" s="68">
        <f t="shared" si="3"/>
        <v>5.0033747937626036E-2</v>
      </c>
      <c r="F27" s="68">
        <f t="shared" si="7"/>
        <v>4.9774735988356272E-2</v>
      </c>
      <c r="G27" s="68">
        <f t="shared" si="8"/>
        <v>4.0497525151240721E-3</v>
      </c>
      <c r="H27" s="68">
        <f t="shared" si="4"/>
        <v>0.33333333333333331</v>
      </c>
      <c r="J27" s="66">
        <f t="shared" si="9"/>
        <v>5.4241071428571423E-2</v>
      </c>
      <c r="K27" s="66">
        <f t="shared" si="5"/>
        <v>20.063392857142855</v>
      </c>
    </row>
    <row r="28" spans="1:13">
      <c r="A28" s="60">
        <f t="shared" si="0"/>
        <v>10</v>
      </c>
      <c r="B28" s="67">
        <f t="shared" si="6"/>
        <v>4.9598371123270443E-4</v>
      </c>
      <c r="C28" s="68">
        <f t="shared" si="1"/>
        <v>3.0004959837112328</v>
      </c>
      <c r="D28" s="68">
        <f t="shared" si="2"/>
        <v>8.2663951872117411E-6</v>
      </c>
      <c r="E28" s="68">
        <f t="shared" si="3"/>
        <v>5.0008266395187212E-2</v>
      </c>
      <c r="F28" s="68">
        <f t="shared" si="7"/>
        <v>4.9784336666576709E-2</v>
      </c>
      <c r="G28" s="68">
        <f t="shared" si="8"/>
        <v>1.157295326209784E-3</v>
      </c>
      <c r="H28" s="68">
        <f t="shared" si="4"/>
        <v>0.3</v>
      </c>
      <c r="J28" s="66">
        <f t="shared" si="9"/>
        <v>1.6272321428571428E-2</v>
      </c>
      <c r="K28" s="66">
        <f t="shared" si="5"/>
        <v>20.079665178571425</v>
      </c>
    </row>
    <row r="29" spans="1:13">
      <c r="A29" s="60">
        <f t="shared" si="0"/>
        <v>11</v>
      </c>
      <c r="B29" s="67">
        <f t="shared" si="6"/>
        <v>1.1392620290859274E-4</v>
      </c>
      <c r="C29" s="68">
        <f t="shared" si="1"/>
        <v>3.0001139262029084</v>
      </c>
      <c r="D29" s="68">
        <f t="shared" si="2"/>
        <v>1.8987700484765457E-6</v>
      </c>
      <c r="E29" s="68">
        <f t="shared" si="3"/>
        <v>5.0001898770048479E-2</v>
      </c>
      <c r="F29" s="68">
        <f t="shared" si="7"/>
        <v>4.9786497329601762E-2</v>
      </c>
      <c r="G29" s="68">
        <f t="shared" si="8"/>
        <v>3.0380320775624803E-4</v>
      </c>
      <c r="H29" s="68">
        <f t="shared" si="4"/>
        <v>0.27272727272727271</v>
      </c>
      <c r="J29" s="66">
        <f t="shared" si="9"/>
        <v>4.437905844155844E-3</v>
      </c>
      <c r="K29" s="66">
        <f t="shared" si="5"/>
        <v>20.084103084415581</v>
      </c>
    </row>
    <row r="30" spans="1:13">
      <c r="A30" s="60">
        <f t="shared" si="0"/>
        <v>12</v>
      </c>
      <c r="B30" s="67">
        <f t="shared" si="6"/>
        <v>2.4549980173112724E-5</v>
      </c>
      <c r="C30" s="68">
        <f t="shared" si="1"/>
        <v>3.0000245499801732</v>
      </c>
      <c r="D30" s="68">
        <f t="shared" si="2"/>
        <v>4.0916633621854541E-7</v>
      </c>
      <c r="E30" s="68">
        <f t="shared" si="3"/>
        <v>5.0000409166336218E-2</v>
      </c>
      <c r="F30" s="68">
        <f t="shared" si="7"/>
        <v>4.9786955676172633E-2</v>
      </c>
      <c r="G30" s="68">
        <f t="shared" si="8"/>
        <v>7.3649940519393553E-5</v>
      </c>
      <c r="H30" s="68">
        <f t="shared" si="4"/>
        <v>0.25</v>
      </c>
      <c r="J30" s="66">
        <f t="shared" si="9"/>
        <v>1.109476461038961E-3</v>
      </c>
      <c r="K30" s="66">
        <f t="shared" si="5"/>
        <v>20.08521256087662</v>
      </c>
    </row>
    <row r="31" spans="1:13">
      <c r="A31" s="60">
        <f t="shared" si="0"/>
        <v>13</v>
      </c>
      <c r="B31" s="67">
        <f t="shared" si="6"/>
        <v>4.9713801386016146E-6</v>
      </c>
      <c r="C31" s="68">
        <f t="shared" si="1"/>
        <v>3.0000049713801387</v>
      </c>
      <c r="D31" s="68">
        <f t="shared" si="2"/>
        <v>8.2856335643360244E-8</v>
      </c>
      <c r="E31" s="68">
        <f t="shared" si="3"/>
        <v>5.0000082856335649E-2</v>
      </c>
      <c r="F31" s="68">
        <f t="shared" si="7"/>
        <v>4.9787047346499524E-2</v>
      </c>
      <c r="G31" s="68">
        <f t="shared" si="8"/>
        <v>1.6571267128728806E-5</v>
      </c>
      <c r="H31" s="68">
        <f t="shared" si="4"/>
        <v>0.23076923076923078</v>
      </c>
      <c r="J31" s="66">
        <f t="shared" si="9"/>
        <v>2.5603302947052944E-4</v>
      </c>
      <c r="K31" s="66">
        <f t="shared" si="5"/>
        <v>20.085468593906089</v>
      </c>
    </row>
    <row r="32" spans="1:13">
      <c r="A32" s="60">
        <f t="shared" si="0"/>
        <v>14</v>
      </c>
      <c r="B32" s="67">
        <f t="shared" si="6"/>
        <v>9.4813385891240068E-7</v>
      </c>
      <c r="C32" s="68">
        <f t="shared" si="1"/>
        <v>3.000000948133859</v>
      </c>
      <c r="D32" s="68">
        <f t="shared" si="2"/>
        <v>1.5802230981873345E-8</v>
      </c>
      <c r="E32" s="68">
        <f t="shared" si="3"/>
        <v>5.0000015802230985E-2</v>
      </c>
      <c r="F32" s="68">
        <f t="shared" si="7"/>
        <v>4.9787064654920818E-2</v>
      </c>
      <c r="G32" s="68">
        <f t="shared" si="8"/>
        <v>3.4764908160012098E-6</v>
      </c>
      <c r="H32" s="68">
        <f t="shared" si="4"/>
        <v>0.21428571428571427</v>
      </c>
      <c r="J32" s="66">
        <f t="shared" si="9"/>
        <v>5.4864220600827741E-5</v>
      </c>
      <c r="K32" s="66">
        <f t="shared" si="5"/>
        <v>20.085523458126691</v>
      </c>
    </row>
    <row r="33" spans="1:11">
      <c r="A33" s="60">
        <f t="shared" si="0"/>
        <v>15</v>
      </c>
      <c r="B33" s="67">
        <f t="shared" si="6"/>
        <v>1.7072054174181728E-7</v>
      </c>
      <c r="C33" s="68">
        <f t="shared" si="1"/>
        <v>3.0000001707205417</v>
      </c>
      <c r="D33" s="68">
        <f t="shared" si="2"/>
        <v>2.8453423623636212E-9</v>
      </c>
      <c r="E33" s="68">
        <f t="shared" si="3"/>
        <v>5.0000002845342367E-2</v>
      </c>
      <c r="F33" s="68">
        <f t="shared" si="7"/>
        <v>4.9787067745711601E-2</v>
      </c>
      <c r="G33" s="68">
        <f t="shared" si="8"/>
        <v>6.8288216692469206E-7</v>
      </c>
      <c r="H33" s="68">
        <f t="shared" si="4"/>
        <v>0.2</v>
      </c>
      <c r="J33" s="66">
        <f t="shared" si="9"/>
        <v>1.0972844120165549E-5</v>
      </c>
      <c r="K33" s="66">
        <f t="shared" si="5"/>
        <v>20.08553443097081</v>
      </c>
    </row>
    <row r="34" spans="1:11">
      <c r="A34" s="60">
        <f t="shared" si="0"/>
        <v>16</v>
      </c>
      <c r="B34" s="67">
        <f t="shared" si="6"/>
        <v>2.9093205052184251E-8</v>
      </c>
      <c r="C34" s="68">
        <f t="shared" si="1"/>
        <v>3.0000000290932052</v>
      </c>
      <c r="D34" s="68">
        <f t="shared" si="2"/>
        <v>4.8488675086973747E-10</v>
      </c>
      <c r="E34" s="68">
        <f t="shared" si="3"/>
        <v>5.0000000484886752E-2</v>
      </c>
      <c r="F34" s="68">
        <f t="shared" si="7"/>
        <v>4.9787068268768532E-2</v>
      </c>
      <c r="G34" s="68">
        <f t="shared" si="8"/>
        <v>1.2607055532853906E-7</v>
      </c>
      <c r="H34" s="68">
        <f t="shared" si="4"/>
        <v>0.1875</v>
      </c>
      <c r="J34" s="66">
        <f t="shared" si="9"/>
        <v>2.0574082725310405E-6</v>
      </c>
      <c r="K34" s="66">
        <f t="shared" si="5"/>
        <v>20.085536488379084</v>
      </c>
    </row>
    <row r="35" spans="1:11">
      <c r="A35" s="60">
        <f t="shared" si="0"/>
        <v>17</v>
      </c>
      <c r="B35" s="67">
        <f t="shared" si="6"/>
        <v>4.7035251869778101E-9</v>
      </c>
      <c r="C35" s="68">
        <f t="shared" si="1"/>
        <v>3.0000000047035251</v>
      </c>
      <c r="D35" s="68">
        <f t="shared" si="2"/>
        <v>7.8392086449630167E-11</v>
      </c>
      <c r="E35" s="68">
        <f t="shared" si="3"/>
        <v>5.0000000078392087E-2</v>
      </c>
      <c r="F35" s="68">
        <f t="shared" si="7"/>
        <v>4.9787068352831261E-2</v>
      </c>
      <c r="G35" s="68">
        <f t="shared" si="8"/>
        <v>2.1949784212438317E-8</v>
      </c>
      <c r="H35" s="68">
        <f t="shared" si="4"/>
        <v>0.17647058823529413</v>
      </c>
      <c r="J35" s="66">
        <f t="shared" si="9"/>
        <v>3.6307204809371302E-7</v>
      </c>
      <c r="K35" s="66">
        <f t="shared" si="5"/>
        <v>20.085536851451131</v>
      </c>
    </row>
    <row r="36" spans="1:11">
      <c r="A36" s="60">
        <f t="shared" si="0"/>
        <v>18</v>
      </c>
      <c r="B36" s="67">
        <f t="shared" si="6"/>
        <v>7.2305171520448079E-10</v>
      </c>
      <c r="C36" s="68">
        <f t="shared" si="1"/>
        <v>3.0000000007230518</v>
      </c>
      <c r="D36" s="68">
        <f t="shared" si="2"/>
        <v>1.205086192007468E-11</v>
      </c>
      <c r="E36" s="68">
        <f t="shared" si="3"/>
        <v>5.0000000012050863E-2</v>
      </c>
      <c r="F36" s="68">
        <f t="shared" si="7"/>
        <v>4.9787068365687914E-2</v>
      </c>
      <c r="G36" s="68">
        <f t="shared" si="8"/>
        <v>3.615258536981969E-9</v>
      </c>
      <c r="H36" s="68">
        <f t="shared" si="4"/>
        <v>0.16666666666666666</v>
      </c>
      <c r="J36" s="66">
        <f t="shared" si="9"/>
        <v>6.0512008015618846E-8</v>
      </c>
      <c r="K36" s="66">
        <f t="shared" si="5"/>
        <v>20.085536911963139</v>
      </c>
    </row>
    <row r="37" spans="1:11">
      <c r="A37" s="60">
        <f t="shared" si="0"/>
        <v>19</v>
      </c>
      <c r="B37" s="67">
        <f t="shared" si="6"/>
        <v>1.0591577859839507E-10</v>
      </c>
      <c r="C37" s="68">
        <f t="shared" si="1"/>
        <v>3.0000000001059157</v>
      </c>
      <c r="D37" s="68">
        <f t="shared" si="2"/>
        <v>1.7652629766399179E-12</v>
      </c>
      <c r="E37" s="68">
        <f t="shared" si="3"/>
        <v>5.0000000001765264E-2</v>
      </c>
      <c r="F37" s="68">
        <f t="shared" si="7"/>
        <v>4.9787068367562838E-2</v>
      </c>
      <c r="G37" s="68">
        <f t="shared" si="8"/>
        <v>5.6488425048684121E-10</v>
      </c>
      <c r="H37" s="68">
        <f t="shared" si="4"/>
        <v>0.15789473684210525</v>
      </c>
      <c r="J37" s="66">
        <f t="shared" si="9"/>
        <v>9.5545275814135016E-9</v>
      </c>
      <c r="K37" s="66">
        <f t="shared" si="5"/>
        <v>20.085536921517665</v>
      </c>
    </row>
    <row r="38" spans="1:11">
      <c r="A38" s="60">
        <f t="shared" si="0"/>
        <v>20</v>
      </c>
      <c r="B38" s="67">
        <f t="shared" si="6"/>
        <v>1.4813935160079073E-11</v>
      </c>
      <c r="C38" s="68">
        <f t="shared" si="1"/>
        <v>3.0000000000148139</v>
      </c>
      <c r="D38" s="68">
        <f t="shared" si="2"/>
        <v>2.4689891933465122E-13</v>
      </c>
      <c r="E38" s="68">
        <f t="shared" si="3"/>
        <v>5.0000000000246902E-2</v>
      </c>
      <c r="F38" s="68">
        <f t="shared" si="7"/>
        <v>4.978706836782406E-2</v>
      </c>
      <c r="G38" s="68">
        <f t="shared" si="8"/>
        <v>8.3945628226445024E-11</v>
      </c>
      <c r="H38" s="68">
        <f t="shared" si="4"/>
        <v>0.15</v>
      </c>
      <c r="J38" s="66">
        <f t="shared" si="9"/>
        <v>1.4331791372120253E-9</v>
      </c>
      <c r="K38" s="66">
        <f t="shared" si="5"/>
        <v>20.085536922950844</v>
      </c>
    </row>
    <row r="39" spans="1:11">
      <c r="A39" s="60">
        <f t="shared" si="0"/>
        <v>21</v>
      </c>
      <c r="B39" s="67">
        <f t="shared" si="6"/>
        <v>1.9820496579934471E-12</v>
      </c>
      <c r="C39" s="68">
        <f t="shared" si="1"/>
        <v>3.000000000001982</v>
      </c>
      <c r="D39" s="68">
        <f t="shared" si="2"/>
        <v>3.3034160966557455E-14</v>
      </c>
      <c r="E39" s="68">
        <f t="shared" si="3"/>
        <v>5.0000000000033039E-2</v>
      </c>
      <c r="F39" s="68">
        <f t="shared" si="7"/>
        <v>4.9787068367858886E-2</v>
      </c>
      <c r="G39" s="68">
        <f t="shared" si="8"/>
        <v>1.1892375972877289E-11</v>
      </c>
      <c r="H39" s="68">
        <f t="shared" si="4"/>
        <v>0.14285714285714285</v>
      </c>
      <c r="J39" s="66">
        <f t="shared" si="9"/>
        <v>2.0473987674457504E-10</v>
      </c>
      <c r="K39" s="66">
        <f t="shared" si="5"/>
        <v>20.085536923155583</v>
      </c>
    </row>
    <row r="40" spans="1:11">
      <c r="A40" s="60">
        <f t="shared" si="0"/>
        <v>22</v>
      </c>
      <c r="B40" s="67">
        <f t="shared" si="6"/>
        <v>2.5412904202213476E-13</v>
      </c>
      <c r="C40" s="68">
        <f t="shared" si="1"/>
        <v>3.000000000000254</v>
      </c>
      <c r="D40" s="68">
        <f t="shared" si="2"/>
        <v>4.2354840337022457E-15</v>
      </c>
      <c r="E40" s="68">
        <f t="shared" si="3"/>
        <v>5.0000000000004236E-2</v>
      </c>
      <c r="F40" s="68">
        <f t="shared" si="7"/>
        <v>4.9787068367863341E-2</v>
      </c>
      <c r="G40" s="68">
        <f t="shared" si="8"/>
        <v>1.6094903187990894E-12</v>
      </c>
      <c r="H40" s="68">
        <f t="shared" si="4"/>
        <v>0.13636363636363635</v>
      </c>
      <c r="J40" s="66">
        <f t="shared" si="9"/>
        <v>2.791907410153296E-11</v>
      </c>
      <c r="K40" s="66">
        <f t="shared" si="5"/>
        <v>20.085536923183504</v>
      </c>
    </row>
    <row r="41" spans="1:11">
      <c r="A41" s="60">
        <f t="shared" si="0"/>
        <v>23</v>
      </c>
      <c r="B41" s="67">
        <f t="shared" si="6"/>
        <v>3.1275199148860792E-14</v>
      </c>
      <c r="C41" s="68">
        <f t="shared" si="1"/>
        <v>3.0000000000000311</v>
      </c>
      <c r="D41" s="68">
        <f t="shared" si="2"/>
        <v>5.212533191476799E-16</v>
      </c>
      <c r="E41" s="68">
        <f t="shared" si="3"/>
        <v>5.0000000000000523E-2</v>
      </c>
      <c r="F41" s="68">
        <f t="shared" si="7"/>
        <v>4.9787068367863882E-2</v>
      </c>
      <c r="G41" s="68">
        <f t="shared" si="8"/>
        <v>2.084998840246044E-13</v>
      </c>
      <c r="H41" s="68">
        <f t="shared" si="4"/>
        <v>0.13043478260869565</v>
      </c>
      <c r="J41" s="66">
        <f t="shared" si="9"/>
        <v>3.641618361069517E-12</v>
      </c>
      <c r="K41" s="66">
        <f t="shared" si="5"/>
        <v>20.085536923187146</v>
      </c>
    </row>
    <row r="42" spans="1:11">
      <c r="A42" s="60">
        <f t="shared" si="0"/>
        <v>24</v>
      </c>
      <c r="B42" s="67">
        <f t="shared" si="6"/>
        <v>3.7001122920864642E-15</v>
      </c>
      <c r="C42" s="68">
        <f t="shared" si="1"/>
        <v>3.0000000000000036</v>
      </c>
      <c r="D42" s="68">
        <f t="shared" si="2"/>
        <v>6.1668538201441069E-17</v>
      </c>
      <c r="E42" s="68">
        <f t="shared" si="3"/>
        <v>5.0000000000000065E-2</v>
      </c>
      <c r="F42" s="68">
        <f t="shared" si="7"/>
        <v>4.9787068367863951E-2</v>
      </c>
      <c r="G42" s="68">
        <f t="shared" si="8"/>
        <v>2.5868196473766147E-14</v>
      </c>
      <c r="H42" s="68">
        <f t="shared" si="4"/>
        <v>0.125</v>
      </c>
      <c r="J42" s="66">
        <f t="shared" si="9"/>
        <v>4.5520229513368962E-13</v>
      </c>
      <c r="K42" s="66">
        <f t="shared" si="5"/>
        <v>20.0855369231876</v>
      </c>
    </row>
    <row r="43" spans="1:11">
      <c r="A43" s="60">
        <f t="shared" si="0"/>
        <v>25</v>
      </c>
      <c r="B43" s="67">
        <f t="shared" si="6"/>
        <v>4.2142291343236848E-16</v>
      </c>
      <c r="C43" s="68">
        <f t="shared" si="1"/>
        <v>3.0000000000000004</v>
      </c>
      <c r="D43" s="68">
        <f t="shared" si="2"/>
        <v>7.0237152238728079E-18</v>
      </c>
      <c r="E43" s="68">
        <f t="shared" si="3"/>
        <v>5.000000000000001E-2</v>
      </c>
      <c r="F43" s="68">
        <f t="shared" si="7"/>
        <v>4.9787068367863958E-2</v>
      </c>
      <c r="G43" s="68">
        <f t="shared" si="8"/>
        <v>2.9976021664879227E-15</v>
      </c>
      <c r="H43" s="68">
        <f t="shared" si="4"/>
        <v>0.12</v>
      </c>
      <c r="J43" s="66">
        <f t="shared" si="9"/>
        <v>5.4624275416042754E-14</v>
      </c>
      <c r="K43" s="66">
        <f t="shared" si="5"/>
        <v>20.085536923187654</v>
      </c>
    </row>
    <row r="44" spans="1:11">
      <c r="A44" s="60">
        <f t="shared" si="0"/>
        <v>26</v>
      </c>
      <c r="B44" s="67">
        <f t="shared" si="6"/>
        <v>4.6268890004067978E-17</v>
      </c>
      <c r="C44" s="68">
        <f t="shared" si="1"/>
        <v>3</v>
      </c>
      <c r="D44" s="68">
        <f t="shared" si="2"/>
        <v>7.7114816673446633E-19</v>
      </c>
      <c r="E44" s="68">
        <f t="shared" si="3"/>
        <v>0.05</v>
      </c>
      <c r="F44" s="68">
        <f t="shared" si="7"/>
        <v>4.9787068367863958E-2</v>
      </c>
      <c r="G44" s="68">
        <f t="shared" si="8"/>
        <v>4.4408920985006262E-16</v>
      </c>
      <c r="H44" s="68">
        <f t="shared" si="4"/>
        <v>0.11538461538461539</v>
      </c>
      <c r="J44" s="66">
        <f t="shared" si="9"/>
        <v>6.3028010095433943E-15</v>
      </c>
      <c r="K44" s="66">
        <f t="shared" si="5"/>
        <v>20.085536923187661</v>
      </c>
    </row>
    <row r="45" spans="1:11">
      <c r="A45" s="60">
        <f t="shared" si="0"/>
        <v>27</v>
      </c>
      <c r="B45" s="67">
        <f t="shared" si="6"/>
        <v>4.9030935120496707E-18</v>
      </c>
      <c r="C45" s="68">
        <f t="shared" si="1"/>
        <v>3</v>
      </c>
      <c r="D45" s="68">
        <f t="shared" si="2"/>
        <v>8.1718225200827844E-20</v>
      </c>
      <c r="E45" s="68">
        <f t="shared" si="3"/>
        <v>0.05</v>
      </c>
      <c r="F45" s="68">
        <f t="shared" si="7"/>
        <v>4.9787068367863958E-2</v>
      </c>
      <c r="G45" s="68">
        <f t="shared" si="8"/>
        <v>0</v>
      </c>
      <c r="H45" s="68">
        <f t="shared" si="4"/>
        <v>0.1111111111111111</v>
      </c>
      <c r="J45" s="66">
        <f t="shared" si="9"/>
        <v>7.0031122328259933E-16</v>
      </c>
      <c r="K45" s="66">
        <f t="shared" si="5"/>
        <v>20.085536923187661</v>
      </c>
    </row>
    <row r="46" spans="1:11">
      <c r="A46" s="60">
        <f t="shared" si="0"/>
        <v>28</v>
      </c>
      <c r="B46" s="67">
        <f t="shared" si="6"/>
        <v>5.0207677563388624E-19</v>
      </c>
      <c r="C46" s="68">
        <f t="shared" si="1"/>
        <v>3</v>
      </c>
      <c r="D46" s="68">
        <f t="shared" si="2"/>
        <v>8.367946260564771E-21</v>
      </c>
      <c r="E46" s="68">
        <f t="shared" si="3"/>
        <v>0.05</v>
      </c>
      <c r="F46" s="68">
        <f t="shared" si="7"/>
        <v>4.9787068367863958E-2</v>
      </c>
      <c r="G46" s="68">
        <f t="shared" si="8"/>
        <v>0</v>
      </c>
      <c r="H46" s="68">
        <f t="shared" si="4"/>
        <v>0.10714285714285714</v>
      </c>
      <c r="J46" s="66">
        <f t="shared" si="9"/>
        <v>7.5033345351707075E-17</v>
      </c>
      <c r="K46" s="66">
        <f t="shared" si="5"/>
        <v>20.085536923187661</v>
      </c>
    </row>
    <row r="47" spans="1:11">
      <c r="A47" s="60">
        <f t="shared" si="0"/>
        <v>29</v>
      </c>
      <c r="B47" s="67">
        <f t="shared" si="6"/>
        <v>4.9735521677595988E-20</v>
      </c>
      <c r="C47" s="68">
        <f t="shared" si="1"/>
        <v>3</v>
      </c>
      <c r="D47" s="68">
        <f t="shared" si="2"/>
        <v>8.2892536129326647E-22</v>
      </c>
      <c r="E47" s="68">
        <f t="shared" si="3"/>
        <v>0.05</v>
      </c>
      <c r="F47" s="68">
        <f t="shared" si="7"/>
        <v>4.9787068367863958E-2</v>
      </c>
      <c r="G47" s="68">
        <f t="shared" si="8"/>
        <v>0</v>
      </c>
      <c r="H47" s="68">
        <f t="shared" si="4"/>
        <v>0.10344827586206896</v>
      </c>
      <c r="J47" s="66">
        <f t="shared" si="9"/>
        <v>7.7620702087972841E-18</v>
      </c>
      <c r="K47" s="66">
        <f t="shared" si="5"/>
        <v>20.085536923187661</v>
      </c>
    </row>
    <row r="48" spans="1:11">
      <c r="A48" s="60">
        <f t="shared" si="0"/>
        <v>30</v>
      </c>
      <c r="B48" s="67">
        <f t="shared" si="6"/>
        <v>4.7709965452043267E-21</v>
      </c>
      <c r="C48" s="68">
        <f t="shared" si="1"/>
        <v>3</v>
      </c>
      <c r="D48" s="68">
        <f t="shared" si="2"/>
        <v>7.9516609086738783E-23</v>
      </c>
      <c r="E48" s="68">
        <f t="shared" si="3"/>
        <v>0.05</v>
      </c>
      <c r="F48" s="68">
        <f t="shared" si="7"/>
        <v>4.9787068367863958E-2</v>
      </c>
      <c r="G48" s="68">
        <f t="shared" si="8"/>
        <v>0</v>
      </c>
      <c r="H48" s="68">
        <f t="shared" si="4"/>
        <v>0.1</v>
      </c>
      <c r="J48" s="66">
        <f t="shared" si="9"/>
        <v>7.7620702087972838E-19</v>
      </c>
      <c r="K48" s="66">
        <f t="shared" si="5"/>
        <v>20.085536923187661</v>
      </c>
    </row>
    <row r="49" spans="1:11">
      <c r="A49" s="60">
        <f t="shared" si="0"/>
        <v>31</v>
      </c>
      <c r="B49" s="67">
        <f t="shared" si="6"/>
        <v>4.4362965324667782E-22</v>
      </c>
      <c r="C49" s="68">
        <f t="shared" si="1"/>
        <v>3</v>
      </c>
      <c r="D49" s="68">
        <f t="shared" si="2"/>
        <v>7.3938275541112974E-24</v>
      </c>
      <c r="E49" s="68">
        <f t="shared" si="3"/>
        <v>0.05</v>
      </c>
      <c r="F49" s="68">
        <f t="shared" si="7"/>
        <v>4.9787068367863958E-2</v>
      </c>
      <c r="G49" s="68">
        <f t="shared" si="8"/>
        <v>0</v>
      </c>
      <c r="H49" s="68">
        <f t="shared" si="4"/>
        <v>9.6774193548387094E-2</v>
      </c>
      <c r="J49" s="66">
        <f t="shared" si="9"/>
        <v>7.5116808472231776E-20</v>
      </c>
      <c r="K49" s="66">
        <f t="shared" si="5"/>
        <v>20.085536923187661</v>
      </c>
    </row>
    <row r="50" spans="1:11">
      <c r="A50" s="60">
        <f t="shared" si="0"/>
        <v>32</v>
      </c>
      <c r="B50" s="67">
        <f t="shared" si="6"/>
        <v>4.0022129739411073E-23</v>
      </c>
      <c r="C50" s="68">
        <f t="shared" si="1"/>
        <v>3</v>
      </c>
      <c r="D50" s="68">
        <f t="shared" si="2"/>
        <v>6.6703549565685118E-25</v>
      </c>
      <c r="E50" s="68">
        <f t="shared" si="3"/>
        <v>0.05</v>
      </c>
      <c r="F50" s="68">
        <f t="shared" si="7"/>
        <v>4.9787068367863958E-2</v>
      </c>
      <c r="G50" s="68">
        <f t="shared" si="8"/>
        <v>0</v>
      </c>
      <c r="H50" s="68">
        <f t="shared" si="4"/>
        <v>9.375E-2</v>
      </c>
      <c r="J50" s="66">
        <f t="shared" si="9"/>
        <v>7.0422007942717282E-21</v>
      </c>
      <c r="K50" s="66">
        <f t="shared" si="5"/>
        <v>20.085536923187661</v>
      </c>
    </row>
    <row r="51" spans="1:11">
      <c r="A51" s="60">
        <f t="shared" si="0"/>
        <v>33</v>
      </c>
      <c r="B51" s="67">
        <f t="shared" si="6"/>
        <v>3.5061053240463253E-24</v>
      </c>
      <c r="C51" s="68">
        <f t="shared" si="1"/>
        <v>3</v>
      </c>
      <c r="D51" s="68">
        <f t="shared" si="2"/>
        <v>5.8435088734105417E-26</v>
      </c>
      <c r="E51" s="68">
        <f t="shared" si="3"/>
        <v>0.05</v>
      </c>
      <c r="F51" s="68">
        <f t="shared" si="7"/>
        <v>4.9787068367863958E-2</v>
      </c>
      <c r="G51" s="68">
        <f t="shared" si="8"/>
        <v>0</v>
      </c>
      <c r="H51" s="68">
        <f t="shared" si="4"/>
        <v>9.0909090909090912E-2</v>
      </c>
      <c r="J51" s="66">
        <f t="shared" si="9"/>
        <v>6.4020007220652075E-22</v>
      </c>
      <c r="K51" s="66">
        <f t="shared" si="5"/>
        <v>20.085536923187661</v>
      </c>
    </row>
    <row r="52" spans="1:11">
      <c r="A52" s="60">
        <f t="shared" si="0"/>
        <v>34</v>
      </c>
      <c r="B52" s="67">
        <f t="shared" si="6"/>
        <v>2.9850485210875905E-25</v>
      </c>
      <c r="C52" s="68">
        <f t="shared" si="1"/>
        <v>3</v>
      </c>
      <c r="D52" s="68">
        <f t="shared" si="2"/>
        <v>4.9750808684793172E-27</v>
      </c>
      <c r="E52" s="68">
        <f t="shared" si="3"/>
        <v>0.05</v>
      </c>
      <c r="F52" s="68">
        <f t="shared" si="7"/>
        <v>4.9787068367863958E-2</v>
      </c>
      <c r="G52" s="68">
        <f t="shared" si="8"/>
        <v>0</v>
      </c>
      <c r="H52" s="68">
        <f t="shared" si="4"/>
        <v>8.8235294117647065E-2</v>
      </c>
      <c r="J52" s="66">
        <f t="shared" si="9"/>
        <v>5.6488241665281243E-23</v>
      </c>
      <c r="K52" s="66">
        <f t="shared" si="5"/>
        <v>20.085536923187661</v>
      </c>
    </row>
    <row r="53" spans="1:11">
      <c r="A53" s="60">
        <f t="shared" si="0"/>
        <v>35</v>
      </c>
      <c r="B53" s="67">
        <f t="shared" si="6"/>
        <v>2.4718218308523451E-26</v>
      </c>
      <c r="C53" s="68">
        <f t="shared" si="1"/>
        <v>3</v>
      </c>
      <c r="D53" s="68">
        <f t="shared" si="2"/>
        <v>4.1197030514205748E-28</v>
      </c>
      <c r="E53" s="68">
        <f t="shared" si="3"/>
        <v>0.05</v>
      </c>
      <c r="F53" s="68">
        <f t="shared" si="7"/>
        <v>4.9787068367863958E-2</v>
      </c>
      <c r="G53" s="68">
        <f t="shared" si="8"/>
        <v>0</v>
      </c>
      <c r="H53" s="68">
        <f t="shared" si="4"/>
        <v>8.5714285714285715E-2</v>
      </c>
      <c r="J53" s="66">
        <f t="shared" si="9"/>
        <v>4.8418492855955354E-24</v>
      </c>
      <c r="K53" s="66">
        <f t="shared" si="5"/>
        <v>20.085536923187661</v>
      </c>
    </row>
    <row r="54" spans="1:11">
      <c r="A54" s="60">
        <f t="shared" si="0"/>
        <v>36</v>
      </c>
      <c r="B54" s="67">
        <f t="shared" si="6"/>
        <v>1.9922436480069273E-27</v>
      </c>
      <c r="C54" s="68">
        <f t="shared" si="1"/>
        <v>3</v>
      </c>
      <c r="D54" s="68">
        <f t="shared" si="2"/>
        <v>3.3204060800115455E-29</v>
      </c>
      <c r="E54" s="68">
        <f t="shared" si="3"/>
        <v>0.05</v>
      </c>
      <c r="F54" s="68">
        <f t="shared" si="7"/>
        <v>4.9787068367863958E-2</v>
      </c>
      <c r="G54" s="68">
        <f t="shared" si="8"/>
        <v>0</v>
      </c>
      <c r="H54" s="68">
        <f t="shared" si="4"/>
        <v>8.3333333333333329E-2</v>
      </c>
      <c r="J54" s="66">
        <f t="shared" si="9"/>
        <v>4.0348744046629459E-25</v>
      </c>
      <c r="K54" s="66">
        <f t="shared" si="5"/>
        <v>20.085536923187661</v>
      </c>
    </row>
    <row r="55" spans="1:11">
      <c r="A55" s="60">
        <f t="shared" si="0"/>
        <v>37</v>
      </c>
      <c r="B55" s="67">
        <f t="shared" si="6"/>
        <v>1.5639801994518049E-28</v>
      </c>
      <c r="C55" s="68">
        <f t="shared" si="1"/>
        <v>3</v>
      </c>
      <c r="D55" s="68">
        <f t="shared" si="2"/>
        <v>2.6066336657530081E-30</v>
      </c>
      <c r="E55" s="68">
        <f t="shared" si="3"/>
        <v>0.05</v>
      </c>
      <c r="F55" s="68">
        <f t="shared" si="7"/>
        <v>4.9787068367863958E-2</v>
      </c>
      <c r="G55" s="68">
        <f t="shared" si="8"/>
        <v>0</v>
      </c>
      <c r="H55" s="68">
        <f t="shared" si="4"/>
        <v>8.1081081081081086E-2</v>
      </c>
      <c r="J55" s="66">
        <f t="shared" si="9"/>
        <v>3.2715197875645503E-26</v>
      </c>
      <c r="K55" s="66">
        <f t="shared" si="5"/>
        <v>20.085536923187661</v>
      </c>
    </row>
    <row r="56" spans="1:11">
      <c r="A56" s="60">
        <f t="shared" si="0"/>
        <v>38</v>
      </c>
      <c r="B56" s="67">
        <f t="shared" si="6"/>
        <v>1.1966648277327873E-29</v>
      </c>
      <c r="C56" s="68">
        <f t="shared" si="1"/>
        <v>3</v>
      </c>
      <c r="D56" s="68">
        <f t="shared" si="2"/>
        <v>1.9944413795546455E-31</v>
      </c>
      <c r="E56" s="68">
        <f t="shared" si="3"/>
        <v>0.05</v>
      </c>
      <c r="F56" s="68">
        <f t="shared" si="7"/>
        <v>4.9787068367863958E-2</v>
      </c>
      <c r="G56" s="68">
        <f t="shared" si="8"/>
        <v>0</v>
      </c>
      <c r="H56" s="68">
        <f t="shared" si="4"/>
        <v>7.8947368421052627E-2</v>
      </c>
      <c r="J56" s="66">
        <f t="shared" si="9"/>
        <v>2.582778779656224E-27</v>
      </c>
      <c r="K56" s="66">
        <f t="shared" si="5"/>
        <v>20.085536923187661</v>
      </c>
    </row>
    <row r="57" spans="1:11">
      <c r="A57" s="60">
        <f t="shared" si="0"/>
        <v>39</v>
      </c>
      <c r="B57" s="67">
        <f t="shared" si="6"/>
        <v>8.9297905334592117E-31</v>
      </c>
      <c r="C57" s="68">
        <f t="shared" si="1"/>
        <v>3</v>
      </c>
      <c r="D57" s="68">
        <f t="shared" si="2"/>
        <v>1.488298422243202E-32</v>
      </c>
      <c r="E57" s="68">
        <f t="shared" si="3"/>
        <v>0.05</v>
      </c>
      <c r="F57" s="68">
        <f t="shared" si="7"/>
        <v>4.9787068367863958E-2</v>
      </c>
      <c r="G57" s="68">
        <f t="shared" si="8"/>
        <v>0</v>
      </c>
      <c r="H57" s="68">
        <f t="shared" si="4"/>
        <v>7.6923076923076927E-2</v>
      </c>
      <c r="J57" s="66">
        <f t="shared" si="9"/>
        <v>1.9867529074278647E-28</v>
      </c>
      <c r="K57" s="66">
        <f t="shared" si="5"/>
        <v>20.085536923187661</v>
      </c>
    </row>
    <row r="58" spans="1:11">
      <c r="A58" s="60">
        <f t="shared" si="0"/>
        <v>40</v>
      </c>
      <c r="B58" s="67">
        <f t="shared" si="6"/>
        <v>6.5027861613548013E-32</v>
      </c>
      <c r="C58" s="68">
        <f t="shared" si="1"/>
        <v>3</v>
      </c>
      <c r="D58" s="68">
        <f t="shared" si="2"/>
        <v>1.0837976935591335E-33</v>
      </c>
      <c r="E58" s="68">
        <f t="shared" si="3"/>
        <v>0.05</v>
      </c>
      <c r="F58" s="68">
        <f t="shared" si="7"/>
        <v>4.9787068367863958E-2</v>
      </c>
      <c r="G58" s="68">
        <f t="shared" si="8"/>
        <v>0</v>
      </c>
      <c r="H58" s="68">
        <f t="shared" si="4"/>
        <v>7.4999999999999997E-2</v>
      </c>
      <c r="J58" s="66">
        <f t="shared" si="9"/>
        <v>1.4900646805708985E-29</v>
      </c>
      <c r="K58" s="66">
        <f t="shared" si="5"/>
        <v>20.085536923187661</v>
      </c>
    </row>
    <row r="59" spans="1:11">
      <c r="A59" s="60">
        <f t="shared" si="0"/>
        <v>41</v>
      </c>
      <c r="B59" s="67">
        <f t="shared" si="6"/>
        <v>4.6237781794813305E-33</v>
      </c>
      <c r="C59" s="68">
        <f t="shared" si="1"/>
        <v>3</v>
      </c>
      <c r="D59" s="68">
        <f t="shared" si="2"/>
        <v>7.706296965802217E-35</v>
      </c>
      <c r="E59" s="68">
        <f t="shared" si="3"/>
        <v>0.05</v>
      </c>
      <c r="F59" s="68">
        <f t="shared" si="7"/>
        <v>4.9787068367863958E-2</v>
      </c>
      <c r="G59" s="68">
        <f t="shared" si="8"/>
        <v>0</v>
      </c>
      <c r="H59" s="68">
        <f t="shared" si="4"/>
        <v>7.3170731707317069E-2</v>
      </c>
      <c r="J59" s="66">
        <f t="shared" si="9"/>
        <v>1.0902912296860233E-30</v>
      </c>
      <c r="K59" s="66">
        <f t="shared" si="5"/>
        <v>20.085536923187661</v>
      </c>
    </row>
    <row r="60" spans="1:11">
      <c r="A60" s="60">
        <f t="shared" si="0"/>
        <v>42</v>
      </c>
      <c r="B60" s="67">
        <f t="shared" si="6"/>
        <v>3.2119765676485508E-34</v>
      </c>
      <c r="C60" s="68">
        <f t="shared" si="1"/>
        <v>3</v>
      </c>
      <c r="D60" s="68">
        <f t="shared" si="2"/>
        <v>5.353294279414251E-36</v>
      </c>
      <c r="E60" s="68">
        <f t="shared" si="3"/>
        <v>0.05</v>
      </c>
      <c r="F60" s="68">
        <f t="shared" si="7"/>
        <v>4.9787068367863958E-2</v>
      </c>
      <c r="G60" s="68">
        <f t="shared" si="8"/>
        <v>0</v>
      </c>
      <c r="H60" s="68">
        <f t="shared" si="4"/>
        <v>7.1428571428571425E-2</v>
      </c>
      <c r="J60" s="66">
        <f t="shared" si="9"/>
        <v>7.7877944977573102E-32</v>
      </c>
      <c r="K60" s="66">
        <f t="shared" si="5"/>
        <v>20.085536923187661</v>
      </c>
    </row>
    <row r="61" spans="1:11">
      <c r="A61" s="60">
        <f t="shared" si="0"/>
        <v>43</v>
      </c>
      <c r="B61" s="67">
        <f t="shared" si="6"/>
        <v>2.180989446157789E-35</v>
      </c>
      <c r="C61" s="68">
        <f t="shared" si="1"/>
        <v>3</v>
      </c>
      <c r="D61" s="68">
        <f t="shared" si="2"/>
        <v>3.6349824102629816E-37</v>
      </c>
      <c r="E61" s="68">
        <f t="shared" si="3"/>
        <v>0.05</v>
      </c>
      <c r="F61" s="68">
        <f t="shared" si="7"/>
        <v>4.9787068367863958E-2</v>
      </c>
      <c r="G61" s="68">
        <f t="shared" si="8"/>
        <v>0</v>
      </c>
      <c r="H61" s="68">
        <f t="shared" si="4"/>
        <v>6.9767441860465115E-2</v>
      </c>
      <c r="J61" s="66">
        <f t="shared" si="9"/>
        <v>5.4333449984353335E-33</v>
      </c>
      <c r="K61" s="66">
        <f t="shared" si="5"/>
        <v>20.085536923187661</v>
      </c>
    </row>
    <row r="62" spans="1:11">
      <c r="A62" s="60">
        <f t="shared" si="0"/>
        <v>44</v>
      </c>
      <c r="B62" s="67">
        <f t="shared" si="6"/>
        <v>1.44830033916099E-36</v>
      </c>
      <c r="C62" s="68">
        <f t="shared" si="1"/>
        <v>3</v>
      </c>
      <c r="D62" s="68">
        <f t="shared" si="2"/>
        <v>2.41383389860165E-38</v>
      </c>
      <c r="E62" s="68">
        <f t="shared" si="3"/>
        <v>0.05</v>
      </c>
      <c r="F62" s="68">
        <f t="shared" si="7"/>
        <v>4.9787068367863958E-2</v>
      </c>
      <c r="G62" s="68">
        <f t="shared" si="8"/>
        <v>0</v>
      </c>
      <c r="H62" s="68">
        <f t="shared" si="4"/>
        <v>6.8181818181818177E-2</v>
      </c>
      <c r="J62" s="66">
        <f t="shared" si="9"/>
        <v>3.7045534080240911E-34</v>
      </c>
      <c r="K62" s="66">
        <f t="shared" si="5"/>
        <v>20.085536923187661</v>
      </c>
    </row>
    <row r="63" spans="1:11">
      <c r="A63" s="60">
        <f t="shared" si="0"/>
        <v>45</v>
      </c>
      <c r="B63" s="67">
        <f t="shared" si="6"/>
        <v>9.4101456019234116E-38</v>
      </c>
      <c r="C63" s="68">
        <f t="shared" si="1"/>
        <v>3</v>
      </c>
      <c r="D63" s="68">
        <f t="shared" si="2"/>
        <v>1.5683576003205687E-39</v>
      </c>
      <c r="E63" s="68">
        <f t="shared" si="3"/>
        <v>0.05</v>
      </c>
      <c r="F63" s="68">
        <f t="shared" si="7"/>
        <v>4.9787068367863958E-2</v>
      </c>
      <c r="G63" s="68">
        <f t="shared" si="8"/>
        <v>0</v>
      </c>
      <c r="H63" s="68">
        <f t="shared" si="4"/>
        <v>6.6666666666666666E-2</v>
      </c>
      <c r="J63" s="66">
        <f t="shared" si="9"/>
        <v>2.4697022720160611E-35</v>
      </c>
      <c r="K63" s="66">
        <f t="shared" si="5"/>
        <v>20.085536923187661</v>
      </c>
    </row>
    <row r="64" spans="1:11">
      <c r="A64" s="60">
        <f t="shared" si="0"/>
        <v>46</v>
      </c>
      <c r="B64" s="67">
        <f t="shared" si="6"/>
        <v>5.9850358182054782E-39</v>
      </c>
      <c r="C64" s="68">
        <f t="shared" si="1"/>
        <v>3</v>
      </c>
      <c r="D64" s="68">
        <f t="shared" si="2"/>
        <v>9.9750596970091309E-41</v>
      </c>
      <c r="E64" s="68">
        <f t="shared" si="3"/>
        <v>0.05</v>
      </c>
      <c r="F64" s="68">
        <f t="shared" si="7"/>
        <v>4.9787068367863958E-2</v>
      </c>
      <c r="G64" s="68">
        <f t="shared" si="8"/>
        <v>0</v>
      </c>
      <c r="H64" s="68">
        <f t="shared" si="4"/>
        <v>6.5217391304347824E-2</v>
      </c>
      <c r="J64" s="66">
        <f t="shared" si="9"/>
        <v>1.6106753947930831E-36</v>
      </c>
      <c r="K64" s="66">
        <f t="shared" si="5"/>
        <v>20.085536923187661</v>
      </c>
    </row>
    <row r="65" spans="1:11">
      <c r="A65" s="60">
        <f t="shared" si="0"/>
        <v>47</v>
      </c>
      <c r="B65" s="67">
        <f t="shared" si="6"/>
        <v>3.7278783780526625E-40</v>
      </c>
      <c r="C65" s="68">
        <f t="shared" si="1"/>
        <v>3</v>
      </c>
      <c r="D65" s="68">
        <f t="shared" si="2"/>
        <v>6.2131306300877709E-42</v>
      </c>
      <c r="E65" s="68">
        <f t="shared" si="3"/>
        <v>0.05</v>
      </c>
      <c r="F65" s="68">
        <f t="shared" si="7"/>
        <v>4.9787068367863958E-2</v>
      </c>
      <c r="G65" s="68">
        <f t="shared" si="8"/>
        <v>0</v>
      </c>
      <c r="H65" s="68">
        <f t="shared" si="4"/>
        <v>6.3829787234042548E-2</v>
      </c>
      <c r="J65" s="66">
        <f t="shared" si="9"/>
        <v>1.0280906775274999E-37</v>
      </c>
      <c r="K65" s="66">
        <f t="shared" si="5"/>
        <v>20.085536923187661</v>
      </c>
    </row>
    <row r="66" spans="1:11">
      <c r="A66" s="60">
        <f t="shared" si="0"/>
        <v>48</v>
      </c>
      <c r="B66" s="67">
        <f t="shared" si="6"/>
        <v>2.2749164822411208E-41</v>
      </c>
      <c r="C66" s="68">
        <f t="shared" si="1"/>
        <v>3</v>
      </c>
      <c r="D66" s="68">
        <f t="shared" si="2"/>
        <v>3.7915274704018676E-43</v>
      </c>
      <c r="E66" s="68">
        <f t="shared" si="3"/>
        <v>0.05</v>
      </c>
      <c r="F66" s="68">
        <f t="shared" si="7"/>
        <v>4.9787068367863958E-2</v>
      </c>
      <c r="G66" s="68">
        <f t="shared" si="8"/>
        <v>0</v>
      </c>
      <c r="H66" s="68">
        <f t="shared" si="4"/>
        <v>6.25E-2</v>
      </c>
      <c r="J66" s="66">
        <f t="shared" si="9"/>
        <v>6.4255667345468747E-39</v>
      </c>
      <c r="K66" s="66">
        <f t="shared" si="5"/>
        <v>20.085536923187661</v>
      </c>
    </row>
    <row r="67" spans="1:11">
      <c r="A67" s="60">
        <f t="shared" si="0"/>
        <v>49</v>
      </c>
      <c r="B67" s="67">
        <f t="shared" si="6"/>
        <v>1.3606763576731655E-42</v>
      </c>
      <c r="C67" s="68">
        <f t="shared" si="1"/>
        <v>3</v>
      </c>
      <c r="D67" s="68">
        <f t="shared" si="2"/>
        <v>2.2677939294552756E-44</v>
      </c>
      <c r="E67" s="68">
        <f t="shared" si="3"/>
        <v>0.05</v>
      </c>
      <c r="F67" s="68">
        <f t="shared" si="7"/>
        <v>4.9787068367863958E-2</v>
      </c>
      <c r="G67" s="68">
        <f t="shared" si="8"/>
        <v>0</v>
      </c>
      <c r="H67" s="68">
        <f t="shared" si="4"/>
        <v>6.1224489795918366E-2</v>
      </c>
      <c r="J67" s="66">
        <f t="shared" si="9"/>
        <v>3.9340204497225767E-40</v>
      </c>
      <c r="K67" s="66">
        <f t="shared" si="5"/>
        <v>20.085536923187661</v>
      </c>
    </row>
    <row r="68" spans="1:11">
      <c r="A68" s="60">
        <f t="shared" si="0"/>
        <v>50</v>
      </c>
      <c r="B68" s="67">
        <f t="shared" si="6"/>
        <v>7.9799461558090335E-44</v>
      </c>
      <c r="C68" s="68">
        <f t="shared" si="1"/>
        <v>3</v>
      </c>
      <c r="D68" s="68">
        <f t="shared" si="2"/>
        <v>1.3299910259681723E-45</v>
      </c>
      <c r="E68" s="68">
        <f t="shared" si="3"/>
        <v>0.05</v>
      </c>
      <c r="F68" s="68">
        <f t="shared" si="7"/>
        <v>4.9787068367863958E-2</v>
      </c>
      <c r="G68" s="68">
        <f t="shared" si="8"/>
        <v>0</v>
      </c>
      <c r="H68" s="68">
        <f t="shared" si="4"/>
        <v>0.06</v>
      </c>
      <c r="J68" s="66">
        <f t="shared" si="9"/>
        <v>2.3604122698335461E-41</v>
      </c>
      <c r="K68" s="66">
        <f t="shared" si="5"/>
        <v>20.085536923187661</v>
      </c>
    </row>
    <row r="69" spans="1:11">
      <c r="A69" s="60">
        <f t="shared" si="0"/>
        <v>51</v>
      </c>
      <c r="B69" s="67">
        <f t="shared" si="6"/>
        <v>4.5905471505682698E-45</v>
      </c>
      <c r="C69" s="68">
        <f t="shared" si="1"/>
        <v>3</v>
      </c>
      <c r="D69" s="68">
        <f t="shared" si="2"/>
        <v>7.6509119176137832E-47</v>
      </c>
      <c r="E69" s="68">
        <f t="shared" si="3"/>
        <v>0.05</v>
      </c>
      <c r="F69" s="68">
        <f t="shared" si="7"/>
        <v>4.9787068367863958E-2</v>
      </c>
      <c r="G69" s="68">
        <f t="shared" si="8"/>
        <v>0</v>
      </c>
      <c r="H69" s="68">
        <f t="shared" si="4"/>
        <v>5.8823529411764705E-2</v>
      </c>
      <c r="J69" s="66">
        <f t="shared" si="9"/>
        <v>1.3884778057844389E-42</v>
      </c>
      <c r="K69" s="66">
        <f t="shared" si="5"/>
        <v>20.085536923187661</v>
      </c>
    </row>
    <row r="70" spans="1:11">
      <c r="A70" s="60">
        <f t="shared" si="0"/>
        <v>52</v>
      </c>
      <c r="B70" s="67">
        <f t="shared" si="6"/>
        <v>2.5912293002693224E-46</v>
      </c>
      <c r="C70" s="68">
        <f t="shared" si="1"/>
        <v>3</v>
      </c>
      <c r="D70" s="68">
        <f t="shared" si="2"/>
        <v>4.3187155004488708E-48</v>
      </c>
      <c r="E70" s="68">
        <f t="shared" si="3"/>
        <v>0.05</v>
      </c>
      <c r="F70" s="68">
        <f t="shared" si="7"/>
        <v>4.9787068367863958E-2</v>
      </c>
      <c r="G70" s="68">
        <f t="shared" si="8"/>
        <v>0</v>
      </c>
      <c r="H70" s="68">
        <f t="shared" si="4"/>
        <v>5.7692307692307696E-2</v>
      </c>
      <c r="J70" s="66">
        <f t="shared" si="9"/>
        <v>8.0104488795256092E-44</v>
      </c>
      <c r="K70" s="66">
        <f t="shared" si="5"/>
        <v>20.085536923187661</v>
      </c>
    </row>
    <row r="71" spans="1:11">
      <c r="A71" s="60">
        <f t="shared" si="0"/>
        <v>53</v>
      </c>
      <c r="B71" s="67">
        <f t="shared" si="6"/>
        <v>1.4357403576799944E-47</v>
      </c>
      <c r="C71" s="68">
        <f t="shared" si="1"/>
        <v>3</v>
      </c>
      <c r="D71" s="68">
        <f t="shared" si="2"/>
        <v>2.3929005961333242E-49</v>
      </c>
      <c r="E71" s="68">
        <f t="shared" si="3"/>
        <v>0.05</v>
      </c>
      <c r="F71" s="68">
        <f t="shared" si="7"/>
        <v>4.9787068367863958E-2</v>
      </c>
      <c r="G71" s="68">
        <f t="shared" si="8"/>
        <v>0</v>
      </c>
      <c r="H71" s="68">
        <f t="shared" si="4"/>
        <v>5.6603773584905662E-2</v>
      </c>
      <c r="J71" s="66">
        <f t="shared" si="9"/>
        <v>4.5342163469012879E-45</v>
      </c>
      <c r="K71" s="66">
        <f t="shared" si="5"/>
        <v>20.085536923187661</v>
      </c>
    </row>
    <row r="72" spans="1:11">
      <c r="A72" s="60">
        <f t="shared" si="0"/>
        <v>54</v>
      </c>
      <c r="B72" s="67">
        <f t="shared" si="6"/>
        <v>7.8112574137668094E-49</v>
      </c>
      <c r="C72" s="68">
        <f t="shared" si="1"/>
        <v>3</v>
      </c>
      <c r="D72" s="68">
        <f t="shared" si="2"/>
        <v>1.3018762356278016E-50</v>
      </c>
      <c r="E72" s="68">
        <f t="shared" si="3"/>
        <v>0.05</v>
      </c>
      <c r="F72" s="68">
        <f t="shared" si="7"/>
        <v>4.9787068367863958E-2</v>
      </c>
      <c r="G72" s="68">
        <f t="shared" si="8"/>
        <v>0</v>
      </c>
      <c r="H72" s="68">
        <f t="shared" si="4"/>
        <v>5.5555555555555552E-2</v>
      </c>
      <c r="J72" s="66">
        <f t="shared" si="9"/>
        <v>2.5190090816118265E-46</v>
      </c>
      <c r="K72" s="66">
        <f t="shared" si="5"/>
        <v>20.085536923187661</v>
      </c>
    </row>
    <row r="73" spans="1:11">
      <c r="A73" s="60">
        <f t="shared" si="0"/>
        <v>55</v>
      </c>
      <c r="B73" s="67">
        <f t="shared" si="6"/>
        <v>4.1742851194131057E-50</v>
      </c>
      <c r="C73" s="68">
        <f t="shared" si="1"/>
        <v>3</v>
      </c>
      <c r="D73" s="68">
        <f t="shared" si="2"/>
        <v>6.9571418656885097E-52</v>
      </c>
      <c r="E73" s="68">
        <f t="shared" si="3"/>
        <v>0.05</v>
      </c>
      <c r="F73" s="68">
        <f t="shared" si="7"/>
        <v>4.9787068367863958E-2</v>
      </c>
      <c r="G73" s="68">
        <f t="shared" si="8"/>
        <v>0</v>
      </c>
      <c r="H73" s="68">
        <f t="shared" si="4"/>
        <v>5.4545454545454543E-2</v>
      </c>
      <c r="J73" s="66">
        <f t="shared" si="9"/>
        <v>1.3740049536064506E-47</v>
      </c>
      <c r="K73" s="66">
        <f t="shared" si="5"/>
        <v>20.085536923187661</v>
      </c>
    </row>
    <row r="74" spans="1:11">
      <c r="A74" s="60">
        <f t="shared" si="0"/>
        <v>56</v>
      </c>
      <c r="B74" s="67">
        <f t="shared" si="6"/>
        <v>2.1917732540651225E-51</v>
      </c>
      <c r="C74" s="68">
        <f t="shared" si="1"/>
        <v>3</v>
      </c>
      <c r="D74" s="68">
        <f t="shared" si="2"/>
        <v>3.652955423441871E-53</v>
      </c>
      <c r="E74" s="68">
        <f t="shared" si="3"/>
        <v>0.05</v>
      </c>
      <c r="F74" s="68">
        <f t="shared" si="7"/>
        <v>4.9787068367863958E-2</v>
      </c>
      <c r="G74" s="68">
        <f t="shared" si="8"/>
        <v>0</v>
      </c>
      <c r="H74" s="68">
        <f t="shared" si="4"/>
        <v>5.3571428571428568E-2</v>
      </c>
      <c r="J74" s="66">
        <f t="shared" si="9"/>
        <v>7.3607408228917005E-49</v>
      </c>
      <c r="K74" s="66">
        <f t="shared" si="5"/>
        <v>20.085536923187661</v>
      </c>
    </row>
    <row r="75" spans="1:11">
      <c r="A75" s="60">
        <f t="shared" si="0"/>
        <v>57</v>
      </c>
      <c r="B75" s="67">
        <f t="shared" si="6"/>
        <v>1.1310793413192476E-52</v>
      </c>
      <c r="C75" s="68">
        <f t="shared" si="1"/>
        <v>3</v>
      </c>
      <c r="D75" s="68">
        <f t="shared" si="2"/>
        <v>1.8851322355320795E-54</v>
      </c>
      <c r="E75" s="68">
        <f t="shared" si="3"/>
        <v>0.05</v>
      </c>
      <c r="F75" s="68">
        <f t="shared" si="7"/>
        <v>4.9787068367863958E-2</v>
      </c>
      <c r="G75" s="68">
        <f t="shared" si="8"/>
        <v>0</v>
      </c>
      <c r="H75" s="68">
        <f t="shared" si="4"/>
        <v>5.2631578947368418E-2</v>
      </c>
      <c r="J75" s="66">
        <f t="shared" si="9"/>
        <v>3.874074117311421E-50</v>
      </c>
      <c r="K75" s="66">
        <f t="shared" si="5"/>
        <v>20.085536923187661</v>
      </c>
    </row>
    <row r="76" spans="1:11">
      <c r="A76" s="60">
        <f t="shared" si="0"/>
        <v>58</v>
      </c>
      <c r="B76" s="67">
        <f t="shared" si="6"/>
        <v>5.7385425998902597E-54</v>
      </c>
      <c r="C76" s="68">
        <f t="shared" si="1"/>
        <v>3</v>
      </c>
      <c r="D76" s="68">
        <f t="shared" si="2"/>
        <v>9.5642376664837658E-56</v>
      </c>
      <c r="E76" s="68">
        <f t="shared" si="3"/>
        <v>0.05</v>
      </c>
      <c r="F76" s="68">
        <f t="shared" si="7"/>
        <v>4.9787068367863958E-2</v>
      </c>
      <c r="G76" s="68">
        <f t="shared" si="8"/>
        <v>0</v>
      </c>
      <c r="H76" s="68">
        <f t="shared" si="4"/>
        <v>5.1724137931034482E-2</v>
      </c>
      <c r="J76" s="66">
        <f t="shared" si="9"/>
        <v>2.003831439988666E-51</v>
      </c>
      <c r="K76" s="66">
        <f t="shared" si="5"/>
        <v>20.085536923187661</v>
      </c>
    </row>
    <row r="77" spans="1:11">
      <c r="A77" s="60">
        <f t="shared" si="0"/>
        <v>59</v>
      </c>
      <c r="B77" s="67">
        <f t="shared" si="6"/>
        <v>2.8631506253300988E-55</v>
      </c>
      <c r="C77" s="68">
        <f t="shared" si="1"/>
        <v>3</v>
      </c>
      <c r="D77" s="68">
        <f t="shared" si="2"/>
        <v>4.7719177088834979E-57</v>
      </c>
      <c r="E77" s="68">
        <f t="shared" si="3"/>
        <v>0.05</v>
      </c>
      <c r="F77" s="68">
        <f t="shared" si="7"/>
        <v>4.9787068367863958E-2</v>
      </c>
      <c r="G77" s="68">
        <f t="shared" si="8"/>
        <v>0</v>
      </c>
      <c r="H77" s="68">
        <f t="shared" si="4"/>
        <v>5.0847457627118647E-2</v>
      </c>
      <c r="J77" s="66">
        <f t="shared" si="9"/>
        <v>1.0188973423671183E-52</v>
      </c>
      <c r="K77" s="66">
        <f t="shared" si="5"/>
        <v>20.085536923187661</v>
      </c>
    </row>
    <row r="78" spans="1:11">
      <c r="A78" s="60">
        <f t="shared" si="0"/>
        <v>60</v>
      </c>
      <c r="B78" s="67">
        <f t="shared" si="6"/>
        <v>1.4052053087054463E-56</v>
      </c>
      <c r="C78" s="68">
        <f t="shared" si="1"/>
        <v>3</v>
      </c>
      <c r="D78" s="68">
        <f t="shared" si="2"/>
        <v>2.3420088478424105E-58</v>
      </c>
      <c r="E78" s="68">
        <f t="shared" si="3"/>
        <v>0.05</v>
      </c>
      <c r="F78" s="68">
        <f t="shared" si="7"/>
        <v>4.9787068367863958E-2</v>
      </c>
      <c r="G78" s="68">
        <f t="shared" si="8"/>
        <v>0</v>
      </c>
      <c r="H78" s="68">
        <f t="shared" si="4"/>
        <v>0.05</v>
      </c>
      <c r="J78" s="66">
        <f t="shared" si="9"/>
        <v>5.0944867118355913E-54</v>
      </c>
      <c r="K78" s="66">
        <f t="shared" si="5"/>
        <v>20.085536923187661</v>
      </c>
    </row>
    <row r="79" spans="1:11">
      <c r="A79" s="60">
        <f t="shared" si="0"/>
        <v>61</v>
      </c>
      <c r="B79" s="67">
        <f t="shared" si="6"/>
        <v>6.7858383590725257E-58</v>
      </c>
      <c r="C79" s="68">
        <f t="shared" si="1"/>
        <v>3</v>
      </c>
      <c r="D79" s="68">
        <f t="shared" si="2"/>
        <v>1.130973059845421E-59</v>
      </c>
      <c r="E79" s="68">
        <f t="shared" si="3"/>
        <v>0.05</v>
      </c>
      <c r="F79" s="68">
        <f t="shared" si="7"/>
        <v>4.9787068367863958E-2</v>
      </c>
      <c r="G79" s="68">
        <f t="shared" si="8"/>
        <v>0</v>
      </c>
      <c r="H79" s="68">
        <f t="shared" si="4"/>
        <v>4.9180327868852458E-2</v>
      </c>
      <c r="J79" s="66">
        <f t="shared" si="9"/>
        <v>2.5054852681158646E-55</v>
      </c>
      <c r="K79" s="66">
        <f t="shared" si="5"/>
        <v>20.085536923187661</v>
      </c>
    </row>
    <row r="80" spans="1:11">
      <c r="A80" s="60">
        <f t="shared" si="0"/>
        <v>62</v>
      </c>
      <c r="B80" s="67">
        <f t="shared" si="6"/>
        <v>3.2251275410664879E-59</v>
      </c>
      <c r="C80" s="68">
        <f t="shared" si="1"/>
        <v>3</v>
      </c>
      <c r="D80" s="68">
        <f t="shared" si="2"/>
        <v>5.3752125684441469E-61</v>
      </c>
      <c r="E80" s="68">
        <f t="shared" si="3"/>
        <v>0.05</v>
      </c>
      <c r="F80" s="68">
        <f t="shared" si="7"/>
        <v>4.9787068367863958E-2</v>
      </c>
      <c r="G80" s="68">
        <f t="shared" si="8"/>
        <v>0</v>
      </c>
      <c r="H80" s="68">
        <f t="shared" si="4"/>
        <v>4.8387096774193547E-2</v>
      </c>
      <c r="J80" s="66">
        <f t="shared" si="9"/>
        <v>1.2123315813463862E-56</v>
      </c>
      <c r="K80" s="66">
        <f t="shared" si="5"/>
        <v>20.085536923187661</v>
      </c>
    </row>
    <row r="81" spans="1:11">
      <c r="A81" s="60">
        <f t="shared" si="0"/>
        <v>63</v>
      </c>
      <c r="B81" s="67">
        <f t="shared" si="6"/>
        <v>1.508960883125329E-60</v>
      </c>
      <c r="C81" s="68">
        <f t="shared" si="1"/>
        <v>3</v>
      </c>
      <c r="D81" s="68">
        <f t="shared" si="2"/>
        <v>2.5149348052088817E-62</v>
      </c>
      <c r="E81" s="68">
        <f t="shared" si="3"/>
        <v>0.05</v>
      </c>
      <c r="F81" s="68">
        <f t="shared" si="7"/>
        <v>4.9787068367863958E-2</v>
      </c>
      <c r="G81" s="68">
        <f t="shared" si="8"/>
        <v>0</v>
      </c>
      <c r="H81" s="68">
        <f t="shared" si="4"/>
        <v>4.7619047619047616E-2</v>
      </c>
      <c r="J81" s="66">
        <f t="shared" si="9"/>
        <v>5.7730075302208868E-58</v>
      </c>
      <c r="K81" s="66">
        <f t="shared" si="5"/>
        <v>20.085536923187661</v>
      </c>
    </row>
    <row r="82" spans="1:11">
      <c r="A82" s="60">
        <f t="shared" si="0"/>
        <v>64</v>
      </c>
      <c r="B82" s="67">
        <f t="shared" si="6"/>
        <v>6.9518680068737074E-62</v>
      </c>
      <c r="C82" s="68">
        <f t="shared" si="1"/>
        <v>3</v>
      </c>
      <c r="D82" s="68">
        <f t="shared" si="2"/>
        <v>1.1586446678122846E-63</v>
      </c>
      <c r="E82" s="68">
        <f t="shared" si="3"/>
        <v>0.05</v>
      </c>
      <c r="F82" s="68">
        <f t="shared" si="7"/>
        <v>4.9787068367863958E-2</v>
      </c>
      <c r="G82" s="68">
        <f t="shared" si="8"/>
        <v>0</v>
      </c>
      <c r="H82" s="68">
        <f t="shared" si="4"/>
        <v>4.6875E-2</v>
      </c>
      <c r="J82" s="66">
        <f t="shared" si="9"/>
        <v>2.7060972797910406E-59</v>
      </c>
      <c r="K82" s="66">
        <f t="shared" si="5"/>
        <v>20.085536923187661</v>
      </c>
    </row>
    <row r="83" spans="1:11">
      <c r="A83" s="60">
        <f t="shared" ref="A83:A94" si="10">A82+1</f>
        <v>65</v>
      </c>
      <c r="B83" s="67">
        <f t="shared" si="6"/>
        <v>3.1544168899880989E-63</v>
      </c>
      <c r="C83" s="68">
        <f t="shared" ref="C83:C94" si="11">IF(H83&lt;1,B83+$L$13,"infinity")</f>
        <v>3</v>
      </c>
      <c r="D83" s="68">
        <f t="shared" ref="D83:D94" si="12">IF(H83&lt;1,B83/$B$4,"infinity")</f>
        <v>5.2573614833134982E-65</v>
      </c>
      <c r="E83" s="68">
        <f t="shared" ref="E83:E94" si="13">IF(H83&lt;1,D83+1/$B$5,"infinity")</f>
        <v>0.05</v>
      </c>
      <c r="F83" s="68">
        <f t="shared" si="7"/>
        <v>4.9787068367863958E-2</v>
      </c>
      <c r="G83" s="68">
        <f t="shared" si="8"/>
        <v>0</v>
      </c>
      <c r="H83" s="68">
        <f t="shared" ref="H83:H94" si="14">MIN(1,+$L$13/A83)</f>
        <v>4.6153846153846156E-2</v>
      </c>
      <c r="J83" s="66">
        <f t="shared" si="9"/>
        <v>1.2489679752881726E-60</v>
      </c>
      <c r="K83" s="66">
        <f t="shared" ref="K83:K94" si="15">K82+J83</f>
        <v>20.085536923187661</v>
      </c>
    </row>
    <row r="84" spans="1:11">
      <c r="A84" s="60">
        <f t="shared" si="10"/>
        <v>66</v>
      </c>
      <c r="B84" s="67">
        <f t="shared" ref="B84:B94" si="16">IF(H84&lt;1,F84*J84*H84/(1-H84)^2,"infinity")</f>
        <v>1.4100329699533981E-64</v>
      </c>
      <c r="C84" s="68">
        <f t="shared" si="11"/>
        <v>3</v>
      </c>
      <c r="D84" s="68">
        <f t="shared" si="12"/>
        <v>2.35005494992233E-66</v>
      </c>
      <c r="E84" s="68">
        <f t="shared" si="13"/>
        <v>0.05</v>
      </c>
      <c r="F84" s="68">
        <f t="shared" ref="F84:F94" si="17">IF($B$4&lt;A84*$B$5,1/(K83+J84/(1-H84)),0)</f>
        <v>4.9787068367863958E-2</v>
      </c>
      <c r="G84" s="68">
        <f t="shared" ref="G84:G94" si="18">IF(H84&lt;1,1-F84*K83,1)</f>
        <v>0</v>
      </c>
      <c r="H84" s="68">
        <f t="shared" si="14"/>
        <v>4.5454545454545456E-2</v>
      </c>
      <c r="J84" s="66">
        <f t="shared" ref="J84:J94" si="19">$L$13*J83/A84</f>
        <v>5.6771271604007842E-62</v>
      </c>
      <c r="K84" s="66">
        <f t="shared" si="15"/>
        <v>20.085536923187661</v>
      </c>
    </row>
    <row r="85" spans="1:11">
      <c r="A85" s="60">
        <f t="shared" si="10"/>
        <v>67</v>
      </c>
      <c r="B85" s="67">
        <f t="shared" si="16"/>
        <v>6.2105167544223168E-66</v>
      </c>
      <c r="C85" s="68">
        <f t="shared" si="11"/>
        <v>3</v>
      </c>
      <c r="D85" s="68">
        <f t="shared" si="12"/>
        <v>1.0350861257370528E-67</v>
      </c>
      <c r="E85" s="68">
        <f t="shared" si="13"/>
        <v>0.05</v>
      </c>
      <c r="F85" s="68">
        <f t="shared" si="17"/>
        <v>4.9787068367863958E-2</v>
      </c>
      <c r="G85" s="68">
        <f t="shared" si="18"/>
        <v>0</v>
      </c>
      <c r="H85" s="68">
        <f t="shared" si="14"/>
        <v>4.4776119402985072E-2</v>
      </c>
      <c r="J85" s="66">
        <f t="shared" si="19"/>
        <v>2.5419972360003509E-63</v>
      </c>
      <c r="K85" s="66">
        <f t="shared" si="15"/>
        <v>20.085536923187661</v>
      </c>
    </row>
    <row r="86" spans="1:11">
      <c r="A86" s="60">
        <f t="shared" si="10"/>
        <v>68</v>
      </c>
      <c r="B86" s="67">
        <f t="shared" si="16"/>
        <v>2.6959226310462392E-67</v>
      </c>
      <c r="C86" s="68">
        <f t="shared" si="11"/>
        <v>3</v>
      </c>
      <c r="D86" s="68">
        <f t="shared" si="12"/>
        <v>4.4932043850770655E-69</v>
      </c>
      <c r="E86" s="68">
        <f t="shared" si="13"/>
        <v>0.05</v>
      </c>
      <c r="F86" s="68">
        <f t="shared" si="17"/>
        <v>4.9787068367863958E-2</v>
      </c>
      <c r="G86" s="68">
        <f t="shared" si="18"/>
        <v>0</v>
      </c>
      <c r="H86" s="68">
        <f t="shared" si="14"/>
        <v>4.4117647058823532E-2</v>
      </c>
      <c r="J86" s="66">
        <f t="shared" si="19"/>
        <v>1.1214693688236842E-64</v>
      </c>
      <c r="K86" s="66">
        <f t="shared" si="15"/>
        <v>20.085536923187661</v>
      </c>
    </row>
    <row r="87" spans="1:11">
      <c r="A87" s="60">
        <f t="shared" si="10"/>
        <v>69</v>
      </c>
      <c r="B87" s="67">
        <f t="shared" si="16"/>
        <v>1.1536089284729337E-68</v>
      </c>
      <c r="C87" s="68">
        <f t="shared" si="11"/>
        <v>3</v>
      </c>
      <c r="D87" s="68">
        <f t="shared" si="12"/>
        <v>1.9226815474548894E-70</v>
      </c>
      <c r="E87" s="68">
        <f t="shared" si="13"/>
        <v>0.05</v>
      </c>
      <c r="F87" s="68">
        <f t="shared" si="17"/>
        <v>4.9787068367863958E-2</v>
      </c>
      <c r="G87" s="68">
        <f t="shared" si="18"/>
        <v>0</v>
      </c>
      <c r="H87" s="68">
        <f t="shared" si="14"/>
        <v>4.3478260869565216E-2</v>
      </c>
      <c r="J87" s="66">
        <f t="shared" si="19"/>
        <v>4.8759537774942784E-66</v>
      </c>
      <c r="K87" s="66">
        <f t="shared" si="15"/>
        <v>20.085536923187661</v>
      </c>
    </row>
    <row r="88" spans="1:11">
      <c r="A88" s="60">
        <f t="shared" si="10"/>
        <v>70</v>
      </c>
      <c r="B88" s="67">
        <f t="shared" si="16"/>
        <v>4.8670862034035853E-70</v>
      </c>
      <c r="C88" s="68">
        <f t="shared" si="11"/>
        <v>3</v>
      </c>
      <c r="D88" s="68">
        <f t="shared" si="12"/>
        <v>8.1118103390059759E-72</v>
      </c>
      <c r="E88" s="68">
        <f t="shared" si="13"/>
        <v>0.05</v>
      </c>
      <c r="F88" s="68">
        <f t="shared" si="17"/>
        <v>4.9787068367863958E-2</v>
      </c>
      <c r="G88" s="68">
        <f t="shared" si="18"/>
        <v>0</v>
      </c>
      <c r="H88" s="68">
        <f t="shared" si="14"/>
        <v>4.2857142857142858E-2</v>
      </c>
      <c r="J88" s="66">
        <f t="shared" si="19"/>
        <v>2.0896944760689764E-67</v>
      </c>
      <c r="K88" s="66">
        <f t="shared" si="15"/>
        <v>20.085536923187661</v>
      </c>
    </row>
    <row r="89" spans="1:11">
      <c r="A89" s="60">
        <f t="shared" si="10"/>
        <v>71</v>
      </c>
      <c r="B89" s="67">
        <f t="shared" si="16"/>
        <v>2.0249953627420935E-71</v>
      </c>
      <c r="C89" s="68">
        <f t="shared" si="11"/>
        <v>3</v>
      </c>
      <c r="D89" s="68">
        <f t="shared" si="12"/>
        <v>3.3749922712368227E-73</v>
      </c>
      <c r="E89" s="68">
        <f t="shared" si="13"/>
        <v>0.05</v>
      </c>
      <c r="F89" s="68">
        <f t="shared" si="17"/>
        <v>4.9787068367863958E-2</v>
      </c>
      <c r="G89" s="68">
        <f t="shared" si="18"/>
        <v>0</v>
      </c>
      <c r="H89" s="68">
        <f t="shared" si="14"/>
        <v>4.2253521126760563E-2</v>
      </c>
      <c r="J89" s="66">
        <f t="shared" si="19"/>
        <v>8.8296949693055337E-69</v>
      </c>
      <c r="K89" s="66">
        <f t="shared" si="15"/>
        <v>20.085536923187661</v>
      </c>
    </row>
    <row r="90" spans="1:11">
      <c r="A90" s="60">
        <f t="shared" si="10"/>
        <v>72</v>
      </c>
      <c r="B90" s="67">
        <f t="shared" si="16"/>
        <v>8.3101063724801321E-73</v>
      </c>
      <c r="C90" s="68">
        <f t="shared" si="11"/>
        <v>3</v>
      </c>
      <c r="D90" s="68">
        <f t="shared" si="12"/>
        <v>1.3850177287466888E-74</v>
      </c>
      <c r="E90" s="68">
        <f t="shared" si="13"/>
        <v>0.05</v>
      </c>
      <c r="F90" s="68">
        <f t="shared" si="17"/>
        <v>4.9787068367863958E-2</v>
      </c>
      <c r="G90" s="68">
        <f t="shared" si="18"/>
        <v>0</v>
      </c>
      <c r="H90" s="68">
        <f t="shared" si="14"/>
        <v>4.1666666666666664E-2</v>
      </c>
      <c r="J90" s="66">
        <f t="shared" si="19"/>
        <v>3.6790395705439726E-70</v>
      </c>
      <c r="K90" s="66">
        <f t="shared" si="15"/>
        <v>20.085536923187661</v>
      </c>
    </row>
    <row r="91" spans="1:11">
      <c r="A91" s="60">
        <f t="shared" si="10"/>
        <v>73</v>
      </c>
      <c r="B91" s="67">
        <f t="shared" si="16"/>
        <v>3.364321125797442E-74</v>
      </c>
      <c r="C91" s="68">
        <f t="shared" si="11"/>
        <v>3</v>
      </c>
      <c r="D91" s="68">
        <f t="shared" si="12"/>
        <v>5.6072018763290703E-76</v>
      </c>
      <c r="E91" s="68">
        <f t="shared" si="13"/>
        <v>0.05</v>
      </c>
      <c r="F91" s="68">
        <f t="shared" si="17"/>
        <v>4.9787068367863958E-2</v>
      </c>
      <c r="G91" s="68">
        <f t="shared" si="18"/>
        <v>0</v>
      </c>
      <c r="H91" s="68">
        <f t="shared" si="14"/>
        <v>4.1095890410958902E-2</v>
      </c>
      <c r="J91" s="66">
        <f t="shared" si="19"/>
        <v>1.5119340700865642E-71</v>
      </c>
      <c r="K91" s="66">
        <f t="shared" si="15"/>
        <v>20.085536923187661</v>
      </c>
    </row>
    <row r="92" spans="1:11">
      <c r="A92" s="60">
        <f t="shared" si="10"/>
        <v>74</v>
      </c>
      <c r="B92" s="67">
        <f t="shared" si="16"/>
        <v>1.3439255787262913E-75</v>
      </c>
      <c r="C92" s="68">
        <f t="shared" si="11"/>
        <v>3</v>
      </c>
      <c r="D92" s="68">
        <f t="shared" si="12"/>
        <v>2.2398759645438187E-77</v>
      </c>
      <c r="E92" s="68">
        <f t="shared" si="13"/>
        <v>0.05</v>
      </c>
      <c r="F92" s="68">
        <f t="shared" si="17"/>
        <v>4.9787068367863958E-2</v>
      </c>
      <c r="G92" s="68">
        <f t="shared" si="18"/>
        <v>0</v>
      </c>
      <c r="H92" s="68">
        <f t="shared" si="14"/>
        <v>4.0540540540540543E-2</v>
      </c>
      <c r="J92" s="66">
        <f t="shared" si="19"/>
        <v>6.1294624462968827E-73</v>
      </c>
      <c r="K92" s="66">
        <f t="shared" si="15"/>
        <v>20.085536923187661</v>
      </c>
    </row>
    <row r="93" spans="1:11">
      <c r="A93" s="60">
        <f t="shared" si="10"/>
        <v>75</v>
      </c>
      <c r="B93" s="67">
        <f t="shared" si="16"/>
        <v>5.2980549630562078E-77</v>
      </c>
      <c r="C93" s="68">
        <f t="shared" si="11"/>
        <v>3</v>
      </c>
      <c r="D93" s="68">
        <f t="shared" si="12"/>
        <v>8.8300916050936799E-79</v>
      </c>
      <c r="E93" s="68">
        <f t="shared" si="13"/>
        <v>0.05</v>
      </c>
      <c r="F93" s="68">
        <f t="shared" si="17"/>
        <v>4.9787068367863958E-2</v>
      </c>
      <c r="G93" s="68">
        <f t="shared" si="18"/>
        <v>0</v>
      </c>
      <c r="H93" s="68">
        <f t="shared" si="14"/>
        <v>0.04</v>
      </c>
      <c r="J93" s="66">
        <f t="shared" si="19"/>
        <v>2.4517849785187531E-74</v>
      </c>
      <c r="K93" s="66">
        <f t="shared" si="15"/>
        <v>20.085536923187661</v>
      </c>
    </row>
    <row r="94" spans="1:11">
      <c r="A94" s="60">
        <f t="shared" si="10"/>
        <v>76</v>
      </c>
      <c r="B94" s="67">
        <f t="shared" si="16"/>
        <v>2.0615587861500006E-78</v>
      </c>
      <c r="C94" s="68">
        <f t="shared" si="11"/>
        <v>3</v>
      </c>
      <c r="D94" s="68">
        <f t="shared" si="12"/>
        <v>3.4359313102500011E-80</v>
      </c>
      <c r="E94" s="68">
        <f t="shared" si="13"/>
        <v>0.05</v>
      </c>
      <c r="F94" s="68">
        <f t="shared" si="17"/>
        <v>4.9787068367863958E-2</v>
      </c>
      <c r="G94" s="68">
        <f t="shared" si="18"/>
        <v>0</v>
      </c>
      <c r="H94" s="68">
        <f t="shared" si="14"/>
        <v>3.9473684210526314E-2</v>
      </c>
      <c r="J94" s="66">
        <f t="shared" si="19"/>
        <v>9.6780985994161306E-76</v>
      </c>
      <c r="K94" s="66">
        <f t="shared" si="15"/>
        <v>20.085536923187661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zoomScale="115" zoomScaleNormal="115" zoomScalePageLayoutView="115" workbookViewId="0">
      <selection activeCell="C4" sqref="C4"/>
    </sheetView>
  </sheetViews>
  <sheetFormatPr baseColWidth="10" defaultColWidth="11.5" defaultRowHeight="14" x14ac:dyDescent="0"/>
  <cols>
    <col min="1" max="1" width="25.6640625" customWidth="1"/>
    <col min="2" max="2" width="13.33203125" bestFit="1" customWidth="1"/>
    <col min="5" max="5" width="22.5" customWidth="1"/>
    <col min="6" max="6" width="13.33203125" bestFit="1" customWidth="1"/>
  </cols>
  <sheetData>
    <row r="1" spans="1:7">
      <c r="A1" s="3" t="s">
        <v>58</v>
      </c>
      <c r="E1" s="3" t="s">
        <v>72</v>
      </c>
    </row>
    <row r="5" spans="1:7">
      <c r="A5" t="s">
        <v>60</v>
      </c>
      <c r="B5" s="5">
        <v>300</v>
      </c>
      <c r="F5" s="6"/>
    </row>
    <row r="6" spans="1:7">
      <c r="A6" t="s">
        <v>61</v>
      </c>
      <c r="B6">
        <f>B5*C6</f>
        <v>30</v>
      </c>
      <c r="C6" s="12">
        <v>0.1</v>
      </c>
      <c r="E6" t="s">
        <v>73</v>
      </c>
      <c r="F6" s="2">
        <v>100</v>
      </c>
      <c r="G6" t="s">
        <v>74</v>
      </c>
    </row>
    <row r="7" spans="1:7">
      <c r="A7" t="s">
        <v>265</v>
      </c>
      <c r="B7">
        <f>C7*B5</f>
        <v>15</v>
      </c>
      <c r="C7" s="12">
        <v>0.05</v>
      </c>
      <c r="D7" t="s">
        <v>262</v>
      </c>
      <c r="F7" s="2"/>
    </row>
    <row r="8" spans="1:7">
      <c r="A8" t="s">
        <v>66</v>
      </c>
      <c r="B8" s="44">
        <f>PRICING!B6</f>
        <v>60</v>
      </c>
      <c r="E8" t="s">
        <v>75</v>
      </c>
      <c r="F8" s="1">
        <v>500000</v>
      </c>
      <c r="G8" t="s">
        <v>80</v>
      </c>
    </row>
    <row r="9" spans="1:7">
      <c r="A9" t="s">
        <v>67</v>
      </c>
      <c r="B9" s="33">
        <f>PRICING!B7</f>
        <v>110</v>
      </c>
      <c r="E9" t="s">
        <v>76</v>
      </c>
      <c r="F9" s="5">
        <v>100</v>
      </c>
      <c r="G9" t="s">
        <v>77</v>
      </c>
    </row>
    <row r="10" spans="1:7">
      <c r="A10" t="s">
        <v>211</v>
      </c>
      <c r="B10" s="33">
        <f>PRICING!B8</f>
        <v>30</v>
      </c>
    </row>
    <row r="11" spans="1:7">
      <c r="A11" t="s">
        <v>70</v>
      </c>
      <c r="B11">
        <v>24</v>
      </c>
    </row>
    <row r="12" spans="1:7">
      <c r="A12" s="3" t="s">
        <v>11</v>
      </c>
      <c r="E12" s="3" t="s">
        <v>11</v>
      </c>
    </row>
    <row r="13" spans="1:7">
      <c r="A13" t="s">
        <v>68</v>
      </c>
      <c r="B13" s="2">
        <f>B8*B5*B11</f>
        <v>432000</v>
      </c>
      <c r="E13" t="s">
        <v>78</v>
      </c>
      <c r="F13" s="2">
        <f>VOLUMETRIA!B17*PRICING!B9*0.75*VOLUMETRIA!B5</f>
        <v>70875.000000000015</v>
      </c>
      <c r="G13" t="s">
        <v>218</v>
      </c>
    </row>
    <row r="14" spans="1:7">
      <c r="A14" t="s">
        <v>69</v>
      </c>
      <c r="B14" s="2">
        <f>B9*B6*B11</f>
        <v>79200</v>
      </c>
      <c r="E14" t="s">
        <v>79</v>
      </c>
      <c r="F14" s="2">
        <f>F9*F6</f>
        <v>10000</v>
      </c>
    </row>
    <row r="15" spans="1:7">
      <c r="A15" t="s">
        <v>210</v>
      </c>
      <c r="B15" s="2">
        <f>B10*B7*B11</f>
        <v>10800</v>
      </c>
    </row>
    <row r="16" spans="1:7">
      <c r="A16" s="3" t="s">
        <v>71</v>
      </c>
      <c r="B16" s="2">
        <f>SUM(B13:B15)</f>
        <v>522000</v>
      </c>
      <c r="E16" s="3" t="s">
        <v>71</v>
      </c>
      <c r="F16" s="2">
        <f>SUM(F13:F15)</f>
        <v>80875.000000000015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3"/>
  <sheetViews>
    <sheetView zoomScale="150" zoomScaleNormal="150" zoomScalePageLayoutView="150" workbookViewId="0">
      <selection sqref="A1:C26"/>
    </sheetView>
  </sheetViews>
  <sheetFormatPr baseColWidth="10" defaultColWidth="11.5" defaultRowHeight="14" x14ac:dyDescent="0"/>
  <cols>
    <col min="1" max="1" width="40.1640625" customWidth="1"/>
  </cols>
  <sheetData>
    <row r="2" spans="1:3" ht="18">
      <c r="A2" s="30" t="s">
        <v>212</v>
      </c>
    </row>
    <row r="6" spans="1:3">
      <c r="A6" t="s">
        <v>224</v>
      </c>
      <c r="B6" s="36">
        <f>B14*C14+B15*C15+B16*C16</f>
        <v>60</v>
      </c>
    </row>
    <row r="7" spans="1:3">
      <c r="A7" t="s">
        <v>261</v>
      </c>
      <c r="B7" s="10">
        <v>110</v>
      </c>
    </row>
    <row r="8" spans="1:3">
      <c r="A8" t="s">
        <v>211</v>
      </c>
      <c r="B8" s="10">
        <v>30</v>
      </c>
    </row>
    <row r="9" spans="1:3">
      <c r="A9" t="s">
        <v>213</v>
      </c>
      <c r="B9" s="10">
        <v>300</v>
      </c>
      <c r="C9" s="45" t="s">
        <v>214</v>
      </c>
    </row>
    <row r="13" spans="1:3">
      <c r="A13" s="3" t="s">
        <v>219</v>
      </c>
      <c r="B13" t="s">
        <v>223</v>
      </c>
      <c r="C13" t="s">
        <v>225</v>
      </c>
    </row>
    <row r="14" spans="1:3">
      <c r="A14" t="s">
        <v>220</v>
      </c>
      <c r="B14" s="46">
        <v>65</v>
      </c>
      <c r="C14" s="6">
        <v>0.2</v>
      </c>
    </row>
    <row r="15" spans="1:3">
      <c r="A15" t="s">
        <v>221</v>
      </c>
      <c r="B15" s="46">
        <v>60</v>
      </c>
      <c r="C15" s="6">
        <v>0.6</v>
      </c>
    </row>
    <row r="16" spans="1:3">
      <c r="A16" t="s">
        <v>222</v>
      </c>
      <c r="B16" s="46">
        <v>55</v>
      </c>
      <c r="C16" s="6">
        <v>0.2</v>
      </c>
    </row>
    <row r="18" spans="1:4" ht="18">
      <c r="A18" s="30" t="s">
        <v>226</v>
      </c>
    </row>
    <row r="19" spans="1:4">
      <c r="A19" s="7" t="s">
        <v>235</v>
      </c>
      <c r="B19" s="3" t="s">
        <v>230</v>
      </c>
      <c r="C19" s="3" t="s">
        <v>231</v>
      </c>
      <c r="D19" s="3" t="s">
        <v>233</v>
      </c>
    </row>
    <row r="20" spans="1:4">
      <c r="A20" t="s">
        <v>227</v>
      </c>
      <c r="B20" s="1">
        <v>88</v>
      </c>
      <c r="C20" s="1" t="s">
        <v>234</v>
      </c>
      <c r="D20" s="1"/>
    </row>
    <row r="21" spans="1:4">
      <c r="A21" t="s">
        <v>228</v>
      </c>
      <c r="B21" s="1">
        <v>70</v>
      </c>
      <c r="C21" s="1">
        <v>52</v>
      </c>
      <c r="D21" s="1"/>
    </row>
    <row r="22" spans="1:4">
      <c r="A22" t="s">
        <v>229</v>
      </c>
      <c r="B22" s="1">
        <v>50</v>
      </c>
      <c r="C22" s="1" t="s">
        <v>234</v>
      </c>
      <c r="D22" s="1"/>
    </row>
    <row r="23" spans="1:4">
      <c r="A23" t="s">
        <v>232</v>
      </c>
      <c r="B23" s="1">
        <v>70</v>
      </c>
      <c r="C23" s="1" t="s">
        <v>234</v>
      </c>
      <c r="D23" s="1"/>
    </row>
  </sheetData>
  <pageMargins left="0.75" right="0.75" top="1" bottom="1" header="0.5" footer="0.5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6"/>
  <sheetViews>
    <sheetView tabSelected="1" zoomScale="125" zoomScaleNormal="125" zoomScalePageLayoutView="125" workbookViewId="0">
      <selection activeCell="A13" sqref="A13:G24"/>
    </sheetView>
  </sheetViews>
  <sheetFormatPr baseColWidth="10" defaultColWidth="11.5" defaultRowHeight="14" x14ac:dyDescent="0"/>
  <cols>
    <col min="1" max="1" width="42.6640625" customWidth="1"/>
    <col min="3" max="3" width="12.1640625" bestFit="1" customWidth="1"/>
    <col min="4" max="4" width="11" bestFit="1" customWidth="1"/>
    <col min="5" max="5" width="13.33203125" bestFit="1" customWidth="1"/>
    <col min="6" max="6" width="11" bestFit="1" customWidth="1"/>
    <col min="7" max="7" width="12" bestFit="1" customWidth="1"/>
  </cols>
  <sheetData>
    <row r="3" spans="1:7">
      <c r="A3" t="s">
        <v>240</v>
      </c>
      <c r="B3" s="12">
        <v>0.36</v>
      </c>
    </row>
    <row r="4" spans="1:7">
      <c r="A4" t="s">
        <v>241</v>
      </c>
      <c r="B4" s="12">
        <v>0.26</v>
      </c>
    </row>
    <row r="5" spans="1:7">
      <c r="A5" t="s">
        <v>242</v>
      </c>
      <c r="B5" s="12">
        <v>0.65</v>
      </c>
    </row>
    <row r="6" spans="1:7">
      <c r="A6" t="s">
        <v>243</v>
      </c>
      <c r="B6" s="12">
        <v>0.35</v>
      </c>
    </row>
    <row r="7" spans="1:7">
      <c r="A7" t="s">
        <v>244</v>
      </c>
      <c r="B7" s="12">
        <v>0.6</v>
      </c>
    </row>
    <row r="8" spans="1:7">
      <c r="A8" t="s">
        <v>251</v>
      </c>
      <c r="B8" s="12">
        <v>0.5</v>
      </c>
    </row>
    <row r="13" spans="1:7" ht="18">
      <c r="A13" s="30" t="s">
        <v>248</v>
      </c>
    </row>
    <row r="14" spans="1:7">
      <c r="B14" s="7" t="s">
        <v>267</v>
      </c>
      <c r="C14" s="48">
        <v>10800000</v>
      </c>
      <c r="D14" s="7" t="s">
        <v>268</v>
      </c>
    </row>
    <row r="15" spans="1:7">
      <c r="A15" s="7" t="s">
        <v>245</v>
      </c>
      <c r="C15" t="s">
        <v>260</v>
      </c>
    </row>
    <row r="16" spans="1:7">
      <c r="A16" s="3" t="s">
        <v>236</v>
      </c>
      <c r="B16" s="3">
        <v>2015</v>
      </c>
      <c r="C16" s="3">
        <v>2016</v>
      </c>
      <c r="D16" s="3">
        <v>2017</v>
      </c>
      <c r="E16" s="3">
        <v>2018</v>
      </c>
      <c r="F16" s="3">
        <v>2019</v>
      </c>
      <c r="G16" s="3">
        <v>2020</v>
      </c>
    </row>
    <row r="17" spans="1:7" ht="15">
      <c r="A17" t="s">
        <v>246</v>
      </c>
      <c r="B17" s="77">
        <f>19500000*1.5*(1+B7)</f>
        <v>46800000</v>
      </c>
      <c r="C17" s="78">
        <f>B17*(1+$B$7)</f>
        <v>74880000</v>
      </c>
      <c r="D17" s="78">
        <f t="shared" ref="D17:G17" si="0">C17*(1+$B$7)</f>
        <v>119808000</v>
      </c>
      <c r="E17" s="78">
        <f t="shared" si="0"/>
        <v>191692800</v>
      </c>
      <c r="F17" s="78">
        <f t="shared" si="0"/>
        <v>306708480</v>
      </c>
      <c r="G17" s="78">
        <f t="shared" si="0"/>
        <v>490733568</v>
      </c>
    </row>
    <row r="18" spans="1:7">
      <c r="A18" s="9" t="s">
        <v>237</v>
      </c>
      <c r="B18" s="78">
        <f t="shared" ref="B18:G18" si="1">$B$3*B17</f>
        <v>16848000</v>
      </c>
      <c r="C18" s="78">
        <f>$B$3*C17</f>
        <v>26956800</v>
      </c>
      <c r="D18" s="78">
        <f t="shared" si="1"/>
        <v>43130880</v>
      </c>
      <c r="E18" s="78">
        <f t="shared" si="1"/>
        <v>69009408</v>
      </c>
      <c r="F18" s="78">
        <f t="shared" si="1"/>
        <v>110415052.8</v>
      </c>
      <c r="G18" s="78">
        <f t="shared" si="1"/>
        <v>176664084.47999999</v>
      </c>
    </row>
    <row r="19" spans="1:7">
      <c r="A19" s="9" t="s">
        <v>238</v>
      </c>
      <c r="B19" s="78">
        <f t="shared" ref="B19:G19" si="2">$B$4*B17</f>
        <v>12168000</v>
      </c>
      <c r="C19" s="78">
        <f t="shared" si="2"/>
        <v>19468800</v>
      </c>
      <c r="D19" s="78">
        <f t="shared" si="2"/>
        <v>31150080</v>
      </c>
      <c r="E19" s="78">
        <f t="shared" si="2"/>
        <v>49840128</v>
      </c>
      <c r="F19" s="78">
        <f t="shared" si="2"/>
        <v>79744204.799999997</v>
      </c>
      <c r="G19" s="78">
        <f t="shared" si="2"/>
        <v>127590727.68000001</v>
      </c>
    </row>
    <row r="20" spans="1:7">
      <c r="A20" s="9" t="s">
        <v>239</v>
      </c>
      <c r="B20" s="78">
        <f>$B$6*B19+B18*$B$5</f>
        <v>15210000</v>
      </c>
      <c r="C20" s="78">
        <f t="shared" ref="B20:G20" si="3">$B$6*C19+C18*$B$5</f>
        <v>24336000</v>
      </c>
      <c r="D20" s="78">
        <f t="shared" si="3"/>
        <v>38937600</v>
      </c>
      <c r="E20" s="78">
        <f t="shared" si="3"/>
        <v>62300160</v>
      </c>
      <c r="F20" s="78">
        <f t="shared" si="3"/>
        <v>99680256</v>
      </c>
      <c r="G20" s="78">
        <f t="shared" si="3"/>
        <v>159488409.59999999</v>
      </c>
    </row>
    <row r="21" spans="1:7">
      <c r="A21" s="3" t="s">
        <v>247</v>
      </c>
      <c r="B21" s="47">
        <f>$B$8*B20/12/24</f>
        <v>26406.25</v>
      </c>
      <c r="C21" s="47">
        <f t="shared" ref="B21:G21" si="4">$B$8*C20/12/24</f>
        <v>42250</v>
      </c>
      <c r="D21" s="47">
        <f t="shared" si="4"/>
        <v>67600</v>
      </c>
      <c r="E21" s="47">
        <f t="shared" si="4"/>
        <v>108160</v>
      </c>
      <c r="F21" s="47">
        <f t="shared" si="4"/>
        <v>173056</v>
      </c>
      <c r="G21" s="47">
        <f t="shared" si="4"/>
        <v>276889.59999999998</v>
      </c>
    </row>
    <row r="22" spans="1:7">
      <c r="A22" s="7" t="s">
        <v>249</v>
      </c>
      <c r="C22">
        <f>CONSOLIDADO!F9*CONSOLIDADO!$B$4</f>
        <v>180</v>
      </c>
      <c r="D22">
        <f>CONSOLIDADO!G9*CONSOLIDADO!$B$4</f>
        <v>450</v>
      </c>
      <c r="E22">
        <f>CONSOLIDADO!H9*CONSOLIDADO!$B$4</f>
        <v>720</v>
      </c>
      <c r="F22">
        <f>CONSOLIDADO!I9*CONSOLIDADO!$B$4</f>
        <v>900</v>
      </c>
      <c r="G22">
        <f>CONSOLIDADO!J9*CONSOLIDADO!$B$4</f>
        <v>900</v>
      </c>
    </row>
    <row r="23" spans="1:7">
      <c r="A23" s="7" t="s">
        <v>250</v>
      </c>
      <c r="C23" s="37">
        <f>C22/C21</f>
        <v>4.2603550295857986E-3</v>
      </c>
      <c r="D23" s="37">
        <f t="shared" ref="D23:G23" si="5">D22/D21</f>
        <v>6.6568047337278108E-3</v>
      </c>
      <c r="E23" s="37">
        <f t="shared" si="5"/>
        <v>6.6568047337278108E-3</v>
      </c>
      <c r="F23" s="37">
        <f t="shared" si="5"/>
        <v>5.2006286982248517E-3</v>
      </c>
      <c r="G23" s="37">
        <f t="shared" si="5"/>
        <v>3.2503929363905328E-3</v>
      </c>
    </row>
    <row r="24" spans="1:7">
      <c r="A24" t="s">
        <v>252</v>
      </c>
      <c r="C24" s="37">
        <f>C22/(C20/12/24)</f>
        <v>2.1301775147928993E-3</v>
      </c>
      <c r="D24" s="37">
        <f>D22/(D20/12/24)</f>
        <v>3.3284023668639054E-3</v>
      </c>
      <c r="E24" s="37">
        <f>E22/(E20/12/24)</f>
        <v>3.3284023668639054E-3</v>
      </c>
      <c r="F24" s="37">
        <f>F22/(F20/12/24)</f>
        <v>2.6003143491124259E-3</v>
      </c>
      <c r="G24" s="37">
        <f>G22/(G20/12/24)</f>
        <v>1.6251964681952664E-3</v>
      </c>
    </row>
    <row r="25" spans="1:7">
      <c r="C25" s="25"/>
    </row>
    <row r="26" spans="1:7">
      <c r="A26" s="7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I38"/>
  <sheetViews>
    <sheetView topLeftCell="A2" zoomScale="125" zoomScaleNormal="125" zoomScalePageLayoutView="125" workbookViewId="0">
      <selection activeCell="H29" sqref="H29"/>
    </sheetView>
  </sheetViews>
  <sheetFormatPr baseColWidth="10" defaultColWidth="8.83203125" defaultRowHeight="14" x14ac:dyDescent="0"/>
  <cols>
    <col min="1" max="1" width="23.83203125" customWidth="1"/>
    <col min="2" max="2" width="20.5" customWidth="1"/>
  </cols>
  <sheetData>
    <row r="6" spans="1:9">
      <c r="A6" s="3" t="s">
        <v>263</v>
      </c>
    </row>
    <row r="7" spans="1:9">
      <c r="A7" s="3" t="s">
        <v>57</v>
      </c>
    </row>
    <row r="8" spans="1:9">
      <c r="A8" t="s">
        <v>0</v>
      </c>
      <c r="B8" s="10">
        <v>200</v>
      </c>
      <c r="C8" t="s">
        <v>1</v>
      </c>
    </row>
    <row r="9" spans="1:9">
      <c r="A9" t="s">
        <v>2</v>
      </c>
      <c r="B9" s="5">
        <v>100</v>
      </c>
      <c r="C9" t="s">
        <v>3</v>
      </c>
    </row>
    <row r="10" spans="1:9">
      <c r="A10" t="s">
        <v>4</v>
      </c>
      <c r="B10" s="11">
        <f>B8*B9</f>
        <v>20000</v>
      </c>
    </row>
    <row r="11" spans="1:9">
      <c r="A11" t="s">
        <v>55</v>
      </c>
      <c r="B11" s="2">
        <f>'PAYROLL MENSUAL'!F19</f>
        <v>103000</v>
      </c>
      <c r="C11" t="s">
        <v>56</v>
      </c>
    </row>
    <row r="12" spans="1:9">
      <c r="A12" t="s">
        <v>59</v>
      </c>
      <c r="B12" s="10">
        <v>3000</v>
      </c>
    </row>
    <row r="13" spans="1:9">
      <c r="A13" t="s">
        <v>62</v>
      </c>
      <c r="B13" s="2">
        <v>30</v>
      </c>
      <c r="C13" t="s">
        <v>63</v>
      </c>
    </row>
    <row r="14" spans="1:9">
      <c r="A14" t="s">
        <v>98</v>
      </c>
      <c r="B14" s="6">
        <v>0.2</v>
      </c>
    </row>
    <row r="15" spans="1:9">
      <c r="H15" s="3" t="s">
        <v>13</v>
      </c>
      <c r="I15" s="9"/>
    </row>
    <row r="16" spans="1:9">
      <c r="A16" s="3" t="s">
        <v>5</v>
      </c>
      <c r="H16" s="9"/>
      <c r="I16" s="9"/>
    </row>
    <row r="17" spans="1:9">
      <c r="A17" t="s">
        <v>6</v>
      </c>
      <c r="B17" s="2">
        <f>B10</f>
        <v>20000</v>
      </c>
      <c r="H17" s="9" t="s">
        <v>13</v>
      </c>
      <c r="I17" s="9"/>
    </row>
    <row r="18" spans="1:9">
      <c r="A18" t="s">
        <v>7</v>
      </c>
      <c r="B18" s="2">
        <f>B11*13/12*(1+B14)</f>
        <v>133900</v>
      </c>
      <c r="H18" s="9" t="s">
        <v>13</v>
      </c>
      <c r="I18" s="9"/>
    </row>
    <row r="19" spans="1:9">
      <c r="A19" t="s">
        <v>59</v>
      </c>
      <c r="B19" s="1">
        <f>B12</f>
        <v>3000</v>
      </c>
      <c r="H19" s="9" t="s">
        <v>13</v>
      </c>
      <c r="I19" s="9"/>
    </row>
    <row r="20" spans="1:9">
      <c r="A20" t="s">
        <v>64</v>
      </c>
      <c r="B20" s="2">
        <f>B13*'INGRESOS MICRODEPOSITO'!B6*24</f>
        <v>21600</v>
      </c>
      <c r="C20" t="s">
        <v>65</v>
      </c>
      <c r="H20" s="9" t="s">
        <v>13</v>
      </c>
      <c r="I20" s="9"/>
    </row>
    <row r="21" spans="1:9">
      <c r="A21" t="s">
        <v>157</v>
      </c>
      <c r="B21" s="2">
        <f>VOLUMETRIA!B10*'EGRESOS WAREHOUSE'!F12</f>
        <v>3150</v>
      </c>
      <c r="H21" s="9" t="s">
        <v>13</v>
      </c>
      <c r="I21" s="9"/>
    </row>
    <row r="22" spans="1:9">
      <c r="H22" s="9" t="s">
        <v>13</v>
      </c>
      <c r="I22" s="9"/>
    </row>
    <row r="23" spans="1:9">
      <c r="H23" s="9" t="s">
        <v>13</v>
      </c>
      <c r="I23" s="9"/>
    </row>
    <row r="24" spans="1:9">
      <c r="H24" s="3" t="s">
        <v>13</v>
      </c>
      <c r="I24" s="9"/>
    </row>
    <row r="25" spans="1:9">
      <c r="A25" s="3" t="s">
        <v>8</v>
      </c>
      <c r="B25" s="2">
        <f>SUM(B17:B24)</f>
        <v>181650</v>
      </c>
      <c r="H25" s="9" t="s">
        <v>54</v>
      </c>
      <c r="I25" s="9"/>
    </row>
    <row r="26" spans="1:9">
      <c r="H26" s="9" t="s">
        <v>13</v>
      </c>
      <c r="I26" s="9"/>
    </row>
    <row r="27" spans="1:9">
      <c r="H27" s="9" t="s">
        <v>13</v>
      </c>
      <c r="I27" s="9"/>
    </row>
    <row r="28" spans="1:9">
      <c r="H28" s="9" t="s">
        <v>13</v>
      </c>
      <c r="I28" s="9"/>
    </row>
    <row r="29" spans="1:9">
      <c r="H29" s="9" t="s">
        <v>13</v>
      </c>
      <c r="I29" s="9"/>
    </row>
    <row r="30" spans="1:9">
      <c r="H30" s="9"/>
      <c r="I30" s="9"/>
    </row>
    <row r="38" spans="1:2">
      <c r="A38" s="3" t="s">
        <v>13</v>
      </c>
      <c r="B38" s="4" t="s">
        <v>13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130" zoomScaleNormal="130" zoomScalePageLayoutView="130" workbookViewId="0">
      <selection sqref="A1:F16"/>
    </sheetView>
  </sheetViews>
  <sheetFormatPr baseColWidth="10" defaultColWidth="8.83203125" defaultRowHeight="14" x14ac:dyDescent="0"/>
  <cols>
    <col min="1" max="1" width="27.33203125" customWidth="1"/>
    <col min="2" max="2" width="19.5" customWidth="1"/>
  </cols>
  <sheetData>
    <row r="1" spans="1:6">
      <c r="A1" s="3" t="s">
        <v>38</v>
      </c>
    </row>
    <row r="3" spans="1:6">
      <c r="A3" s="3" t="s">
        <v>17</v>
      </c>
    </row>
    <row r="4" spans="1:6">
      <c r="A4" t="s">
        <v>16</v>
      </c>
      <c r="B4" s="2">
        <f>VOLUMETRIA!B15*D4*CONSOLIDADO!B9</f>
        <v>28035.000000000004</v>
      </c>
      <c r="D4">
        <v>7</v>
      </c>
      <c r="E4" t="s">
        <v>150</v>
      </c>
    </row>
    <row r="5" spans="1:6">
      <c r="A5" t="s">
        <v>12</v>
      </c>
      <c r="B5" s="2">
        <v>5000</v>
      </c>
    </row>
    <row r="6" spans="1:6">
      <c r="A6" t="s">
        <v>20</v>
      </c>
      <c r="B6" s="2">
        <v>15000</v>
      </c>
    </row>
    <row r="7" spans="1:6">
      <c r="A7" t="s">
        <v>14</v>
      </c>
      <c r="B7" s="2">
        <v>5000</v>
      </c>
    </row>
    <row r="8" spans="1:6">
      <c r="A8" t="s">
        <v>15</v>
      </c>
      <c r="B8" s="2">
        <v>15000</v>
      </c>
      <c r="C8" t="s">
        <v>21</v>
      </c>
    </row>
    <row r="9" spans="1:6">
      <c r="A9" t="s">
        <v>22</v>
      </c>
      <c r="B9" s="2">
        <v>25000</v>
      </c>
    </row>
    <row r="10" spans="1:6">
      <c r="A10" t="s">
        <v>158</v>
      </c>
      <c r="B10" s="2">
        <v>6000</v>
      </c>
      <c r="C10" s="8" t="s">
        <v>28</v>
      </c>
    </row>
    <row r="11" spans="1:6">
      <c r="A11" t="s">
        <v>88</v>
      </c>
      <c r="B11" s="2">
        <f>'PAYROLL MENSUAL'!B19 * 13/12*(1+'EGRESOS MICRODEP.'!B14)</f>
        <v>471900</v>
      </c>
      <c r="C11" t="s">
        <v>89</v>
      </c>
    </row>
    <row r="12" spans="1:6">
      <c r="A12" t="s">
        <v>156</v>
      </c>
      <c r="B12" s="2">
        <f>F12*VOLUMETRIA!B16</f>
        <v>23625</v>
      </c>
      <c r="C12" t="s">
        <v>155</v>
      </c>
      <c r="F12" s="12">
        <v>1.4999999999999999E-2</v>
      </c>
    </row>
    <row r="13" spans="1:6">
      <c r="A13" t="s">
        <v>266</v>
      </c>
      <c r="B13" s="2">
        <v>30000</v>
      </c>
    </row>
    <row r="16" spans="1:6">
      <c r="A16" s="3" t="s">
        <v>19</v>
      </c>
      <c r="B16" s="2">
        <f>SUM(B3:B14)</f>
        <v>624560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150" zoomScaleNormal="150" zoomScalePageLayoutView="150" workbookViewId="0">
      <selection activeCell="D9" sqref="D9"/>
    </sheetView>
  </sheetViews>
  <sheetFormatPr baseColWidth="10" defaultColWidth="11.5" defaultRowHeight="14" x14ac:dyDescent="0"/>
  <cols>
    <col min="1" max="1" width="32.6640625" customWidth="1"/>
    <col min="2" max="2" width="11.5" bestFit="1" customWidth="1"/>
    <col min="5" max="5" width="23.6640625" customWidth="1"/>
    <col min="6" max="6" width="11.5" bestFit="1" customWidth="1"/>
  </cols>
  <sheetData>
    <row r="1" spans="1:8">
      <c r="A1" s="3" t="s">
        <v>39</v>
      </c>
    </row>
    <row r="4" spans="1:8">
      <c r="A4" s="3" t="s">
        <v>49</v>
      </c>
      <c r="E4" s="3" t="s">
        <v>50</v>
      </c>
    </row>
    <row r="5" spans="1:8">
      <c r="B5" s="3" t="s">
        <v>48</v>
      </c>
      <c r="E5" t="s">
        <v>51</v>
      </c>
      <c r="F5" s="2">
        <v>23000</v>
      </c>
    </row>
    <row r="6" spans="1:8">
      <c r="A6" t="s">
        <v>40</v>
      </c>
      <c r="B6" s="2">
        <v>45000</v>
      </c>
      <c r="E6" t="s">
        <v>52</v>
      </c>
      <c r="F6" s="2">
        <v>20000</v>
      </c>
    </row>
    <row r="7" spans="1:8">
      <c r="A7" t="s">
        <v>41</v>
      </c>
      <c r="B7" s="2">
        <v>40000</v>
      </c>
      <c r="E7" t="s">
        <v>53</v>
      </c>
      <c r="F7" s="2">
        <f>G7*H7</f>
        <v>60000</v>
      </c>
      <c r="G7">
        <v>4</v>
      </c>
      <c r="H7">
        <v>15000</v>
      </c>
    </row>
    <row r="8" spans="1:8">
      <c r="A8" t="s">
        <v>42</v>
      </c>
      <c r="B8" s="2">
        <v>35000</v>
      </c>
    </row>
    <row r="9" spans="1:8">
      <c r="A9" t="s">
        <v>43</v>
      </c>
      <c r="B9" s="2">
        <v>35000</v>
      </c>
    </row>
    <row r="10" spans="1:8">
      <c r="A10" t="s">
        <v>44</v>
      </c>
      <c r="B10" s="2">
        <v>35000</v>
      </c>
    </row>
    <row r="11" spans="1:8">
      <c r="A11" t="s">
        <v>45</v>
      </c>
      <c r="B11" s="2">
        <v>35000</v>
      </c>
    </row>
    <row r="12" spans="1:8">
      <c r="A12" t="s">
        <v>46</v>
      </c>
      <c r="B12" s="2">
        <v>25000</v>
      </c>
    </row>
    <row r="13" spans="1:8">
      <c r="A13" t="s">
        <v>47</v>
      </c>
      <c r="B13" s="1">
        <f>3*C13</f>
        <v>45000</v>
      </c>
      <c r="C13">
        <v>15000</v>
      </c>
    </row>
    <row r="14" spans="1:8">
      <c r="A14" t="s">
        <v>18</v>
      </c>
      <c r="B14" s="2">
        <v>50000</v>
      </c>
    </row>
    <row r="15" spans="1:8">
      <c r="A15" t="s">
        <v>10</v>
      </c>
      <c r="B15" s="2">
        <v>18000</v>
      </c>
    </row>
    <row r="16" spans="1:8">
      <c r="B16" s="2"/>
    </row>
    <row r="19" spans="1:6">
      <c r="A19" s="3" t="s">
        <v>34</v>
      </c>
      <c r="B19" s="2">
        <f>SUM(B6:B18)</f>
        <v>363000</v>
      </c>
      <c r="E19" s="3" t="s">
        <v>34</v>
      </c>
      <c r="F19" s="2">
        <f>SUM(F4:F18)</f>
        <v>103000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F8" sqref="F8"/>
    </sheetView>
  </sheetViews>
  <sheetFormatPr baseColWidth="10" defaultColWidth="8.83203125" defaultRowHeight="14" x14ac:dyDescent="0"/>
  <cols>
    <col min="1" max="1" width="2" customWidth="1"/>
    <col min="2" max="2" width="28.6640625" customWidth="1"/>
    <col min="3" max="3" width="13.5" bestFit="1" customWidth="1"/>
    <col min="5" max="5" width="11.33203125" customWidth="1"/>
    <col min="6" max="6" width="13" bestFit="1" customWidth="1"/>
  </cols>
  <sheetData>
    <row r="1" spans="1:7">
      <c r="A1" s="3" t="s">
        <v>9</v>
      </c>
    </row>
    <row r="3" spans="1:7">
      <c r="B3" t="s">
        <v>13</v>
      </c>
    </row>
    <row r="4" spans="1:7">
      <c r="B4" s="73" t="s">
        <v>32</v>
      </c>
      <c r="C4" s="74"/>
      <c r="D4" s="73" t="s">
        <v>35</v>
      </c>
      <c r="E4" s="74"/>
      <c r="F4" s="74"/>
    </row>
    <row r="5" spans="1:7">
      <c r="B5" s="74" t="s">
        <v>29</v>
      </c>
      <c r="C5" s="75">
        <f>'EGRESOS WAREHOUSE'!B4</f>
        <v>28035.000000000004</v>
      </c>
      <c r="D5" s="74" t="s">
        <v>29</v>
      </c>
      <c r="E5" s="74"/>
      <c r="F5" s="76">
        <f>'EGRESOS MICRODEP.'!B10</f>
        <v>20000</v>
      </c>
    </row>
    <row r="6" spans="1:7">
      <c r="B6" s="74" t="s">
        <v>30</v>
      </c>
      <c r="C6" s="75">
        <f>C5*3</f>
        <v>84105.000000000015</v>
      </c>
      <c r="D6" s="74" t="s">
        <v>30</v>
      </c>
      <c r="E6" s="74"/>
      <c r="F6" s="76">
        <f>F5*1.5</f>
        <v>30000</v>
      </c>
    </row>
    <row r="7" spans="1:7">
      <c r="B7" s="74" t="s">
        <v>31</v>
      </c>
      <c r="C7" s="75">
        <v>1000000</v>
      </c>
      <c r="D7" s="74" t="s">
        <v>36</v>
      </c>
      <c r="E7" s="74"/>
      <c r="F7" s="76">
        <v>300000</v>
      </c>
    </row>
    <row r="8" spans="1:7">
      <c r="B8" s="74" t="s">
        <v>24</v>
      </c>
      <c r="C8" s="75">
        <v>300000</v>
      </c>
      <c r="D8" s="74"/>
      <c r="E8" s="74"/>
      <c r="F8" s="76"/>
    </row>
    <row r="9" spans="1:7">
      <c r="B9" s="74" t="s">
        <v>25</v>
      </c>
      <c r="C9" s="75">
        <v>100000</v>
      </c>
      <c r="D9" s="74"/>
      <c r="E9" s="74"/>
      <c r="F9" s="76"/>
    </row>
    <row r="10" spans="1:7">
      <c r="B10" s="74" t="s">
        <v>23</v>
      </c>
      <c r="C10" s="75">
        <v>400000</v>
      </c>
      <c r="D10" s="74"/>
      <c r="E10" s="74"/>
      <c r="F10" s="76"/>
    </row>
    <row r="11" spans="1:7">
      <c r="B11" s="74" t="s">
        <v>33</v>
      </c>
      <c r="C11" s="75">
        <v>50000</v>
      </c>
      <c r="D11" s="73" t="s">
        <v>162</v>
      </c>
      <c r="E11" s="74"/>
      <c r="F11" s="76"/>
    </row>
    <row r="12" spans="1:7">
      <c r="B12" s="74" t="s">
        <v>37</v>
      </c>
      <c r="C12" s="75">
        <v>50000</v>
      </c>
      <c r="D12" s="74" t="str">
        <f>B8</f>
        <v>Compra 2 camionetas</v>
      </c>
      <c r="E12" s="74"/>
      <c r="F12" s="76">
        <f>C8</f>
        <v>300000</v>
      </c>
    </row>
    <row r="13" spans="1:7">
      <c r="B13" s="74"/>
      <c r="C13" s="75"/>
      <c r="D13" s="74" t="str">
        <f>B9</f>
        <v>Compra de mobiliario</v>
      </c>
      <c r="E13" s="74"/>
      <c r="F13" s="76">
        <f>C9 /2</f>
        <v>50000</v>
      </c>
      <c r="G13" t="s">
        <v>165</v>
      </c>
    </row>
    <row r="14" spans="1:7">
      <c r="B14" s="74"/>
      <c r="C14" s="74"/>
      <c r="D14" s="74" t="s">
        <v>163</v>
      </c>
      <c r="E14" s="74"/>
      <c r="F14" s="76">
        <f>F7*CONSOLIDADO!B4 / 2</f>
        <v>450000</v>
      </c>
      <c r="G14" t="s">
        <v>165</v>
      </c>
    </row>
    <row r="15" spans="1:7">
      <c r="B15" s="74"/>
      <c r="C15" s="74"/>
      <c r="D15" s="74"/>
      <c r="E15" s="74"/>
      <c r="F15" s="76"/>
    </row>
    <row r="16" spans="1:7">
      <c r="B16" s="74"/>
      <c r="C16" s="74"/>
      <c r="D16" s="74" t="s">
        <v>164</v>
      </c>
      <c r="E16" s="74"/>
      <c r="F16" s="76">
        <f>SUM(F12:F15)</f>
        <v>800000</v>
      </c>
    </row>
    <row r="17" spans="2:6">
      <c r="B17" s="74"/>
      <c r="C17" s="74"/>
      <c r="D17" s="74"/>
      <c r="E17" s="74"/>
      <c r="F17" s="76"/>
    </row>
    <row r="18" spans="2:6">
      <c r="B18" s="74"/>
      <c r="C18" s="74"/>
      <c r="D18" s="74"/>
      <c r="E18" s="74"/>
      <c r="F18" s="76"/>
    </row>
    <row r="19" spans="2:6">
      <c r="B19" s="74"/>
      <c r="C19" s="74"/>
      <c r="D19" s="74"/>
      <c r="E19" s="74"/>
      <c r="F19" s="74"/>
    </row>
    <row r="20" spans="2:6">
      <c r="B20" s="74" t="s">
        <v>34</v>
      </c>
      <c r="C20" s="76">
        <f>SUM(C5:C19)</f>
        <v>2012140</v>
      </c>
      <c r="D20" s="74" t="s">
        <v>34</v>
      </c>
      <c r="E20" s="74"/>
      <c r="F20" s="76">
        <f>SUM(F5:F10)</f>
        <v>350000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6"/>
  <sheetViews>
    <sheetView zoomScale="130" zoomScaleNormal="130" zoomScalePageLayoutView="130" workbookViewId="0">
      <selection activeCell="B15" sqref="B15"/>
    </sheetView>
  </sheetViews>
  <sheetFormatPr baseColWidth="10" defaultColWidth="11.5" defaultRowHeight="14" x14ac:dyDescent="0"/>
  <cols>
    <col min="1" max="1" width="29.83203125" customWidth="1"/>
    <col min="2" max="2" width="14.83203125" bestFit="1" customWidth="1"/>
  </cols>
  <sheetData>
    <row r="2" spans="1:5">
      <c r="A2" s="3" t="s">
        <v>105</v>
      </c>
    </row>
    <row r="3" spans="1:5">
      <c r="A3" t="s">
        <v>99</v>
      </c>
      <c r="B3" s="5">
        <v>20</v>
      </c>
      <c r="C3" t="s">
        <v>217</v>
      </c>
    </row>
    <row r="4" spans="1:5">
      <c r="A4" t="s">
        <v>100</v>
      </c>
      <c r="B4" s="5">
        <v>60</v>
      </c>
      <c r="C4" t="s">
        <v>3</v>
      </c>
    </row>
    <row r="5" spans="1:5">
      <c r="A5" t="s">
        <v>101</v>
      </c>
      <c r="B5" s="12">
        <v>0.7</v>
      </c>
    </row>
    <row r="6" spans="1:5">
      <c r="A6" t="s">
        <v>102</v>
      </c>
      <c r="B6">
        <f>B4*B3*B5</f>
        <v>840</v>
      </c>
    </row>
    <row r="7" spans="1:5">
      <c r="A7" t="s">
        <v>103</v>
      </c>
      <c r="B7">
        <f>'INGRESOS MICRODEPOSITO'!B5</f>
        <v>300</v>
      </c>
    </row>
    <row r="8" spans="1:5">
      <c r="A8" t="s">
        <v>104</v>
      </c>
      <c r="B8">
        <f>B6/B7</f>
        <v>2.8</v>
      </c>
    </row>
    <row r="9" spans="1:5">
      <c r="A9" t="s">
        <v>153</v>
      </c>
      <c r="B9" s="5">
        <v>250</v>
      </c>
    </row>
    <row r="10" spans="1:5">
      <c r="A10" t="s">
        <v>152</v>
      </c>
      <c r="B10" s="33">
        <f>B9*B6</f>
        <v>210000</v>
      </c>
    </row>
    <row r="11" spans="1:5">
      <c r="A11" s="3" t="s">
        <v>106</v>
      </c>
    </row>
    <row r="12" spans="1:5">
      <c r="A12" t="s">
        <v>107</v>
      </c>
      <c r="B12">
        <f>CONSOLIDADO!B4</f>
        <v>3</v>
      </c>
    </row>
    <row r="13" spans="1:5">
      <c r="A13" t="s">
        <v>108</v>
      </c>
      <c r="B13" s="5">
        <v>7</v>
      </c>
      <c r="C13" t="s">
        <v>109</v>
      </c>
    </row>
    <row r="14" spans="1:5">
      <c r="A14" t="s">
        <v>110</v>
      </c>
      <c r="B14">
        <f>B13/B8*B6*B12</f>
        <v>6300</v>
      </c>
      <c r="C14" t="s">
        <v>111</v>
      </c>
      <c r="D14">
        <f>B14*0.05/2</f>
        <v>157.5</v>
      </c>
      <c r="E14" t="s">
        <v>253</v>
      </c>
    </row>
    <row r="15" spans="1:5">
      <c r="A15" t="s">
        <v>112</v>
      </c>
      <c r="B15" s="3">
        <f>B14/B3/B5</f>
        <v>450.00000000000006</v>
      </c>
      <c r="C15" t="s">
        <v>3</v>
      </c>
    </row>
    <row r="16" spans="1:5">
      <c r="A16" t="s">
        <v>154</v>
      </c>
      <c r="B16" s="2">
        <f>B14*B9</f>
        <v>1575000</v>
      </c>
      <c r="C16" s="45" t="s">
        <v>216</v>
      </c>
    </row>
    <row r="17" spans="1:5">
      <c r="A17" t="s">
        <v>215</v>
      </c>
      <c r="B17" s="3">
        <f>B15*2/2</f>
        <v>450.00000000000006</v>
      </c>
    </row>
    <row r="20" spans="1:5">
      <c r="A20" s="3" t="s">
        <v>255</v>
      </c>
    </row>
    <row r="21" spans="1:5">
      <c r="A21" t="s">
        <v>256</v>
      </c>
      <c r="B21" s="5">
        <v>300</v>
      </c>
    </row>
    <row r="22" spans="1:5">
      <c r="A22" t="s">
        <v>257</v>
      </c>
      <c r="B22">
        <f>D22*21</f>
        <v>210</v>
      </c>
      <c r="C22" t="s">
        <v>258</v>
      </c>
      <c r="D22">
        <v>10</v>
      </c>
      <c r="E22" t="s">
        <v>264</v>
      </c>
    </row>
    <row r="23" spans="1:5">
      <c r="A23" t="s">
        <v>254</v>
      </c>
      <c r="B23" s="1">
        <f>B21*D14</f>
        <v>47250</v>
      </c>
    </row>
    <row r="24" spans="1:5">
      <c r="A24" t="s">
        <v>257</v>
      </c>
      <c r="B24" s="1">
        <f>D14*4*B22</f>
        <v>132300</v>
      </c>
    </row>
    <row r="26" spans="1:5">
      <c r="A26" s="3" t="s">
        <v>259</v>
      </c>
      <c r="B26" s="4">
        <f>B23+B24</f>
        <v>179550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CONSOLIDADO</vt:lpstr>
      <vt:lpstr>INGRESOS MICRODEPOSITO</vt:lpstr>
      <vt:lpstr>PRICING</vt:lpstr>
      <vt:lpstr>ESTIMACION DE DEMANDA</vt:lpstr>
      <vt:lpstr>EGRESOS MICRODEP.</vt:lpstr>
      <vt:lpstr>EGRESOS WAREHOUSE</vt:lpstr>
      <vt:lpstr>PAYROLL MENSUAL</vt:lpstr>
      <vt:lpstr>INVERSION INICIAL</vt:lpstr>
      <vt:lpstr>VOLUMETRIA</vt:lpstr>
      <vt:lpstr>CALCULO WACC</vt:lpstr>
      <vt:lpstr>CAPITALIZACIÓN</vt:lpstr>
      <vt:lpstr>MODELO DE COLAS NORMAL</vt:lpstr>
      <vt:lpstr>MODELO DE COLAS PICO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Ezequiel Naftali</dc:creator>
  <cp:lastModifiedBy>Ezequiel Naftali</cp:lastModifiedBy>
  <dcterms:created xsi:type="dcterms:W3CDTF">2014-12-04T14:23:44Z</dcterms:created>
  <dcterms:modified xsi:type="dcterms:W3CDTF">2015-05-27T00:06:22Z</dcterms:modified>
</cp:coreProperties>
</file>