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270" windowWidth="15195" windowHeight="8715" tabRatio="766"/>
  </bookViews>
  <sheets>
    <sheet name="Cashflow proyectado Resumen" sheetId="35" r:id="rId1"/>
    <sheet name="Cashflow proyectado en %" sheetId="18" r:id="rId2"/>
    <sheet name="Costo variable" sheetId="30" r:id="rId3"/>
    <sheet name="Costos de Ocupacion" sheetId="31" r:id="rId4"/>
    <sheet name="Gs Gerenciales" sheetId="16" r:id="rId5"/>
    <sheet name="Gs Admin" sheetId="15" r:id="rId6"/>
    <sheet name="Gs Mktg" sheetId="13" r:id="rId7"/>
    <sheet name="Operaciones (Gs Generales)" sheetId="17" r:id="rId8"/>
    <sheet name="Modelo de Negocio" sheetId="25" r:id="rId9"/>
    <sheet name="Demanda Estimada" sheetId="12" r:id="rId10"/>
    <sheet name="Calculo" sheetId="32" r:id="rId11"/>
    <sheet name="Valuation Parameters US" sheetId="33" r:id="rId12"/>
  </sheets>
  <externalReferences>
    <externalReference r:id="rId13"/>
  </externalReferences>
  <definedNames>
    <definedName name="Industry" localSheetId="0">#REF!</definedName>
    <definedName name="Industry">#REF!</definedName>
    <definedName name="Paises">'[1]Tax Rates'!$B$4:$B$116</definedName>
  </definedNames>
  <calcPr calcId="125725"/>
</workbook>
</file>

<file path=xl/calcChain.xml><?xml version="1.0" encoding="utf-8"?>
<calcChain xmlns="http://schemas.openxmlformats.org/spreadsheetml/2006/main">
  <c r="D34" i="35"/>
  <c r="E34" s="1"/>
  <c r="E33"/>
  <c r="C25"/>
  <c r="K23"/>
  <c r="J23"/>
  <c r="I23"/>
  <c r="H23"/>
  <c r="G23"/>
  <c r="F23"/>
  <c r="E23"/>
  <c r="K16"/>
  <c r="K21" s="1"/>
  <c r="J16"/>
  <c r="J21" s="1"/>
  <c r="I16"/>
  <c r="I21" s="1"/>
  <c r="H16"/>
  <c r="H21" s="1"/>
  <c r="G16"/>
  <c r="G21" s="1"/>
  <c r="F16"/>
  <c r="F21" s="1"/>
  <c r="E16"/>
  <c r="E21" s="1"/>
  <c r="D16"/>
  <c r="D21" s="1"/>
  <c r="D10"/>
  <c r="C10" i="13"/>
  <c r="C22" i="15"/>
  <c r="C21"/>
  <c r="C20"/>
  <c r="C19"/>
  <c r="C18"/>
  <c r="C17"/>
  <c r="C15"/>
  <c r="C14"/>
  <c r="C23" s="1"/>
  <c r="J19" i="30" l="1"/>
  <c r="I19"/>
  <c r="H19"/>
  <c r="G19"/>
  <c r="F19"/>
  <c r="D19"/>
  <c r="E19"/>
  <c r="C19"/>
  <c r="D21"/>
  <c r="E21" s="1"/>
  <c r="F21" s="1"/>
  <c r="G21" s="1"/>
  <c r="H21" s="1"/>
  <c r="D20" i="17"/>
  <c r="I21" i="30" l="1"/>
  <c r="J21" s="1"/>
  <c r="D10" i="13"/>
  <c r="E10" s="1"/>
  <c r="F10" s="1"/>
  <c r="G10" s="1"/>
  <c r="H10" s="1"/>
  <c r="I10" s="1"/>
  <c r="J10" s="1"/>
  <c r="C8"/>
  <c r="C11" i="30"/>
  <c r="C8"/>
  <c r="G5" i="32"/>
  <c r="D4"/>
  <c r="D42" i="18"/>
  <c r="F8" i="32" l="1"/>
  <c r="F12" s="1"/>
  <c r="E42" i="18"/>
  <c r="C33" l="1"/>
  <c r="E41"/>
  <c r="E2" i="12" l="1"/>
  <c r="F2"/>
  <c r="G2"/>
  <c r="H2"/>
  <c r="I2"/>
  <c r="J2"/>
  <c r="D2"/>
  <c r="C2"/>
  <c r="E2" i="25"/>
  <c r="F2"/>
  <c r="G2"/>
  <c r="H2"/>
  <c r="I2"/>
  <c r="J2"/>
  <c r="D2"/>
  <c r="C2"/>
  <c r="E31" i="18"/>
  <c r="K23" l="1"/>
  <c r="J23"/>
  <c r="I23"/>
  <c r="H23"/>
  <c r="G23"/>
  <c r="F23"/>
  <c r="E23"/>
  <c r="D23"/>
  <c r="J25" i="31"/>
  <c r="I25"/>
  <c r="H25"/>
  <c r="G25"/>
  <c r="F25"/>
  <c r="E25"/>
  <c r="D25"/>
  <c r="D23"/>
  <c r="D21"/>
  <c r="K31" i="18"/>
  <c r="J31"/>
  <c r="I31"/>
  <c r="H31"/>
  <c r="G31"/>
  <c r="F31"/>
  <c r="C8" i="31"/>
  <c r="C9"/>
  <c r="D9" s="1"/>
  <c r="E9" s="1"/>
  <c r="F9" s="1"/>
  <c r="G9" s="1"/>
  <c r="H9" s="1"/>
  <c r="I9" s="1"/>
  <c r="J9" s="1"/>
  <c r="C40" i="15"/>
  <c r="D12" i="30"/>
  <c r="E12" s="1"/>
  <c r="F12" s="1"/>
  <c r="G12" s="1"/>
  <c r="H12" s="1"/>
  <c r="I12" s="1"/>
  <c r="J12" s="1"/>
  <c r="C10"/>
  <c r="C9"/>
  <c r="J6"/>
  <c r="I6"/>
  <c r="H6"/>
  <c r="G6"/>
  <c r="F6"/>
  <c r="E6"/>
  <c r="D6"/>
  <c r="C6"/>
  <c r="D4"/>
  <c r="D18" i="31"/>
  <c r="E18" s="1"/>
  <c r="F18" s="1"/>
  <c r="G18" s="1"/>
  <c r="H18" s="1"/>
  <c r="I18" s="1"/>
  <c r="J18" s="1"/>
  <c r="J6"/>
  <c r="I6"/>
  <c r="H6"/>
  <c r="G6"/>
  <c r="F6"/>
  <c r="E6"/>
  <c r="D6"/>
  <c r="C6"/>
  <c r="D4"/>
  <c r="D10" s="1"/>
  <c r="J6" i="15"/>
  <c r="I6"/>
  <c r="H6"/>
  <c r="G6"/>
  <c r="F6"/>
  <c r="E6"/>
  <c r="D6"/>
  <c r="D13" s="1"/>
  <c r="C6"/>
  <c r="J5" i="13"/>
  <c r="I5"/>
  <c r="D5"/>
  <c r="J5" i="17"/>
  <c r="D44" i="15"/>
  <c r="E44" s="1"/>
  <c r="F44" s="1"/>
  <c r="G44" s="1"/>
  <c r="H44" s="1"/>
  <c r="I44" s="1"/>
  <c r="J44" s="1"/>
  <c r="C20" i="16"/>
  <c r="C7" s="1"/>
  <c r="C21" s="1"/>
  <c r="C13" i="13"/>
  <c r="D22" i="16"/>
  <c r="E22" s="1"/>
  <c r="F22" s="1"/>
  <c r="G22" s="1"/>
  <c r="H22" s="1"/>
  <c r="I22" s="1"/>
  <c r="J22" s="1"/>
  <c r="C9" i="13"/>
  <c r="D9" s="1"/>
  <c r="E9" s="1"/>
  <c r="F9" s="1"/>
  <c r="G9" s="1"/>
  <c r="H9" s="1"/>
  <c r="I9" s="1"/>
  <c r="J9" s="1"/>
  <c r="D15"/>
  <c r="E15" s="1"/>
  <c r="F15" s="1"/>
  <c r="G15" s="1"/>
  <c r="H15" s="1"/>
  <c r="I15" s="1"/>
  <c r="J15" s="1"/>
  <c r="C41" i="15"/>
  <c r="D4"/>
  <c r="E4" s="1"/>
  <c r="F4" s="1"/>
  <c r="G4" s="1"/>
  <c r="H4" s="1"/>
  <c r="I4" s="1"/>
  <c r="J4" s="1"/>
  <c r="D14" i="25"/>
  <c r="E14" s="1"/>
  <c r="D6"/>
  <c r="D8" s="1"/>
  <c r="D4" i="12" s="1"/>
  <c r="D8" s="1"/>
  <c r="C8" i="25"/>
  <c r="C4" i="12" s="1"/>
  <c r="C8" s="1"/>
  <c r="D19" i="15" l="1"/>
  <c r="D21"/>
  <c r="D17"/>
  <c r="D14"/>
  <c r="D22"/>
  <c r="D20"/>
  <c r="D18"/>
  <c r="D15"/>
  <c r="G5" i="13"/>
  <c r="E5"/>
  <c r="F5"/>
  <c r="H5"/>
  <c r="C5"/>
  <c r="D40" i="15"/>
  <c r="E40" s="1"/>
  <c r="F40" s="1"/>
  <c r="G40" s="1"/>
  <c r="H40" s="1"/>
  <c r="I40" s="1"/>
  <c r="J40" s="1"/>
  <c r="C13" i="30"/>
  <c r="E4"/>
  <c r="D8"/>
  <c r="D9"/>
  <c r="E9" s="1"/>
  <c r="F9" s="1"/>
  <c r="G9" s="1"/>
  <c r="H9" s="1"/>
  <c r="I9" s="1"/>
  <c r="J9" s="1"/>
  <c r="D10"/>
  <c r="E10" s="1"/>
  <c r="F10" s="1"/>
  <c r="G10" s="1"/>
  <c r="H10" s="1"/>
  <c r="I10" s="1"/>
  <c r="J10" s="1"/>
  <c r="C17" i="31"/>
  <c r="D8"/>
  <c r="E8" s="1"/>
  <c r="F8" s="1"/>
  <c r="G8" s="1"/>
  <c r="H8" s="1"/>
  <c r="I8" s="1"/>
  <c r="J8" s="1"/>
  <c r="E4"/>
  <c r="F14" i="25"/>
  <c r="D13" i="13"/>
  <c r="E13" s="1"/>
  <c r="F13" s="1"/>
  <c r="G13" s="1"/>
  <c r="H13" s="1"/>
  <c r="I13" s="1"/>
  <c r="J13" s="1"/>
  <c r="E6" i="25"/>
  <c r="F6" s="1"/>
  <c r="D23" i="15" l="1"/>
  <c r="E8" i="30"/>
  <c r="D11"/>
  <c r="F4"/>
  <c r="D17" i="31"/>
  <c r="E17"/>
  <c r="F4"/>
  <c r="G14" i="25"/>
  <c r="F8"/>
  <c r="F4" i="12" s="1"/>
  <c r="F8" s="1"/>
  <c r="G6" i="25"/>
  <c r="E8"/>
  <c r="E4" i="12" s="1"/>
  <c r="E8" s="1"/>
  <c r="F8" i="30" l="1"/>
  <c r="E11"/>
  <c r="D13"/>
  <c r="G4"/>
  <c r="G4" i="31"/>
  <c r="F17"/>
  <c r="H14" i="25"/>
  <c r="H6"/>
  <c r="G8"/>
  <c r="G4" i="12" s="1"/>
  <c r="G8" s="1"/>
  <c r="G8" i="30" l="1"/>
  <c r="F11"/>
  <c r="E13"/>
  <c r="H4"/>
  <c r="G17" i="31"/>
  <c r="H4"/>
  <c r="I14" i="25"/>
  <c r="H8"/>
  <c r="H4" i="12" s="1"/>
  <c r="H8" s="1"/>
  <c r="I6" i="25"/>
  <c r="H8" i="30" l="1"/>
  <c r="G11"/>
  <c r="G13" s="1"/>
  <c r="F13"/>
  <c r="I4"/>
  <c r="H17" i="31"/>
  <c r="I4"/>
  <c r="J14" i="25"/>
  <c r="I8"/>
  <c r="I4" i="12" s="1"/>
  <c r="I8" s="1"/>
  <c r="J6" i="25"/>
  <c r="J8" s="1"/>
  <c r="J4" i="12" s="1"/>
  <c r="J8" s="1"/>
  <c r="I8" i="30" l="1"/>
  <c r="H11"/>
  <c r="J4"/>
  <c r="I17" i="31"/>
  <c r="J4"/>
  <c r="J8" i="30" l="1"/>
  <c r="J11" s="1"/>
  <c r="I11"/>
  <c r="H13"/>
  <c r="J17" i="31"/>
  <c r="I13" i="30" l="1"/>
  <c r="J13"/>
  <c r="C4" i="25" l="1"/>
  <c r="D8" i="13"/>
  <c r="E8" s="1"/>
  <c r="F8" s="1"/>
  <c r="D17" i="25"/>
  <c r="D9"/>
  <c r="E9" s="1"/>
  <c r="C12" i="13"/>
  <c r="D12" s="1"/>
  <c r="E12" s="1"/>
  <c r="F12" s="1"/>
  <c r="G12" s="1"/>
  <c r="H12" s="1"/>
  <c r="I12" s="1"/>
  <c r="J12" s="1"/>
  <c r="D22" i="12"/>
  <c r="E22" s="1"/>
  <c r="F22" s="1"/>
  <c r="G22" s="1"/>
  <c r="H22" s="1"/>
  <c r="I22" s="1"/>
  <c r="J22" s="1"/>
  <c r="H5" i="16"/>
  <c r="H5" i="17" s="1"/>
  <c r="C22"/>
  <c r="C36" i="15"/>
  <c r="C35"/>
  <c r="C34"/>
  <c r="C33"/>
  <c r="C32"/>
  <c r="C30"/>
  <c r="C29"/>
  <c r="G5" i="16"/>
  <c r="G5" i="17" s="1"/>
  <c r="F5" i="16"/>
  <c r="F5" i="17" s="1"/>
  <c r="E5" i="16"/>
  <c r="E5" i="17" s="1"/>
  <c r="E20" s="1"/>
  <c r="C5" i="16"/>
  <c r="C5" i="17" s="1"/>
  <c r="D23"/>
  <c r="E23"/>
  <c r="F20" l="1"/>
  <c r="G20" s="1"/>
  <c r="H20" s="1"/>
  <c r="C3" i="12"/>
  <c r="C6" s="1"/>
  <c r="C13" i="25"/>
  <c r="C20" i="30" s="1"/>
  <c r="C22" s="1"/>
  <c r="D5" i="16"/>
  <c r="D41" i="15"/>
  <c r="C5" i="25"/>
  <c r="C10" s="1"/>
  <c r="F23" i="17"/>
  <c r="C37" i="15"/>
  <c r="C38" s="1"/>
  <c r="G8" i="13"/>
  <c r="H8" s="1"/>
  <c r="I8" s="1"/>
  <c r="J8" s="1"/>
  <c r="H23" i="17"/>
  <c r="J23"/>
  <c r="G23"/>
  <c r="I23"/>
  <c r="D4" i="25"/>
  <c r="D13" s="1"/>
  <c r="D20" i="30" s="1"/>
  <c r="D22" s="1"/>
  <c r="E17" i="25"/>
  <c r="C23" i="16"/>
  <c r="D12" i="35" s="1"/>
  <c r="C23" i="17"/>
  <c r="C24" s="1"/>
  <c r="C16" i="12"/>
  <c r="I5" i="16"/>
  <c r="I5" i="17" s="1"/>
  <c r="F9" i="25"/>
  <c r="D28" i="15"/>
  <c r="D14" i="35" l="1"/>
  <c r="D19" i="18"/>
  <c r="D8" i="35"/>
  <c r="D8" i="18"/>
  <c r="E8"/>
  <c r="E8" i="35"/>
  <c r="D5" i="17"/>
  <c r="D19" s="1"/>
  <c r="D22" s="1"/>
  <c r="D24" s="1"/>
  <c r="D10" i="16"/>
  <c r="E10" s="1"/>
  <c r="C7" i="12"/>
  <c r="C17"/>
  <c r="C19" s="1"/>
  <c r="I20" i="17"/>
  <c r="J20" s="1"/>
  <c r="C13" i="12"/>
  <c r="C3" i="25"/>
  <c r="C8" i="15"/>
  <c r="C43" s="1"/>
  <c r="C45" s="1"/>
  <c r="D15" i="18" s="1"/>
  <c r="E41" i="15"/>
  <c r="C15" i="25"/>
  <c r="C14" i="13"/>
  <c r="C16" s="1"/>
  <c r="D5" i="25"/>
  <c r="D10" s="1"/>
  <c r="D16" i="12"/>
  <c r="E4" i="25"/>
  <c r="E13" s="1"/>
  <c r="E20" i="30" s="1"/>
  <c r="E22" s="1"/>
  <c r="F17" i="25"/>
  <c r="D3" i="12"/>
  <c r="D6" s="1"/>
  <c r="D7" s="1"/>
  <c r="D30" i="15"/>
  <c r="D33"/>
  <c r="E28"/>
  <c r="D35"/>
  <c r="D36"/>
  <c r="D34"/>
  <c r="D37"/>
  <c r="D29"/>
  <c r="D32"/>
  <c r="D20" i="16"/>
  <c r="D7" s="1"/>
  <c r="D21" s="1"/>
  <c r="D23" s="1"/>
  <c r="E13" i="15"/>
  <c r="G9" i="25"/>
  <c r="E14" i="35" l="1"/>
  <c r="E19" i="18"/>
  <c r="E19" i="17"/>
  <c r="F19" s="1"/>
  <c r="G19" s="1"/>
  <c r="H19" s="1"/>
  <c r="I19" s="1"/>
  <c r="J19" s="1"/>
  <c r="F8" i="35"/>
  <c r="F8" i="18"/>
  <c r="D6"/>
  <c r="D20" s="1"/>
  <c r="D6" i="35"/>
  <c r="D9" s="1"/>
  <c r="D11" s="1"/>
  <c r="D17" i="18"/>
  <c r="D13" i="35"/>
  <c r="C20" i="12"/>
  <c r="C21" s="1"/>
  <c r="C23" s="1"/>
  <c r="F41" i="15"/>
  <c r="E5" i="25"/>
  <c r="E10" s="1"/>
  <c r="D14" i="13"/>
  <c r="D16" s="1"/>
  <c r="D15" i="25"/>
  <c r="F16" i="12"/>
  <c r="D38" i="15"/>
  <c r="E3" i="12"/>
  <c r="E6" s="1"/>
  <c r="E7" s="1"/>
  <c r="D3" i="25"/>
  <c r="D13" i="12"/>
  <c r="D17"/>
  <c r="G17" i="25"/>
  <c r="F4"/>
  <c r="F13" s="1"/>
  <c r="F20" i="30" s="1"/>
  <c r="F22" s="1"/>
  <c r="H9" i="25"/>
  <c r="E32" i="15"/>
  <c r="E34"/>
  <c r="E29"/>
  <c r="F28"/>
  <c r="E35"/>
  <c r="E37"/>
  <c r="E36"/>
  <c r="E30"/>
  <c r="E33"/>
  <c r="E16" i="12"/>
  <c r="E17" i="15"/>
  <c r="E18"/>
  <c r="E22"/>
  <c r="E14"/>
  <c r="E21"/>
  <c r="E15"/>
  <c r="F13"/>
  <c r="E20"/>
  <c r="E19"/>
  <c r="E20" i="16"/>
  <c r="E7" s="1"/>
  <c r="E21" s="1"/>
  <c r="E23" s="1"/>
  <c r="F10"/>
  <c r="D15" i="35" l="1"/>
  <c r="D17" s="1"/>
  <c r="D19" s="1"/>
  <c r="D20" s="1"/>
  <c r="D25" s="1"/>
  <c r="D18" i="18"/>
  <c r="E22" i="17"/>
  <c r="E24" s="1"/>
  <c r="F14" i="35" s="1"/>
  <c r="D9" i="18"/>
  <c r="E17"/>
  <c r="E13" i="35"/>
  <c r="D10" i="18"/>
  <c r="D11" s="1"/>
  <c r="E6"/>
  <c r="E20" s="1"/>
  <c r="E6" i="35"/>
  <c r="G8"/>
  <c r="G8" i="18"/>
  <c r="D16"/>
  <c r="G41" i="15"/>
  <c r="D29" i="18"/>
  <c r="E14" i="13"/>
  <c r="E16" s="1"/>
  <c r="E15" i="25"/>
  <c r="F5"/>
  <c r="F10" s="1"/>
  <c r="D8" i="15"/>
  <c r="D43" s="1"/>
  <c r="G16" i="12"/>
  <c r="E38" i="15"/>
  <c r="E23"/>
  <c r="F3" i="12"/>
  <c r="F6" s="1"/>
  <c r="F7" s="1"/>
  <c r="E13"/>
  <c r="E3" i="25"/>
  <c r="G4"/>
  <c r="G13" s="1"/>
  <c r="G20" i="30" s="1"/>
  <c r="G22" s="1"/>
  <c r="H17" i="25"/>
  <c r="F22" i="15"/>
  <c r="F21"/>
  <c r="F18"/>
  <c r="F19"/>
  <c r="F17"/>
  <c r="F20"/>
  <c r="F15"/>
  <c r="G13"/>
  <c r="F14"/>
  <c r="F20" i="16"/>
  <c r="F7" s="1"/>
  <c r="F21" s="1"/>
  <c r="F23" s="1"/>
  <c r="G10"/>
  <c r="F22" i="17"/>
  <c r="F24" s="1"/>
  <c r="I9" i="25"/>
  <c r="F30" i="15"/>
  <c r="F32"/>
  <c r="F29"/>
  <c r="F34"/>
  <c r="F36"/>
  <c r="F35"/>
  <c r="F37"/>
  <c r="G28"/>
  <c r="F33"/>
  <c r="E18" i="18" l="1"/>
  <c r="F19"/>
  <c r="H8"/>
  <c r="H8" i="35"/>
  <c r="G14"/>
  <c r="G19" i="18"/>
  <c r="F17"/>
  <c r="F13" i="35"/>
  <c r="E9"/>
  <c r="E7"/>
  <c r="E7" i="18"/>
  <c r="F6"/>
  <c r="F6" i="35"/>
  <c r="E17" i="12"/>
  <c r="E19" s="1"/>
  <c r="H41" i="15"/>
  <c r="D24" i="18"/>
  <c r="G5" i="25"/>
  <c r="G10" s="1"/>
  <c r="F14" i="13"/>
  <c r="F16" s="1"/>
  <c r="F15" i="25"/>
  <c r="H16" i="12"/>
  <c r="E8" i="15"/>
  <c r="E43" s="1"/>
  <c r="F38"/>
  <c r="F23"/>
  <c r="D20" i="12"/>
  <c r="D19"/>
  <c r="F3" i="25"/>
  <c r="F17" i="12"/>
  <c r="F13"/>
  <c r="G3"/>
  <c r="G6" s="1"/>
  <c r="G7" s="1"/>
  <c r="I17" i="25"/>
  <c r="H4"/>
  <c r="H13" s="1"/>
  <c r="H20" i="30" s="1"/>
  <c r="H22" s="1"/>
  <c r="J9" i="25"/>
  <c r="G22" i="17"/>
  <c r="G24" s="1"/>
  <c r="H10" i="16"/>
  <c r="G20"/>
  <c r="G7" s="1"/>
  <c r="G21" s="1"/>
  <c r="G23" s="1"/>
  <c r="G22" i="15"/>
  <c r="G19"/>
  <c r="G14"/>
  <c r="H13"/>
  <c r="G18"/>
  <c r="G21"/>
  <c r="G17"/>
  <c r="G20"/>
  <c r="G15"/>
  <c r="G30"/>
  <c r="G32"/>
  <c r="G35"/>
  <c r="G29"/>
  <c r="G34"/>
  <c r="H28"/>
  <c r="G36"/>
  <c r="G33"/>
  <c r="G37"/>
  <c r="F20" i="18" l="1"/>
  <c r="F24"/>
  <c r="H14" i="35"/>
  <c r="H19" i="18"/>
  <c r="F9" i="35"/>
  <c r="F7"/>
  <c r="G17" i="18"/>
  <c r="G13" i="35"/>
  <c r="F18" i="18"/>
  <c r="I8"/>
  <c r="I8" i="35"/>
  <c r="G6" i="18"/>
  <c r="G20" s="1"/>
  <c r="G6" i="35"/>
  <c r="F7" i="18"/>
  <c r="E20" i="12"/>
  <c r="E21" s="1"/>
  <c r="E23" s="1"/>
  <c r="I41" i="15"/>
  <c r="F29" i="18"/>
  <c r="E24"/>
  <c r="E29"/>
  <c r="D45" i="15"/>
  <c r="G14" i="13"/>
  <c r="G16" s="1"/>
  <c r="G15" i="25"/>
  <c r="H5"/>
  <c r="H10" s="1"/>
  <c r="F8" i="15"/>
  <c r="F43" s="1"/>
  <c r="G38"/>
  <c r="G23"/>
  <c r="D21" i="12"/>
  <c r="D23" s="1"/>
  <c r="G3" i="25"/>
  <c r="G13" i="12"/>
  <c r="G17"/>
  <c r="J17" i="25"/>
  <c r="I4"/>
  <c r="I13" s="1"/>
  <c r="I20" i="30" s="1"/>
  <c r="I22" s="1"/>
  <c r="H3" i="12"/>
  <c r="H6" s="1"/>
  <c r="H7" s="1"/>
  <c r="H20" i="15"/>
  <c r="H18"/>
  <c r="H21"/>
  <c r="H15"/>
  <c r="H19"/>
  <c r="I13"/>
  <c r="H14"/>
  <c r="H22"/>
  <c r="H17"/>
  <c r="H22" i="17"/>
  <c r="H24" s="1"/>
  <c r="I16" i="12"/>
  <c r="H35" i="15"/>
  <c r="I28"/>
  <c r="H30"/>
  <c r="H32"/>
  <c r="H29"/>
  <c r="H37"/>
  <c r="H34"/>
  <c r="H36"/>
  <c r="H33"/>
  <c r="I10" i="16"/>
  <c r="H20"/>
  <c r="H7" s="1"/>
  <c r="H21" s="1"/>
  <c r="H23" s="1"/>
  <c r="G18" i="18" l="1"/>
  <c r="H6"/>
  <c r="H24" s="1"/>
  <c r="H6" i="35"/>
  <c r="G7" i="18"/>
  <c r="J8" i="35"/>
  <c r="J8" i="18"/>
  <c r="I14" i="35"/>
  <c r="I19" i="18"/>
  <c r="E15"/>
  <c r="E16" s="1"/>
  <c r="E12" i="35"/>
  <c r="H17" i="18"/>
  <c r="H13" i="35"/>
  <c r="G9"/>
  <c r="G7"/>
  <c r="J41" i="15"/>
  <c r="G24" i="18"/>
  <c r="G29"/>
  <c r="E45" i="15"/>
  <c r="E10" i="18"/>
  <c r="E9"/>
  <c r="H14" i="13"/>
  <c r="H16" s="1"/>
  <c r="H15" i="25"/>
  <c r="I5"/>
  <c r="I10" s="1"/>
  <c r="J16" i="12"/>
  <c r="H38" i="15"/>
  <c r="G8"/>
  <c r="G43" s="1"/>
  <c r="H23"/>
  <c r="F20" i="12"/>
  <c r="F19"/>
  <c r="I3"/>
  <c r="I6" s="1"/>
  <c r="I7" s="1"/>
  <c r="H13"/>
  <c r="H3" i="25"/>
  <c r="H17" i="12"/>
  <c r="J4" i="25"/>
  <c r="J13" s="1"/>
  <c r="J20" i="30" s="1"/>
  <c r="J22" s="1"/>
  <c r="I22" i="17"/>
  <c r="I24" s="1"/>
  <c r="J22"/>
  <c r="J24" s="1"/>
  <c r="I32" i="15"/>
  <c r="I33"/>
  <c r="I29"/>
  <c r="I37"/>
  <c r="I36"/>
  <c r="I35"/>
  <c r="I30"/>
  <c r="J28"/>
  <c r="I34"/>
  <c r="J10" i="16"/>
  <c r="J20" s="1"/>
  <c r="J7" s="1"/>
  <c r="J21" s="1"/>
  <c r="J23" s="1"/>
  <c r="I20"/>
  <c r="I7" s="1"/>
  <c r="I21" s="1"/>
  <c r="I23" s="1"/>
  <c r="H29" i="18"/>
  <c r="I19" i="15"/>
  <c r="I22"/>
  <c r="I15"/>
  <c r="I21"/>
  <c r="I20"/>
  <c r="I14"/>
  <c r="J13"/>
  <c r="I18"/>
  <c r="I17"/>
  <c r="H7" i="18" l="1"/>
  <c r="H18"/>
  <c r="H20"/>
  <c r="J14" i="35"/>
  <c r="J19" i="18"/>
  <c r="K14" i="35"/>
  <c r="K19" i="18"/>
  <c r="I17"/>
  <c r="I13" i="35"/>
  <c r="F15" i="18"/>
  <c r="F16" s="1"/>
  <c r="F12" i="35"/>
  <c r="K8" i="18"/>
  <c r="K8" i="35"/>
  <c r="I6" i="18"/>
  <c r="I7" s="1"/>
  <c r="I6" i="35"/>
  <c r="I9" s="1"/>
  <c r="H9"/>
  <c r="H7"/>
  <c r="E11" i="18"/>
  <c r="F45" i="15"/>
  <c r="F10" i="18"/>
  <c r="F9"/>
  <c r="J5" i="25"/>
  <c r="J10" s="1"/>
  <c r="I14" i="13"/>
  <c r="I16" s="1"/>
  <c r="I15" i="25"/>
  <c r="I23" i="15"/>
  <c r="H8"/>
  <c r="H43" s="1"/>
  <c r="I38"/>
  <c r="F21" i="12"/>
  <c r="F23" s="1"/>
  <c r="J3"/>
  <c r="J6" s="1"/>
  <c r="J7" s="1"/>
  <c r="G20"/>
  <c r="G19"/>
  <c r="I13"/>
  <c r="I17"/>
  <c r="I3" i="25"/>
  <c r="J19" i="15"/>
  <c r="J14"/>
  <c r="J17"/>
  <c r="J21"/>
  <c r="J18"/>
  <c r="J22"/>
  <c r="J15"/>
  <c r="J20"/>
  <c r="I29" i="18"/>
  <c r="J32" i="15"/>
  <c r="J29"/>
  <c r="J37"/>
  <c r="J33"/>
  <c r="J36"/>
  <c r="J35"/>
  <c r="J34"/>
  <c r="J30"/>
  <c r="I24" i="18" l="1"/>
  <c r="I7" i="35"/>
  <c r="I20" i="18"/>
  <c r="G15"/>
  <c r="G16" s="1"/>
  <c r="G12" i="35"/>
  <c r="I18" i="18"/>
  <c r="J17"/>
  <c r="J13" i="35"/>
  <c r="J6" i="18"/>
  <c r="J20" s="1"/>
  <c r="J6" i="35"/>
  <c r="G10" i="18"/>
  <c r="G9"/>
  <c r="I8" i="15"/>
  <c r="I43" s="1"/>
  <c r="J23"/>
  <c r="F11" i="18"/>
  <c r="G45" i="15"/>
  <c r="J14" i="13"/>
  <c r="J16" s="1"/>
  <c r="J15" i="25"/>
  <c r="J38" i="15"/>
  <c r="G21" i="12"/>
  <c r="G23" s="1"/>
  <c r="J13"/>
  <c r="J3" i="25"/>
  <c r="J17" i="12"/>
  <c r="H20"/>
  <c r="H19"/>
  <c r="J29" i="18"/>
  <c r="J24" l="1"/>
  <c r="J7"/>
  <c r="H15"/>
  <c r="H16" s="1"/>
  <c r="H12" i="35"/>
  <c r="K17" i="18"/>
  <c r="K13" i="35"/>
  <c r="K6" i="18"/>
  <c r="K20" s="1"/>
  <c r="K6" i="35"/>
  <c r="J7"/>
  <c r="J9"/>
  <c r="J18" i="18"/>
  <c r="J8" i="15"/>
  <c r="J43" s="1"/>
  <c r="H10" i="18"/>
  <c r="H9"/>
  <c r="I45" i="15"/>
  <c r="H45"/>
  <c r="G11" i="18"/>
  <c r="H21" i="12"/>
  <c r="H23" s="1"/>
  <c r="I20"/>
  <c r="I19"/>
  <c r="K29" i="18"/>
  <c r="K7" l="1"/>
  <c r="K24"/>
  <c r="I15"/>
  <c r="I16" s="1"/>
  <c r="I12" i="35"/>
  <c r="K9"/>
  <c r="K7"/>
  <c r="J15" i="18"/>
  <c r="J12" i="35"/>
  <c r="K18" i="18"/>
  <c r="J45" i="15"/>
  <c r="K12" i="35" s="1"/>
  <c r="J16" i="18"/>
  <c r="K9"/>
  <c r="K10"/>
  <c r="I9"/>
  <c r="I10"/>
  <c r="H11"/>
  <c r="J9"/>
  <c r="J10"/>
  <c r="I21" i="12"/>
  <c r="I23" s="1"/>
  <c r="J19"/>
  <c r="J20"/>
  <c r="K15" i="18" l="1"/>
  <c r="K16" s="1"/>
  <c r="K11"/>
  <c r="J11"/>
  <c r="I11"/>
  <c r="J21" i="12"/>
  <c r="J23" s="1"/>
  <c r="C19" i="31" l="1"/>
  <c r="D12" i="18" s="1"/>
  <c r="I19" i="31"/>
  <c r="F19"/>
  <c r="D19"/>
  <c r="G19"/>
  <c r="E19"/>
  <c r="H19"/>
  <c r="J19"/>
  <c r="K12" i="18" l="1"/>
  <c r="K14" s="1"/>
  <c r="K21" s="1"/>
  <c r="K25" s="1"/>
  <c r="K27" s="1"/>
  <c r="K28" s="1"/>
  <c r="K33" s="1"/>
  <c r="L33" s="1"/>
  <c r="K10" i="35"/>
  <c r="K11" s="1"/>
  <c r="K15" s="1"/>
  <c r="K17" s="1"/>
  <c r="K19" s="1"/>
  <c r="K20" s="1"/>
  <c r="K25" s="1"/>
  <c r="L25" s="1"/>
  <c r="E12" i="18"/>
  <c r="E14" s="1"/>
  <c r="E21" s="1"/>
  <c r="E10" i="35"/>
  <c r="E11" s="1"/>
  <c r="E15" s="1"/>
  <c r="E17" s="1"/>
  <c r="E19" s="1"/>
  <c r="E20" s="1"/>
  <c r="E25" s="1"/>
  <c r="H12" i="18"/>
  <c r="H14" s="1"/>
  <c r="H21" s="1"/>
  <c r="H25" s="1"/>
  <c r="H27" s="1"/>
  <c r="H28" s="1"/>
  <c r="H33" s="1"/>
  <c r="H10" i="35"/>
  <c r="H11" s="1"/>
  <c r="H15" s="1"/>
  <c r="H17" s="1"/>
  <c r="H19" s="1"/>
  <c r="H20" s="1"/>
  <c r="H25" s="1"/>
  <c r="F12" i="18"/>
  <c r="F14" s="1"/>
  <c r="F21" s="1"/>
  <c r="F10" i="35"/>
  <c r="F11" s="1"/>
  <c r="F15" s="1"/>
  <c r="F17" s="1"/>
  <c r="F19" s="1"/>
  <c r="F20" s="1"/>
  <c r="F25" s="1"/>
  <c r="J12" i="18"/>
  <c r="J14" s="1"/>
  <c r="J21" s="1"/>
  <c r="J25" s="1"/>
  <c r="J27" s="1"/>
  <c r="J28" s="1"/>
  <c r="J33" s="1"/>
  <c r="J10" i="35"/>
  <c r="J11" s="1"/>
  <c r="J15" s="1"/>
  <c r="J17" s="1"/>
  <c r="J19" s="1"/>
  <c r="J20" s="1"/>
  <c r="J25" s="1"/>
  <c r="I12" i="18"/>
  <c r="I14" s="1"/>
  <c r="I21" s="1"/>
  <c r="I22" s="1"/>
  <c r="I10" i="35"/>
  <c r="I11" s="1"/>
  <c r="I15" s="1"/>
  <c r="I17" s="1"/>
  <c r="I19" s="1"/>
  <c r="I20" s="1"/>
  <c r="I25" s="1"/>
  <c r="G12" i="18"/>
  <c r="G14" s="1"/>
  <c r="G21" s="1"/>
  <c r="G10" i="35"/>
  <c r="G11" s="1"/>
  <c r="G15" s="1"/>
  <c r="G17" s="1"/>
  <c r="G19" s="1"/>
  <c r="G20" s="1"/>
  <c r="G25" s="1"/>
  <c r="D13" i="18"/>
  <c r="D14"/>
  <c r="D21" s="1"/>
  <c r="K13"/>
  <c r="E13"/>
  <c r="H13" l="1"/>
  <c r="I13"/>
  <c r="F13"/>
  <c r="G13"/>
  <c r="J13"/>
  <c r="I25"/>
  <c r="I27" s="1"/>
  <c r="I28" s="1"/>
  <c r="I33" s="1"/>
  <c r="H22"/>
  <c r="J22"/>
  <c r="K22"/>
  <c r="G22"/>
  <c r="G25"/>
  <c r="G27" s="1"/>
  <c r="G28" s="1"/>
  <c r="G33" s="1"/>
  <c r="F25"/>
  <c r="F27" s="1"/>
  <c r="F28" s="1"/>
  <c r="F33" s="1"/>
  <c r="F22"/>
  <c r="E22"/>
  <c r="E25"/>
  <c r="E27" s="1"/>
  <c r="E28" s="1"/>
  <c r="E33" s="1"/>
  <c r="D22"/>
  <c r="D25"/>
  <c r="C26" i="35"/>
  <c r="C27"/>
  <c r="D27" i="18" l="1"/>
  <c r="D28" s="1"/>
  <c r="D33" s="1"/>
  <c r="C35" l="1"/>
  <c r="C34"/>
</calcChain>
</file>

<file path=xl/sharedStrings.xml><?xml version="1.0" encoding="utf-8"?>
<sst xmlns="http://schemas.openxmlformats.org/spreadsheetml/2006/main" count="503" uniqueCount="280">
  <si>
    <t>Sales</t>
  </si>
  <si>
    <t>Future Spot FX Rate (AR$/$)</t>
  </si>
  <si>
    <t>Net sales (AR$)</t>
  </si>
  <si>
    <t>Ce</t>
  </si>
  <si>
    <t>Unit price (AR$)</t>
  </si>
  <si>
    <t>Inflation rate (CPI,%)</t>
  </si>
  <si>
    <t xml:space="preserve">  Annual price increase (%)</t>
  </si>
  <si>
    <t>Gross sales (AR$)</t>
  </si>
  <si>
    <t xml:space="preserve">  % Ingresos Brutos</t>
  </si>
  <si>
    <t>Ingresos Brutos (AR$)</t>
  </si>
  <si>
    <t xml:space="preserve">  % tax rate (T)</t>
  </si>
  <si>
    <t>Rf US</t>
  </si>
  <si>
    <t>(Rm-Rf) US</t>
  </si>
  <si>
    <t>Sigma return SP500</t>
  </si>
  <si>
    <t>Sigma return Burcap</t>
  </si>
  <si>
    <t>Industry Name</t>
  </si>
  <si>
    <t>Advertising</t>
  </si>
  <si>
    <t>Aerospace/Defense</t>
  </si>
  <si>
    <t>Air Transport</t>
  </si>
  <si>
    <t>Apparel</t>
  </si>
  <si>
    <t>Auto &amp; Truck</t>
  </si>
  <si>
    <t>Auto Parts</t>
  </si>
  <si>
    <t>Beverage</t>
  </si>
  <si>
    <t>Biotechnology</t>
  </si>
  <si>
    <t>Building Materials</t>
  </si>
  <si>
    <t>Cable TV</t>
  </si>
  <si>
    <t>Chemical (Basic)</t>
  </si>
  <si>
    <t>Chemical (Diversified)</t>
  </si>
  <si>
    <t>Chemical (Specialty)</t>
  </si>
  <si>
    <t>Coal</t>
  </si>
  <si>
    <t>Computer Software/Svcs</t>
  </si>
  <si>
    <t>Computers/Peripherals</t>
  </si>
  <si>
    <t>Diversified Co.</t>
  </si>
  <si>
    <t>Drug</t>
  </si>
  <si>
    <t>E-Commerce</t>
  </si>
  <si>
    <t>Educational Services</t>
  </si>
  <si>
    <t>Electrical Equipment</t>
  </si>
  <si>
    <t>Electronics</t>
  </si>
  <si>
    <t>Entertainment</t>
  </si>
  <si>
    <t>Environmental</t>
  </si>
  <si>
    <t>Food Processing</t>
  </si>
  <si>
    <t>Food Wholesalers</t>
  </si>
  <si>
    <t>Furn/Home Furnishings</t>
  </si>
  <si>
    <t>Grocery</t>
  </si>
  <si>
    <t>Healthcare Information</t>
  </si>
  <si>
    <t>Heavy Construction</t>
  </si>
  <si>
    <t>Homebuilding</t>
  </si>
  <si>
    <t>Hotel/Gaming</t>
  </si>
  <si>
    <t>Household Products</t>
  </si>
  <si>
    <t>Human Resources</t>
  </si>
  <si>
    <t>Industrial Services</t>
  </si>
  <si>
    <t>Information Services</t>
  </si>
  <si>
    <t>Internet</t>
  </si>
  <si>
    <t>Machinery</t>
  </si>
  <si>
    <t>Manuf. Housing/RV</t>
  </si>
  <si>
    <t>Maritime</t>
  </si>
  <si>
    <t>Medical Services</t>
  </si>
  <si>
    <t>Medical Supplies</t>
  </si>
  <si>
    <t>Metal Fabricating</t>
  </si>
  <si>
    <t>Metals &amp; Mining (Div.)</t>
  </si>
  <si>
    <t>Natural Gas (Div.)</t>
  </si>
  <si>
    <t>Natural Gas Utility</t>
  </si>
  <si>
    <t>Newspaper</t>
  </si>
  <si>
    <t>Office Equip/Supplies</t>
  </si>
  <si>
    <t>Oil/Gas Distribution</t>
  </si>
  <si>
    <t>Oilfield Svcs/Equip.</t>
  </si>
  <si>
    <t>Packaging &amp; Container</t>
  </si>
  <si>
    <t>Paper/Forest Products</t>
  </si>
  <si>
    <t>Petroleum (Integrated)</t>
  </si>
  <si>
    <t>Petroleum (Producing)</t>
  </si>
  <si>
    <t>Pharmacy Services</t>
  </si>
  <si>
    <t>Power</t>
  </si>
  <si>
    <t>Precious Metals</t>
  </si>
  <si>
    <t>Precision Instrument</t>
  </si>
  <si>
    <t>Property Management</t>
  </si>
  <si>
    <t>Publishing</t>
  </si>
  <si>
    <t>Railroad</t>
  </si>
  <si>
    <t>Recreation</t>
  </si>
  <si>
    <t>Restaurant</t>
  </si>
  <si>
    <t>Retail (Special Lines)</t>
  </si>
  <si>
    <t>Retail Automotive</t>
  </si>
  <si>
    <t>Retail Building Supply</t>
  </si>
  <si>
    <t>Retail Store</t>
  </si>
  <si>
    <t>Semiconductor</t>
  </si>
  <si>
    <t>Semiconductor Equip</t>
  </si>
  <si>
    <t>Shoe</t>
  </si>
  <si>
    <t>Steel (General)</t>
  </si>
  <si>
    <t>Steel (Integrated)</t>
  </si>
  <si>
    <t>Telecom. Equipment</t>
  </si>
  <si>
    <t>Telecom. Services</t>
  </si>
  <si>
    <t>Tobacco</t>
  </si>
  <si>
    <t>Toiletries/Cosmetics</t>
  </si>
  <si>
    <t>Trucking</t>
  </si>
  <si>
    <t>Water Utility</t>
  </si>
  <si>
    <t>Wireless Networking</t>
  </si>
  <si>
    <t>Net sales ($)</t>
  </si>
  <si>
    <t>Brochures</t>
  </si>
  <si>
    <t>Bank account fees</t>
  </si>
  <si>
    <t>Office supplies</t>
  </si>
  <si>
    <t>Deposito en garantia</t>
  </si>
  <si>
    <t xml:space="preserve">  Salario bruto</t>
  </si>
  <si>
    <t xml:space="preserve">  Jubilacion</t>
  </si>
  <si>
    <t xml:space="preserve">  Obra social</t>
  </si>
  <si>
    <t xml:space="preserve">  Sindicato</t>
  </si>
  <si>
    <t xml:space="preserve">  Asig.Familiares</t>
  </si>
  <si>
    <t xml:space="preserve">  ART</t>
  </si>
  <si>
    <t xml:space="preserve">  Seguro de vida</t>
  </si>
  <si>
    <t xml:space="preserve">  Fondo nacional empleo</t>
  </si>
  <si>
    <t xml:space="preserve">  INSSJP</t>
  </si>
  <si>
    <t xml:space="preserve">  Salario neto</t>
  </si>
  <si>
    <t>Reserva de nombre</t>
  </si>
  <si>
    <t>Presentacion en boletin oficial</t>
  </si>
  <si>
    <t>Legalizaciones</t>
  </si>
  <si>
    <t>Comprobacion de domicilio</t>
  </si>
  <si>
    <t>Rubrica libros</t>
  </si>
  <si>
    <t>Inscripcion ingresos brutos</t>
  </si>
  <si>
    <t>Muebles y utiles</t>
  </si>
  <si>
    <t xml:space="preserve">  Turnover costs</t>
  </si>
  <si>
    <t>Insurance (robo, incendio, resp.civil)</t>
  </si>
  <si>
    <t>Sales comissions (AR$)*</t>
  </si>
  <si>
    <t xml:space="preserve">  Headcount in position</t>
  </si>
  <si>
    <t>Total administrative expenses (AR$)</t>
  </si>
  <si>
    <t>Gross cashflow (=)</t>
  </si>
  <si>
    <t>Operating cashflow (=EBITDA, $) (=)</t>
  </si>
  <si>
    <t>CapEx (-)</t>
  </si>
  <si>
    <t>Taxes (-)</t>
  </si>
  <si>
    <t>EBIT (=)</t>
  </si>
  <si>
    <t>EBIT after taxes (=)</t>
  </si>
  <si>
    <t>$</t>
  </si>
  <si>
    <t>%</t>
  </si>
  <si>
    <t>OpEx (=WC) (-)</t>
  </si>
  <si>
    <t>FCFF (=)</t>
  </si>
  <si>
    <t>Total unlevered beta</t>
  </si>
  <si>
    <t>EV/Sales</t>
  </si>
  <si>
    <t>EV/EBIT</t>
  </si>
  <si>
    <t>EV/EBITDA</t>
  </si>
  <si>
    <t>Bonos</t>
  </si>
  <si>
    <t xml:space="preserve"> Position #2</t>
  </si>
  <si>
    <t>Tax Rate</t>
  </si>
  <si>
    <t>Unlevered Beta corrected for cash</t>
  </si>
  <si>
    <t>Bank</t>
  </si>
  <si>
    <t>Bank (Midwest)</t>
  </si>
  <si>
    <t>Electric Util. (Central)</t>
  </si>
  <si>
    <t>Electric Utility (East)</t>
  </si>
  <si>
    <t>Electric Utility (West)</t>
  </si>
  <si>
    <t>Entertainment Tech</t>
  </si>
  <si>
    <t>Financial Svcs. (Div.)</t>
  </si>
  <si>
    <t>Foreign Electronics</t>
  </si>
  <si>
    <t>Funeral Services</t>
  </si>
  <si>
    <t>Insurance (Life)</t>
  </si>
  <si>
    <t>Insurance (Prop/Cas.)</t>
  </si>
  <si>
    <t>Public/Private Equity</t>
  </si>
  <si>
    <t>R.E.I.T.</t>
  </si>
  <si>
    <t>Reinsurance</t>
  </si>
  <si>
    <t>Securities Brokerage</t>
  </si>
  <si>
    <t>Thrift</t>
  </si>
  <si>
    <t>NA</t>
  </si>
  <si>
    <t>Coef Correlacion</t>
  </si>
  <si>
    <t>Valuation Parameters-US</t>
  </si>
  <si>
    <t>Based on:</t>
  </si>
  <si>
    <t>http://pages.stern.nyu.edu/~adamodar/--&gt; go to "Updated Data"</t>
  </si>
  <si>
    <t>Data for January 2009</t>
  </si>
  <si>
    <t>Correlation with market ( R )</t>
  </si>
  <si>
    <t>Depreciation/Sales</t>
  </si>
  <si>
    <t>Working capital/ Sales</t>
  </si>
  <si>
    <t>Non-cash Working Capital/Sales</t>
  </si>
  <si>
    <t>Capital Exp./Sales</t>
  </si>
  <si>
    <t>D/(D+E)</t>
  </si>
  <si>
    <t>Cost of Debt</t>
  </si>
  <si>
    <t>Capital Expenditures</t>
  </si>
  <si>
    <t>Depreciation</t>
  </si>
  <si>
    <t>Net Cap Ex/Sales</t>
  </si>
  <si>
    <t>NetCapEx</t>
  </si>
  <si>
    <t>Cap Ex/Deprecn</t>
  </si>
  <si>
    <t>Bank (Canadian)</t>
  </si>
  <si>
    <t>Canadian Energy</t>
  </si>
  <si>
    <t>Investment Co.</t>
  </si>
  <si>
    <t>Investment Co.(Foreign)</t>
  </si>
  <si>
    <t>Utility (Foreign)</t>
  </si>
  <si>
    <t>All Market</t>
  </si>
  <si>
    <t>Tramite de presentacion SRL</t>
  </si>
  <si>
    <t>Facturacion total Dolares USD</t>
  </si>
  <si>
    <t>TIR</t>
  </si>
  <si>
    <t>FCFF (US$)</t>
  </si>
  <si>
    <t>Personal de Administracion</t>
  </si>
  <si>
    <t>Sueldos ADM anual</t>
  </si>
  <si>
    <t>Abogados</t>
  </si>
  <si>
    <t>Contador externo</t>
  </si>
  <si>
    <t>Website design</t>
  </si>
  <si>
    <t>Tkts Mensuales</t>
  </si>
  <si>
    <t>Cantidad Tkts procesados prom mensuales</t>
  </si>
  <si>
    <t>Cantidad de Clientes</t>
  </si>
  <si>
    <t>Tks procesados x año</t>
  </si>
  <si>
    <t>Facturacion FFE x cada cliente</t>
  </si>
  <si>
    <t>Hosting Mensual</t>
  </si>
  <si>
    <t>Campaña Facebook</t>
  </si>
  <si>
    <t>Mantenimiento Papaya</t>
  </si>
  <si>
    <t>Parse Turnos procesados</t>
  </si>
  <si>
    <t>Dólar Tipo de Cambio</t>
  </si>
  <si>
    <t>Tickets Anuales</t>
  </si>
  <si>
    <t>M2</t>
  </si>
  <si>
    <t>Fee Abono Anual x Serv BASICO x Cliente</t>
  </si>
  <si>
    <t>Total Tarifa Anual FEE Total</t>
  </si>
  <si>
    <t>Habilitacion Oficina</t>
  </si>
  <si>
    <t>Total Revenue Anual</t>
  </si>
  <si>
    <t>Costo de Ocupacion</t>
  </si>
  <si>
    <t>Alquiler + Op. Exp</t>
  </si>
  <si>
    <t>Total Capital Investment</t>
  </si>
  <si>
    <t>Total Capital Investment USD</t>
  </si>
  <si>
    <t>Depreciation USD YR</t>
  </si>
  <si>
    <t>Total Tarifa mensul x Tkt procesado</t>
  </si>
  <si>
    <t xml:space="preserve">  % incremento anual</t>
  </si>
  <si>
    <t>Como % de Ventas</t>
  </si>
  <si>
    <t>Capital Inicial</t>
  </si>
  <si>
    <t>Mediana Industria</t>
  </si>
  <si>
    <t>Valuacion</t>
  </si>
  <si>
    <t>Deuda</t>
  </si>
  <si>
    <t xml:space="preserve">  Capital (=Capital Inicial - Deuda)</t>
  </si>
  <si>
    <t>Demanda Estimada</t>
  </si>
  <si>
    <t>Tarifa por Ticket procesado - AR$</t>
  </si>
  <si>
    <t>Costo Variable</t>
  </si>
  <si>
    <t>Redes Sociales</t>
  </si>
  <si>
    <t>Comisiones x Ventas</t>
  </si>
  <si>
    <t>Presupuesto</t>
  </si>
  <si>
    <t xml:space="preserve">Amortizaciones (-) </t>
  </si>
  <si>
    <t>Amortizaciones (+)</t>
  </si>
  <si>
    <t>Nota: Los USD 78.245 de Inversion inicial obedecen al costo del desarrollo de la aplicación</t>
  </si>
  <si>
    <t>Cashflow Proyectado</t>
  </si>
  <si>
    <t>VAN (tasa 30%)</t>
  </si>
  <si>
    <t>Gs Administrativos</t>
  </si>
  <si>
    <t>Gs de Marketing</t>
  </si>
  <si>
    <t>Gs Generales</t>
  </si>
  <si>
    <t>Inscripcion in IGJ</t>
  </si>
  <si>
    <t>Inscripcion: fee Contador</t>
  </si>
  <si>
    <t>Inscripcion: fee abogados</t>
  </si>
  <si>
    <t>Registracion de Marca  &amp; logo</t>
  </si>
  <si>
    <t xml:space="preserve">  Headcount</t>
  </si>
  <si>
    <t>Tickets procesados</t>
  </si>
  <si>
    <t>Avisos en Diarios</t>
  </si>
  <si>
    <t>Telefono + Internet</t>
  </si>
  <si>
    <t>Cant Tkts mensuales</t>
  </si>
  <si>
    <t>Tarifa Tks procesados x año</t>
  </si>
  <si>
    <t>Gs Gerenciales</t>
  </si>
  <si>
    <t>Salarios Gerentes</t>
  </si>
  <si>
    <t xml:space="preserve"> Gerentes</t>
  </si>
  <si>
    <t>Perpetuidad</t>
  </si>
  <si>
    <t>g(perpetuidad)</t>
  </si>
  <si>
    <t>WACC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</si>
  <si>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</si>
  <si>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</si>
  <si>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</si>
  <si>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</si>
  <si>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</si>
  <si>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</si>
  <si>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</si>
  <si>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</si>
  <si>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</si>
  <si>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Ventas Netas totales  USD</t>
  </si>
  <si>
    <t>Remuneraciones</t>
  </si>
  <si>
    <t>Publicidad</t>
  </si>
  <si>
    <t>Operaciones (Gs grales)</t>
  </si>
  <si>
    <t>Total Gs Mktg USD</t>
  </si>
  <si>
    <t>Total Mktg expenses (AR$)</t>
  </si>
  <si>
    <t>Operaciones (Gs Grales)</t>
  </si>
  <si>
    <t>Decoracion</t>
  </si>
  <si>
    <t>Equipos Telefonicos</t>
  </si>
  <si>
    <t>Computadoras</t>
  </si>
  <si>
    <t>Impresoras</t>
  </si>
  <si>
    <t>Total Costo de Ocupacion (AR$)</t>
  </si>
  <si>
    <t>Total Costo Variable</t>
  </si>
  <si>
    <t>Total Com x Vtas USD</t>
  </si>
  <si>
    <t>Comisiones por ventas</t>
  </si>
  <si>
    <t>Total Costo de Ocupacion USD</t>
  </si>
  <si>
    <t>Total Gs Gerenciales USD</t>
  </si>
  <si>
    <t>Total Gs Gerenciales ARS</t>
  </si>
  <si>
    <t>Total Gs Administrativos USD</t>
  </si>
  <si>
    <t>Total Gs Administrativos ARS</t>
  </si>
  <si>
    <t xml:space="preserve"> Posicion #1</t>
  </si>
  <si>
    <t>Total Gs Generales ARS</t>
  </si>
  <si>
    <t>Total Gs Generales USD</t>
  </si>
</sst>
</file>

<file path=xl/styles.xml><?xml version="1.0" encoding="utf-8"?>
<styleSheet xmlns="http://schemas.openxmlformats.org/spreadsheetml/2006/main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_(* #,##0_);_(* \(#,##0\);_(* &quot;-&quot;??_);_(@_)"/>
    <numFmt numFmtId="167" formatCode="_ * #,##0_ ;_ * \-#,##0_ ;_ * &quot;-&quot;??_ ;_ @_ "/>
    <numFmt numFmtId="168" formatCode="_(&quot;$&quot;* #,##0_);_(&quot;$&quot;* \(#,##0\);_(&quot;$&quot;* &quot;-&quot;??_);_(@_)"/>
    <numFmt numFmtId="169" formatCode="[$USS]\ #,##0"/>
    <numFmt numFmtId="170" formatCode="[$USS]\ #,##0;[$USS]\ \-#,##0"/>
  </numFmts>
  <fonts count="2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sz val="8"/>
      <color indexed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 val="singleAccounting"/>
      <sz val="8"/>
      <color indexed="8"/>
      <name val="Arial"/>
      <family val="2"/>
    </font>
    <font>
      <sz val="8"/>
      <color indexed="8"/>
      <name val="Arial"/>
      <family val="2"/>
    </font>
    <font>
      <sz val="12"/>
      <name val="Arial"/>
      <family val="2"/>
    </font>
    <font>
      <u/>
      <sz val="10"/>
      <color indexed="12"/>
      <name val="Arial"/>
      <family val="2"/>
    </font>
    <font>
      <i/>
      <sz val="9"/>
      <name val="Geneva"/>
    </font>
    <font>
      <b/>
      <sz val="9"/>
      <name val="Geneva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EE73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2" fillId="2" borderId="0" applyAlignment="0"/>
    <xf numFmtId="0" fontId="19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7" fillId="0" borderId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Alignment="0"/>
    <xf numFmtId="0" fontId="15" fillId="0" borderId="0" applyNumberFormat="0" applyFill="0" applyBorder="0" applyAlignment="0" applyProtection="0">
      <alignment vertical="top"/>
      <protection locked="0"/>
    </xf>
  </cellStyleXfs>
  <cellXfs count="23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/>
    <xf numFmtId="0" fontId="2" fillId="0" borderId="0" xfId="0" applyFont="1"/>
    <xf numFmtId="0" fontId="6" fillId="0" borderId="0" xfId="0" applyFont="1"/>
    <xf numFmtId="0" fontId="7" fillId="0" borderId="0" xfId="0" applyFont="1"/>
    <xf numFmtId="0" fontId="3" fillId="0" borderId="0" xfId="0" applyFont="1"/>
    <xf numFmtId="0" fontId="0" fillId="0" borderId="5" xfId="0" applyBorder="1"/>
    <xf numFmtId="0" fontId="0" fillId="3" borderId="6" xfId="0" applyFill="1" applyBorder="1" applyAlignment="1">
      <alignment horizontal="center"/>
    </xf>
    <xf numFmtId="0" fontId="0" fillId="0" borderId="6" xfId="0" applyBorder="1"/>
    <xf numFmtId="0" fontId="0" fillId="0" borderId="0" xfId="0" applyFill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2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8" fillId="0" borderId="0" xfId="0" applyFont="1"/>
    <xf numFmtId="164" fontId="0" fillId="0" borderId="0" xfId="10" applyNumberFormat="1" applyFont="1" applyAlignment="1">
      <alignment horizontal="center"/>
    </xf>
    <xf numFmtId="0" fontId="0" fillId="0" borderId="0" xfId="0" applyFill="1" applyBorder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9" fontId="0" fillId="0" borderId="6" xfId="0" applyNumberFormat="1" applyBorder="1" applyAlignment="1">
      <alignment horizontal="center"/>
    </xf>
    <xf numFmtId="0" fontId="1" fillId="0" borderId="0" xfId="0" applyFont="1"/>
    <xf numFmtId="0" fontId="5" fillId="0" borderId="0" xfId="0" applyFont="1"/>
    <xf numFmtId="0" fontId="10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9" fontId="0" fillId="0" borderId="6" xfId="10" applyFont="1" applyBorder="1"/>
    <xf numFmtId="0" fontId="7" fillId="0" borderId="0" xfId="0" applyFont="1" applyAlignment="1">
      <alignment horizontal="center"/>
    </xf>
    <xf numFmtId="9" fontId="0" fillId="3" borderId="6" xfId="0" applyNumberFormat="1" applyFill="1" applyBorder="1" applyAlignment="1">
      <alignment horizontal="center"/>
    </xf>
    <xf numFmtId="9" fontId="0" fillId="3" borderId="6" xfId="10" applyFont="1" applyFill="1" applyBorder="1" applyAlignment="1">
      <alignment horizontal="center"/>
    </xf>
    <xf numFmtId="166" fontId="0" fillId="3" borderId="6" xfId="0" applyNumberFormat="1" applyFill="1" applyBorder="1" applyAlignment="1">
      <alignment horizontal="center"/>
    </xf>
    <xf numFmtId="166" fontId="0" fillId="0" borderId="0" xfId="4" applyNumberFormat="1" applyFont="1"/>
    <xf numFmtId="166" fontId="11" fillId="4" borderId="6" xfId="4" applyNumberFormat="1" applyFont="1" applyFill="1" applyBorder="1" applyAlignment="1">
      <alignment horizontal="center"/>
    </xf>
    <xf numFmtId="0" fontId="16" fillId="0" borderId="6" xfId="7" applyFont="1" applyBorder="1"/>
    <xf numFmtId="0" fontId="16" fillId="0" borderId="6" xfId="7" applyFont="1" applyBorder="1" applyAlignment="1">
      <alignment horizontal="center"/>
    </xf>
    <xf numFmtId="0" fontId="16" fillId="0" borderId="6" xfId="7" applyFont="1" applyBorder="1" applyAlignment="1">
      <alignment horizontal="center" shrinkToFit="1"/>
    </xf>
    <xf numFmtId="10" fontId="0" fillId="0" borderId="6" xfId="8" applyNumberFormat="1" applyFont="1" applyBorder="1" applyAlignment="1">
      <alignment horizontal="center"/>
    </xf>
    <xf numFmtId="164" fontId="0" fillId="0" borderId="6" xfId="8" applyNumberFormat="1" applyFont="1" applyBorder="1" applyAlignment="1">
      <alignment horizontal="center"/>
    </xf>
    <xf numFmtId="10" fontId="0" fillId="0" borderId="6" xfId="8" applyNumberFormat="1" applyFont="1" applyFill="1" applyBorder="1" applyAlignment="1">
      <alignment horizontal="center"/>
    </xf>
    <xf numFmtId="164" fontId="0" fillId="0" borderId="6" xfId="8" applyNumberFormat="1" applyFont="1" applyFill="1" applyBorder="1" applyAlignment="1">
      <alignment horizontal="center"/>
    </xf>
    <xf numFmtId="0" fontId="17" fillId="0" borderId="6" xfId="7" applyFont="1" applyBorder="1"/>
    <xf numFmtId="2" fontId="17" fillId="0" borderId="6" xfId="7" applyNumberFormat="1" applyFont="1" applyBorder="1" applyAlignment="1">
      <alignment horizontal="center"/>
    </xf>
    <xf numFmtId="10" fontId="17" fillId="0" borderId="6" xfId="7" applyNumberFormat="1" applyFont="1" applyBorder="1" applyAlignment="1">
      <alignment horizontal="center"/>
    </xf>
    <xf numFmtId="10" fontId="6" fillId="0" borderId="6" xfId="7" applyNumberFormat="1" applyFont="1" applyBorder="1" applyAlignment="1">
      <alignment horizontal="center"/>
    </xf>
    <xf numFmtId="10" fontId="17" fillId="0" borderId="6" xfId="8" applyNumberFormat="1" applyFont="1" applyBorder="1" applyAlignment="1">
      <alignment horizontal="center"/>
    </xf>
    <xf numFmtId="2" fontId="6" fillId="0" borderId="6" xfId="7" applyNumberFormat="1" applyFont="1" applyBorder="1" applyAlignment="1">
      <alignment horizontal="center"/>
    </xf>
    <xf numFmtId="164" fontId="6" fillId="0" borderId="6" xfId="8" applyNumberFormat="1" applyFont="1" applyBorder="1" applyAlignment="1">
      <alignment horizontal="center"/>
    </xf>
    <xf numFmtId="0" fontId="7" fillId="0" borderId="6" xfId="0" applyFont="1" applyBorder="1"/>
    <xf numFmtId="166" fontId="0" fillId="0" borderId="6" xfId="4" applyNumberFormat="1" applyFont="1" applyBorder="1"/>
    <xf numFmtId="166" fontId="0" fillId="0" borderId="6" xfId="0" applyNumberFormat="1" applyBorder="1"/>
    <xf numFmtId="44" fontId="0" fillId="0" borderId="6" xfId="5" applyFont="1" applyBorder="1"/>
    <xf numFmtId="0" fontId="0" fillId="4" borderId="6" xfId="0" applyFill="1" applyBorder="1" applyAlignment="1">
      <alignment horizontal="center"/>
    </xf>
    <xf numFmtId="0" fontId="0" fillId="4" borderId="0" xfId="0" applyFill="1" applyAlignment="1">
      <alignment horizontal="center"/>
    </xf>
    <xf numFmtId="166" fontId="18" fillId="4" borderId="6" xfId="4" applyNumberFormat="1" applyFont="1" applyFill="1" applyBorder="1" applyAlignment="1">
      <alignment horizontal="center"/>
    </xf>
    <xf numFmtId="9" fontId="18" fillId="4" borderId="6" xfId="10" applyFont="1" applyFill="1" applyBorder="1" applyAlignment="1">
      <alignment horizontal="center"/>
    </xf>
    <xf numFmtId="167" fontId="0" fillId="4" borderId="6" xfId="0" applyNumberFormat="1" applyFill="1" applyBorder="1" applyAlignment="1">
      <alignment horizontal="center"/>
    </xf>
    <xf numFmtId="166" fontId="0" fillId="4" borderId="6" xfId="0" applyNumberFormat="1" applyFill="1" applyBorder="1" applyAlignment="1">
      <alignment horizontal="center"/>
    </xf>
    <xf numFmtId="9" fontId="0" fillId="4" borderId="6" xfId="0" applyNumberFormat="1" applyFill="1" applyBorder="1" applyAlignment="1">
      <alignment horizontal="center"/>
    </xf>
    <xf numFmtId="166" fontId="18" fillId="4" borderId="4" xfId="4" applyNumberFormat="1" applyFont="1" applyFill="1" applyBorder="1" applyAlignment="1">
      <alignment horizontal="center"/>
    </xf>
    <xf numFmtId="9" fontId="18" fillId="4" borderId="4" xfId="10" applyFont="1" applyFill="1" applyBorder="1" applyAlignment="1">
      <alignment horizontal="center"/>
    </xf>
    <xf numFmtId="167" fontId="0" fillId="4" borderId="4" xfId="0" applyNumberFormat="1" applyFill="1" applyBorder="1" applyAlignment="1">
      <alignment horizontal="center"/>
    </xf>
    <xf numFmtId="166" fontId="11" fillId="4" borderId="4" xfId="4" applyNumberFormat="1" applyFont="1" applyFill="1" applyBorder="1" applyAlignment="1">
      <alignment horizontal="center"/>
    </xf>
    <xf numFmtId="166" fontId="0" fillId="4" borderId="4" xfId="0" applyNumberFormat="1" applyFill="1" applyBorder="1" applyAlignment="1">
      <alignment horizontal="center"/>
    </xf>
    <xf numFmtId="9" fontId="0" fillId="4" borderId="4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6" xfId="0" applyFont="1" applyBorder="1" applyAlignment="1">
      <alignment horizontal="center"/>
    </xf>
    <xf numFmtId="166" fontId="0" fillId="4" borderId="0" xfId="0" applyNumberFormat="1" applyFill="1" applyBorder="1" applyAlignment="1">
      <alignment horizontal="center"/>
    </xf>
    <xf numFmtId="0" fontId="0" fillId="4" borderId="6" xfId="0" applyFill="1" applyBorder="1"/>
    <xf numFmtId="0" fontId="7" fillId="4" borderId="6" xfId="0" applyFont="1" applyFill="1" applyBorder="1" applyAlignment="1">
      <alignment horizontal="center"/>
    </xf>
    <xf numFmtId="168" fontId="18" fillId="4" borderId="6" xfId="5" applyNumberFormat="1" applyFont="1" applyFill="1" applyBorder="1" applyAlignment="1">
      <alignment horizontal="center"/>
    </xf>
    <xf numFmtId="168" fontId="18" fillId="4" borderId="6" xfId="5" applyNumberFormat="1" applyFont="1" applyFill="1" applyBorder="1"/>
    <xf numFmtId="168" fontId="7" fillId="4" borderId="6" xfId="5" applyNumberFormat="1" applyFont="1" applyFill="1" applyBorder="1" applyAlignment="1">
      <alignment horizontal="center"/>
    </xf>
    <xf numFmtId="0" fontId="0" fillId="4" borderId="0" xfId="0" applyFill="1"/>
    <xf numFmtId="0" fontId="7" fillId="4" borderId="6" xfId="0" applyFont="1" applyFill="1" applyBorder="1"/>
    <xf numFmtId="166" fontId="0" fillId="0" borderId="6" xfId="4" applyNumberFormat="1" applyFont="1" applyFill="1" applyBorder="1" applyAlignment="1">
      <alignment horizontal="center"/>
    </xf>
    <xf numFmtId="10" fontId="18" fillId="4" borderId="4" xfId="10" applyNumberFormat="1" applyFont="1" applyFill="1" applyBorder="1" applyAlignment="1">
      <alignment horizontal="center"/>
    </xf>
    <xf numFmtId="10" fontId="18" fillId="4" borderId="6" xfId="10" applyNumberFormat="1" applyFont="1" applyFill="1" applyBorder="1" applyAlignment="1">
      <alignment horizontal="center"/>
    </xf>
    <xf numFmtId="43" fontId="0" fillId="0" borderId="6" xfId="4" applyFont="1" applyBorder="1"/>
    <xf numFmtId="43" fontId="0" fillId="0" borderId="0" xfId="4" applyFont="1"/>
    <xf numFmtId="43" fontId="0" fillId="0" borderId="6" xfId="4" applyFont="1" applyFill="1" applyBorder="1" applyAlignment="1">
      <alignment horizontal="center"/>
    </xf>
    <xf numFmtId="0" fontId="6" fillId="6" borderId="10" xfId="0" applyFont="1" applyFill="1" applyBorder="1"/>
    <xf numFmtId="0" fontId="6" fillId="6" borderId="11" xfId="0" applyFont="1" applyFill="1" applyBorder="1"/>
    <xf numFmtId="0" fontId="7" fillId="0" borderId="5" xfId="0" applyFont="1" applyBorder="1"/>
    <xf numFmtId="43" fontId="0" fillId="0" borderId="8" xfId="4" applyFont="1" applyBorder="1"/>
    <xf numFmtId="43" fontId="0" fillId="7" borderId="12" xfId="4" applyFont="1" applyFill="1" applyBorder="1"/>
    <xf numFmtId="43" fontId="0" fillId="7" borderId="13" xfId="4" applyFont="1" applyFill="1" applyBorder="1"/>
    <xf numFmtId="43" fontId="0" fillId="7" borderId="14" xfId="4" applyFont="1" applyFill="1" applyBorder="1"/>
    <xf numFmtId="43" fontId="0" fillId="0" borderId="9" xfId="4" applyFont="1" applyBorder="1"/>
    <xf numFmtId="43" fontId="0" fillId="0" borderId="7" xfId="4" applyFont="1" applyBorder="1"/>
    <xf numFmtId="0" fontId="7" fillId="0" borderId="0" xfId="0" applyFont="1" applyAlignment="1">
      <alignment horizontal="left" wrapText="1"/>
    </xf>
    <xf numFmtId="166" fontId="7" fillId="0" borderId="6" xfId="4" applyNumberFormat="1" applyFont="1" applyFill="1" applyBorder="1" applyAlignment="1">
      <alignment horizontal="center"/>
    </xf>
    <xf numFmtId="166" fontId="0" fillId="0" borderId="6" xfId="4" applyNumberFormat="1" applyFont="1" applyFill="1" applyBorder="1"/>
    <xf numFmtId="0" fontId="7" fillId="0" borderId="6" xfId="0" applyFont="1" applyBorder="1" applyAlignment="1">
      <alignment horizontal="left"/>
    </xf>
    <xf numFmtId="168" fontId="18" fillId="4" borderId="7" xfId="5" applyNumberFormat="1" applyFont="1" applyFill="1" applyBorder="1"/>
    <xf numFmtId="168" fontId="18" fillId="4" borderId="8" xfId="5" applyNumberFormat="1" applyFont="1" applyFill="1" applyBorder="1"/>
    <xf numFmtId="168" fontId="18" fillId="7" borderId="12" xfId="5" applyNumberFormat="1" applyFont="1" applyFill="1" applyBorder="1"/>
    <xf numFmtId="168" fontId="18" fillId="7" borderId="13" xfId="5" applyNumberFormat="1" applyFont="1" applyFill="1" applyBorder="1"/>
    <xf numFmtId="168" fontId="18" fillId="7" borderId="14" xfId="5" applyNumberFormat="1" applyFont="1" applyFill="1" applyBorder="1"/>
    <xf numFmtId="168" fontId="18" fillId="4" borderId="7" xfId="5" applyNumberFormat="1" applyFont="1" applyFill="1" applyBorder="1" applyAlignment="1">
      <alignment horizontal="center"/>
    </xf>
    <xf numFmtId="44" fontId="7" fillId="0" borderId="6" xfId="5" applyFont="1" applyBorder="1"/>
    <xf numFmtId="38" fontId="7" fillId="0" borderId="0" xfId="0" applyNumberFormat="1" applyFont="1"/>
    <xf numFmtId="0" fontId="6" fillId="0" borderId="5" xfId="0" applyFont="1" applyBorder="1"/>
    <xf numFmtId="43" fontId="0" fillId="8" borderId="12" xfId="4" applyFont="1" applyFill="1" applyBorder="1"/>
    <xf numFmtId="43" fontId="0" fillId="8" borderId="13" xfId="4" applyFont="1" applyFill="1" applyBorder="1"/>
    <xf numFmtId="43" fontId="0" fillId="8" borderId="14" xfId="4" applyFont="1" applyFill="1" applyBorder="1"/>
    <xf numFmtId="0" fontId="18" fillId="4" borderId="6" xfId="5" applyNumberFormat="1" applyFont="1" applyFill="1" applyBorder="1" applyAlignment="1">
      <alignment horizontal="center"/>
    </xf>
    <xf numFmtId="44" fontId="0" fillId="0" borderId="7" xfId="5" applyFont="1" applyBorder="1"/>
    <xf numFmtId="44" fontId="7" fillId="0" borderId="7" xfId="5" applyFont="1" applyBorder="1"/>
    <xf numFmtId="43" fontId="0" fillId="0" borderId="8" xfId="4" applyFont="1" applyFill="1" applyBorder="1" applyAlignment="1">
      <alignment horizontal="center"/>
    </xf>
    <xf numFmtId="166" fontId="0" fillId="8" borderId="12" xfId="4" applyNumberFormat="1" applyFont="1" applyFill="1" applyBorder="1" applyAlignment="1">
      <alignment horizontal="center"/>
    </xf>
    <xf numFmtId="166" fontId="0" fillId="8" borderId="13" xfId="4" applyNumberFormat="1" applyFont="1" applyFill="1" applyBorder="1" applyAlignment="1">
      <alignment horizontal="center"/>
    </xf>
    <xf numFmtId="166" fontId="0" fillId="8" borderId="14" xfId="4" applyNumberFormat="1" applyFont="1" applyFill="1" applyBorder="1" applyAlignment="1">
      <alignment horizontal="center"/>
    </xf>
    <xf numFmtId="9" fontId="0" fillId="0" borderId="7" xfId="0" applyNumberFormat="1" applyBorder="1" applyAlignment="1">
      <alignment horizontal="center"/>
    </xf>
    <xf numFmtId="43" fontId="0" fillId="0" borderId="9" xfId="4" applyFont="1" applyFill="1" applyBorder="1" applyAlignment="1">
      <alignment horizontal="center"/>
    </xf>
    <xf numFmtId="169" fontId="6" fillId="9" borderId="12" xfId="0" applyNumberFormat="1" applyFont="1" applyFill="1" applyBorder="1"/>
    <xf numFmtId="169" fontId="6" fillId="9" borderId="13" xfId="0" applyNumberFormat="1" applyFont="1" applyFill="1" applyBorder="1"/>
    <xf numFmtId="169" fontId="6" fillId="9" borderId="14" xfId="0" applyNumberFormat="1" applyFont="1" applyFill="1" applyBorder="1"/>
    <xf numFmtId="44" fontId="6" fillId="8" borderId="12" xfId="5" applyFont="1" applyFill="1" applyBorder="1"/>
    <xf numFmtId="44" fontId="6" fillId="8" borderId="13" xfId="5" applyFont="1" applyFill="1" applyBorder="1"/>
    <xf numFmtId="44" fontId="6" fillId="8" borderId="14" xfId="5" applyFont="1" applyFill="1" applyBorder="1"/>
    <xf numFmtId="166" fontId="18" fillId="0" borderId="6" xfId="4" applyNumberFormat="1" applyFont="1" applyFill="1" applyBorder="1"/>
    <xf numFmtId="166" fontId="6" fillId="9" borderId="12" xfId="4" applyNumberFormat="1" applyFont="1" applyFill="1" applyBorder="1" applyAlignment="1">
      <alignment horizontal="center"/>
    </xf>
    <xf numFmtId="166" fontId="6" fillId="9" borderId="13" xfId="4" applyNumberFormat="1" applyFont="1" applyFill="1" applyBorder="1" applyAlignment="1">
      <alignment horizontal="center"/>
    </xf>
    <xf numFmtId="166" fontId="6" fillId="9" borderId="14" xfId="4" applyNumberFormat="1" applyFont="1" applyFill="1" applyBorder="1" applyAlignment="1">
      <alignment horizontal="center"/>
    </xf>
    <xf numFmtId="43" fontId="0" fillId="0" borderId="2" xfId="4" applyFont="1" applyFill="1" applyBorder="1" applyAlignment="1">
      <alignment horizontal="center"/>
    </xf>
    <xf numFmtId="0" fontId="7" fillId="0" borderId="0" xfId="0" applyFont="1" applyBorder="1"/>
    <xf numFmtId="168" fontId="6" fillId="8" borderId="12" xfId="5" applyNumberFormat="1" applyFont="1" applyFill="1" applyBorder="1" applyAlignment="1">
      <alignment horizontal="center"/>
    </xf>
    <xf numFmtId="168" fontId="6" fillId="8" borderId="13" xfId="5" applyNumberFormat="1" applyFont="1" applyFill="1" applyBorder="1" applyAlignment="1">
      <alignment horizontal="center"/>
    </xf>
    <xf numFmtId="168" fontId="6" fillId="8" borderId="14" xfId="5" applyNumberFormat="1" applyFont="1" applyFill="1" applyBorder="1" applyAlignment="1">
      <alignment horizontal="center"/>
    </xf>
    <xf numFmtId="170" fontId="0" fillId="9" borderId="12" xfId="0" applyNumberFormat="1" applyFill="1" applyBorder="1" applyAlignment="1">
      <alignment horizontal="center"/>
    </xf>
    <xf numFmtId="170" fontId="0" fillId="9" borderId="13" xfId="0" applyNumberFormat="1" applyFill="1" applyBorder="1" applyAlignment="1">
      <alignment horizontal="center"/>
    </xf>
    <xf numFmtId="170" fontId="0" fillId="9" borderId="14" xfId="0" applyNumberForma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7" fillId="0" borderId="7" xfId="0" applyFont="1" applyBorder="1" applyAlignment="1">
      <alignment horizontal="center"/>
    </xf>
    <xf numFmtId="165" fontId="0" fillId="0" borderId="8" xfId="0" applyNumberFormat="1" applyFill="1" applyBorder="1" applyAlignment="1">
      <alignment horizontal="center"/>
    </xf>
    <xf numFmtId="0" fontId="0" fillId="0" borderId="8" xfId="0" applyFill="1" applyBorder="1"/>
    <xf numFmtId="9" fontId="0" fillId="7" borderId="12" xfId="0" applyNumberFormat="1" applyFill="1" applyBorder="1" applyAlignment="1">
      <alignment horizontal="center"/>
    </xf>
    <xf numFmtId="9" fontId="0" fillId="7" borderId="13" xfId="0" applyNumberFormat="1" applyFill="1" applyBorder="1" applyAlignment="1">
      <alignment horizontal="center"/>
    </xf>
    <xf numFmtId="9" fontId="0" fillId="7" borderId="14" xfId="0" applyNumberFormat="1" applyFill="1" applyBorder="1" applyAlignment="1">
      <alignment horizontal="center"/>
    </xf>
    <xf numFmtId="0" fontId="0" fillId="4" borderId="5" xfId="0" applyFill="1" applyBorder="1"/>
    <xf numFmtId="0" fontId="0" fillId="4" borderId="7" xfId="0" applyFill="1" applyBorder="1" applyAlignment="1">
      <alignment horizontal="center"/>
    </xf>
    <xf numFmtId="166" fontId="18" fillId="4" borderId="7" xfId="4" applyNumberFormat="1" applyFont="1" applyFill="1" applyBorder="1" applyAlignment="1">
      <alignment horizontal="center"/>
    </xf>
    <xf numFmtId="168" fontId="18" fillId="4" borderId="8" xfId="5" applyNumberFormat="1" applyFont="1" applyFill="1" applyBorder="1" applyAlignment="1">
      <alignment horizontal="center"/>
    </xf>
    <xf numFmtId="168" fontId="18" fillId="7" borderId="13" xfId="5" applyNumberFormat="1" applyFont="1" applyFill="1" applyBorder="1" applyAlignment="1">
      <alignment horizontal="center"/>
    </xf>
    <xf numFmtId="168" fontId="18" fillId="7" borderId="14" xfId="5" applyNumberFormat="1" applyFont="1" applyFill="1" applyBorder="1" applyAlignment="1">
      <alignment horizontal="center"/>
    </xf>
    <xf numFmtId="169" fontId="6" fillId="9" borderId="12" xfId="4" applyNumberFormat="1" applyFont="1" applyFill="1" applyBorder="1" applyAlignment="1">
      <alignment horizontal="center"/>
    </xf>
    <xf numFmtId="169" fontId="6" fillId="9" borderId="13" xfId="4" applyNumberFormat="1" applyFont="1" applyFill="1" applyBorder="1" applyAlignment="1">
      <alignment horizontal="center"/>
    </xf>
    <xf numFmtId="169" fontId="6" fillId="9" borderId="14" xfId="4" applyNumberFormat="1" applyFont="1" applyFill="1" applyBorder="1" applyAlignment="1">
      <alignment horizontal="center"/>
    </xf>
    <xf numFmtId="43" fontId="7" fillId="8" borderId="12" xfId="4" applyFont="1" applyFill="1" applyBorder="1"/>
    <xf numFmtId="43" fontId="7" fillId="8" borderId="13" xfId="4" applyFont="1" applyFill="1" applyBorder="1"/>
    <xf numFmtId="43" fontId="7" fillId="8" borderId="14" xfId="4" applyFont="1" applyFill="1" applyBorder="1"/>
    <xf numFmtId="43" fontId="6" fillId="9" borderId="12" xfId="4" applyFont="1" applyFill="1" applyBorder="1"/>
    <xf numFmtId="43" fontId="6" fillId="9" borderId="13" xfId="4" applyFont="1" applyFill="1" applyBorder="1"/>
    <xf numFmtId="43" fontId="6" fillId="9" borderId="14" xfId="4" applyFont="1" applyFill="1" applyBorder="1"/>
    <xf numFmtId="0" fontId="0" fillId="0" borderId="7" xfId="0" applyBorder="1"/>
    <xf numFmtId="9" fontId="18" fillId="4" borderId="7" xfId="10" applyFont="1" applyFill="1" applyBorder="1" applyAlignment="1">
      <alignment horizontal="center"/>
    </xf>
    <xf numFmtId="0" fontId="0" fillId="0" borderId="8" xfId="0" applyBorder="1"/>
    <xf numFmtId="9" fontId="18" fillId="4" borderId="3" xfId="10" applyFont="1" applyFill="1" applyBorder="1" applyAlignment="1">
      <alignment horizontal="center"/>
    </xf>
    <xf numFmtId="9" fontId="18" fillId="4" borderId="8" xfId="10" applyFont="1" applyFill="1" applyBorder="1" applyAlignment="1">
      <alignment horizontal="center"/>
    </xf>
    <xf numFmtId="168" fontId="18" fillId="0" borderId="6" xfId="5" applyNumberFormat="1" applyFont="1" applyFill="1" applyBorder="1"/>
    <xf numFmtId="168" fontId="18" fillId="0" borderId="7" xfId="5" applyNumberFormat="1" applyFont="1" applyFill="1" applyBorder="1"/>
    <xf numFmtId="9" fontId="18" fillId="4" borderId="1" xfId="1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9" fontId="18" fillId="4" borderId="0" xfId="10" applyFont="1" applyFill="1" applyBorder="1" applyAlignment="1">
      <alignment horizontal="center"/>
    </xf>
    <xf numFmtId="9" fontId="18" fillId="4" borderId="9" xfId="10" applyFont="1" applyFill="1" applyBorder="1" applyAlignment="1">
      <alignment horizontal="center"/>
    </xf>
    <xf numFmtId="167" fontId="0" fillId="4" borderId="0" xfId="0" applyNumberFormat="1" applyFill="1" applyBorder="1" applyAlignment="1">
      <alignment horizontal="center"/>
    </xf>
    <xf numFmtId="0" fontId="6" fillId="9" borderId="12" xfId="0" applyFont="1" applyFill="1" applyBorder="1"/>
    <xf numFmtId="166" fontId="6" fillId="9" borderId="15" xfId="4" applyNumberFormat="1" applyFont="1" applyFill="1" applyBorder="1" applyAlignment="1">
      <alignment horizontal="center"/>
    </xf>
    <xf numFmtId="166" fontId="6" fillId="9" borderId="11" xfId="4" applyNumberFormat="1" applyFont="1" applyFill="1" applyBorder="1" applyAlignment="1">
      <alignment horizontal="center"/>
    </xf>
    <xf numFmtId="0" fontId="6" fillId="5" borderId="12" xfId="0" applyFont="1" applyFill="1" applyBorder="1"/>
    <xf numFmtId="0" fontId="6" fillId="5" borderId="13" xfId="0" applyFont="1" applyFill="1" applyBorder="1"/>
    <xf numFmtId="166" fontId="6" fillId="5" borderId="15" xfId="4" applyNumberFormat="1" applyFont="1" applyFill="1" applyBorder="1" applyAlignment="1">
      <alignment horizontal="center"/>
    </xf>
    <xf numFmtId="166" fontId="6" fillId="5" borderId="11" xfId="4" applyNumberFormat="1" applyFont="1" applyFill="1" applyBorder="1" applyAlignment="1">
      <alignment horizontal="center"/>
    </xf>
    <xf numFmtId="0" fontId="6" fillId="5" borderId="10" xfId="0" applyFont="1" applyFill="1" applyBorder="1"/>
    <xf numFmtId="0" fontId="6" fillId="5" borderId="16" xfId="0" applyFont="1" applyFill="1" applyBorder="1"/>
    <xf numFmtId="166" fontId="6" fillId="5" borderId="16" xfId="4" applyNumberFormat="1" applyFont="1" applyFill="1" applyBorder="1" applyAlignment="1">
      <alignment horizontal="center"/>
    </xf>
    <xf numFmtId="170" fontId="6" fillId="9" borderId="12" xfId="0" applyNumberFormat="1" applyFont="1" applyFill="1" applyBorder="1" applyAlignment="1">
      <alignment horizontal="center"/>
    </xf>
    <xf numFmtId="170" fontId="6" fillId="9" borderId="13" xfId="0" applyNumberFormat="1" applyFont="1" applyFill="1" applyBorder="1" applyAlignment="1">
      <alignment horizontal="center"/>
    </xf>
    <xf numFmtId="170" fontId="6" fillId="9" borderId="14" xfId="0" applyNumberFormat="1" applyFont="1" applyFill="1" applyBorder="1" applyAlignment="1">
      <alignment horizontal="center"/>
    </xf>
    <xf numFmtId="168" fontId="0" fillId="0" borderId="0" xfId="0" applyNumberFormat="1"/>
    <xf numFmtId="10" fontId="0" fillId="0" borderId="0" xfId="10" applyNumberFormat="1" applyFont="1" applyAlignment="1">
      <alignment horizontal="center"/>
    </xf>
    <xf numFmtId="0" fontId="14" fillId="0" borderId="0" xfId="0" applyFont="1"/>
    <xf numFmtId="0" fontId="1" fillId="0" borderId="6" xfId="0" applyFont="1" applyBorder="1"/>
    <xf numFmtId="0" fontId="1" fillId="4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2" fontId="1" fillId="0" borderId="6" xfId="7" applyNumberFormat="1" applyFont="1" applyBorder="1" applyAlignment="1">
      <alignment horizontal="center"/>
    </xf>
    <xf numFmtId="10" fontId="1" fillId="0" borderId="6" xfId="7" applyNumberFormat="1" applyFont="1" applyBorder="1" applyAlignment="1">
      <alignment horizontal="center"/>
    </xf>
    <xf numFmtId="10" fontId="0" fillId="10" borderId="6" xfId="0" applyNumberFormat="1" applyFill="1" applyBorder="1" applyAlignment="1">
      <alignment horizontal="center"/>
    </xf>
    <xf numFmtId="43" fontId="0" fillId="10" borderId="6" xfId="4" applyNumberFormat="1" applyFont="1" applyFill="1" applyBorder="1" applyAlignment="1">
      <alignment horizontal="center" vertical="center"/>
    </xf>
    <xf numFmtId="9" fontId="0" fillId="10" borderId="6" xfId="0" applyNumberFormat="1" applyFill="1" applyBorder="1" applyAlignment="1">
      <alignment horizontal="center"/>
    </xf>
    <xf numFmtId="2" fontId="4" fillId="10" borderId="6" xfId="0" applyNumberFormat="1" applyFont="1" applyFill="1" applyBorder="1" applyAlignment="1">
      <alignment horizontal="center"/>
    </xf>
    <xf numFmtId="0" fontId="1" fillId="10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6" xfId="7" applyFont="1" applyBorder="1"/>
    <xf numFmtId="0" fontId="1" fillId="0" borderId="6" xfId="7" applyFont="1" applyFill="1" applyBorder="1"/>
    <xf numFmtId="2" fontId="1" fillId="10" borderId="6" xfId="7" applyNumberFormat="1" applyFont="1" applyFill="1" applyBorder="1" applyAlignment="1">
      <alignment horizontal="center"/>
    </xf>
    <xf numFmtId="10" fontId="1" fillId="10" borderId="6" xfId="7" applyNumberFormat="1" applyFont="1" applyFill="1" applyBorder="1" applyAlignment="1">
      <alignment horizontal="center"/>
    </xf>
    <xf numFmtId="10" fontId="1" fillId="10" borderId="6" xfId="8" applyNumberFormat="1" applyFont="1" applyFill="1" applyBorder="1" applyAlignment="1">
      <alignment horizontal="center"/>
    </xf>
    <xf numFmtId="164" fontId="1" fillId="10" borderId="6" xfId="8" applyNumberFormat="1" applyFont="1" applyFill="1" applyBorder="1" applyAlignment="1">
      <alignment horizontal="center"/>
    </xf>
    <xf numFmtId="2" fontId="1" fillId="0" borderId="6" xfId="7" applyNumberFormat="1" applyFont="1" applyFill="1" applyBorder="1" applyAlignment="1">
      <alignment horizontal="center"/>
    </xf>
    <xf numFmtId="10" fontId="1" fillId="0" borderId="6" xfId="7" applyNumberFormat="1" applyFont="1" applyFill="1" applyBorder="1" applyAlignment="1">
      <alignment horizontal="center"/>
    </xf>
    <xf numFmtId="10" fontId="1" fillId="0" borderId="6" xfId="8" applyNumberFormat="1" applyFont="1" applyFill="1" applyBorder="1" applyAlignment="1">
      <alignment horizontal="center"/>
    </xf>
    <xf numFmtId="164" fontId="1" fillId="0" borderId="6" xfId="8" applyNumberFormat="1" applyFont="1" applyFill="1" applyBorder="1" applyAlignment="1">
      <alignment horizontal="center"/>
    </xf>
    <xf numFmtId="9" fontId="1" fillId="10" borderId="0" xfId="10" applyFont="1" applyFill="1" applyAlignment="1">
      <alignment horizontal="center"/>
    </xf>
    <xf numFmtId="0" fontId="1" fillId="0" borderId="5" xfId="0" applyFont="1" applyBorder="1"/>
    <xf numFmtId="43" fontId="0" fillId="0" borderId="12" xfId="4" applyFont="1" applyFill="1" applyBorder="1"/>
    <xf numFmtId="43" fontId="0" fillId="0" borderId="13" xfId="4" applyFont="1" applyFill="1" applyBorder="1"/>
    <xf numFmtId="43" fontId="0" fillId="0" borderId="14" xfId="4" applyFont="1" applyFill="1" applyBorder="1"/>
    <xf numFmtId="0" fontId="1" fillId="0" borderId="0" xfId="0" applyFont="1" applyAlignment="1">
      <alignment horizontal="left" wrapText="1"/>
    </xf>
    <xf numFmtId="0" fontId="6" fillId="9" borderId="17" xfId="0" applyFont="1" applyFill="1" applyBorder="1"/>
    <xf numFmtId="0" fontId="6" fillId="5" borderId="18" xfId="0" applyFont="1" applyFill="1" applyBorder="1"/>
    <xf numFmtId="166" fontId="1" fillId="0" borderId="6" xfId="0" applyNumberFormat="1" applyFont="1" applyBorder="1"/>
    <xf numFmtId="0" fontId="6" fillId="0" borderId="0" xfId="0" applyFont="1" applyFill="1" applyBorder="1"/>
    <xf numFmtId="0" fontId="1" fillId="4" borderId="6" xfId="0" applyFont="1" applyFill="1" applyBorder="1"/>
    <xf numFmtId="166" fontId="0" fillId="0" borderId="6" xfId="0" applyNumberFormat="1" applyFill="1" applyBorder="1" applyAlignment="1">
      <alignment horizontal="center"/>
    </xf>
    <xf numFmtId="9" fontId="0" fillId="0" borderId="6" xfId="0" applyNumberFormat="1" applyFill="1" applyBorder="1" applyAlignment="1">
      <alignment horizontal="center"/>
    </xf>
    <xf numFmtId="9" fontId="0" fillId="0" borderId="6" xfId="10" applyFont="1" applyFill="1" applyBorder="1" applyAlignment="1">
      <alignment horizontal="center"/>
    </xf>
    <xf numFmtId="43" fontId="0" fillId="0" borderId="6" xfId="0" applyNumberFormat="1" applyFill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6" fontId="1" fillId="0" borderId="0" xfId="0" applyNumberFormat="1" applyFont="1" applyBorder="1"/>
    <xf numFmtId="9" fontId="0" fillId="0" borderId="0" xfId="10" applyFont="1" applyBorder="1"/>
    <xf numFmtId="0" fontId="1" fillId="0" borderId="0" xfId="0" applyFont="1" applyFill="1" applyBorder="1"/>
    <xf numFmtId="9" fontId="0" fillId="0" borderId="0" xfId="0" applyNumberFormat="1"/>
    <xf numFmtId="0" fontId="0" fillId="11" borderId="6" xfId="0" applyFill="1" applyBorder="1"/>
    <xf numFmtId="166" fontId="0" fillId="11" borderId="4" xfId="0" applyNumberFormat="1" applyFill="1" applyBorder="1" applyAlignment="1">
      <alignment horizontal="center"/>
    </xf>
    <xf numFmtId="166" fontId="0" fillId="11" borderId="6" xfId="0" applyNumberFormat="1" applyFill="1" applyBorder="1" applyAlignment="1">
      <alignment horizontal="center"/>
    </xf>
    <xf numFmtId="166" fontId="0" fillId="11" borderId="4" xfId="0" applyNumberFormat="1" applyFill="1" applyBorder="1"/>
    <xf numFmtId="166" fontId="0" fillId="11" borderId="6" xfId="0" applyNumberFormat="1" applyFill="1" applyBorder="1"/>
  </cellXfs>
  <cellStyles count="13">
    <cellStyle name="ColumnHeaderNormal" xfId="1"/>
    <cellStyle name="Comma" xfId="4" builtinId="3"/>
    <cellStyle name="Currency" xfId="5" builtinId="4"/>
    <cellStyle name="Hipervínculo 2" xfId="12"/>
    <cellStyle name="Hyperlink 2" xfId="2"/>
    <cellStyle name="Hyperlink 3" xfId="3"/>
    <cellStyle name="Normal" xfId="0" builtinId="0"/>
    <cellStyle name="Normal 2" xfId="6"/>
    <cellStyle name="Normal 3" xfId="7"/>
    <cellStyle name="Percent" xfId="10" builtinId="5"/>
    <cellStyle name="Percent 2" xfId="8"/>
    <cellStyle name="Percent 3" xfId="9"/>
    <cellStyle name="TextNormal" xfId="11"/>
  </cellStyles>
  <dxfs count="0"/>
  <tableStyles count="0" defaultTableStyle="TableStyleMedium9" defaultPivotStyle="PivotStyleLight16"/>
  <colors>
    <mruColors>
      <color rgb="FF4EE739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tebookCyE/Downloads/Trabajo%20Final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bout"/>
      <sheetName val="Goals &amp; Decision Table"/>
      <sheetName val="CB_DATA_"/>
      <sheetName val="Venture Valuation US"/>
      <sheetName val="Venture Valuation Spain"/>
      <sheetName val="Valuation Parameters US"/>
      <sheetName val="Tax Rates"/>
      <sheetName val="Std De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Afghanistan</v>
          </cell>
        </row>
        <row r="5">
          <cell r="B5" t="str">
            <v>Albania</v>
          </cell>
        </row>
        <row r="6">
          <cell r="B6" t="str">
            <v>Angola</v>
          </cell>
        </row>
        <row r="7">
          <cell r="B7" t="str">
            <v>Argentina</v>
          </cell>
        </row>
        <row r="8">
          <cell r="B8" t="str">
            <v>Armenia</v>
          </cell>
        </row>
        <row r="9">
          <cell r="B9" t="str">
            <v>Aruba</v>
          </cell>
        </row>
        <row r="10">
          <cell r="B10" t="str">
            <v>Australia</v>
          </cell>
        </row>
        <row r="11">
          <cell r="B11" t="str">
            <v>Austria</v>
          </cell>
        </row>
        <row r="12">
          <cell r="B12" t="str">
            <v>Bahamas</v>
          </cell>
        </row>
        <row r="13">
          <cell r="B13" t="str">
            <v>Bahrain</v>
          </cell>
        </row>
        <row r="14">
          <cell r="B14" t="str">
            <v>Bangladesh</v>
          </cell>
        </row>
        <row r="15">
          <cell r="B15" t="str">
            <v>Barbados</v>
          </cell>
        </row>
        <row r="16">
          <cell r="B16" t="str">
            <v>Belarus</v>
          </cell>
        </row>
        <row r="17">
          <cell r="B17" t="str">
            <v>Belgium</v>
          </cell>
        </row>
        <row r="18">
          <cell r="B18" t="str">
            <v>Bermuda</v>
          </cell>
        </row>
        <row r="19">
          <cell r="B19" t="str">
            <v>Bolivia</v>
          </cell>
        </row>
        <row r="20">
          <cell r="B20" t="str">
            <v>Bosnia &amp; Herzogovina</v>
          </cell>
        </row>
        <row r="21">
          <cell r="B21" t="str">
            <v>Botswana</v>
          </cell>
        </row>
        <row r="22">
          <cell r="B22" t="str">
            <v>Brazil</v>
          </cell>
        </row>
        <row r="23">
          <cell r="B23" t="str">
            <v>Bulgaria</v>
          </cell>
        </row>
        <row r="24">
          <cell r="B24" t="str">
            <v>Canada</v>
          </cell>
        </row>
        <row r="25">
          <cell r="B25" t="str">
            <v>Cayman Islands</v>
          </cell>
        </row>
        <row r="26">
          <cell r="B26" t="str">
            <v>Chile</v>
          </cell>
        </row>
        <row r="27">
          <cell r="B27" t="str">
            <v>China</v>
          </cell>
        </row>
        <row r="28">
          <cell r="B28" t="str">
            <v>Colombia</v>
          </cell>
        </row>
        <row r="29">
          <cell r="B29" t="str">
            <v>Costa Rica</v>
          </cell>
        </row>
        <row r="30">
          <cell r="B30" t="str">
            <v>Croatia</v>
          </cell>
        </row>
        <row r="31">
          <cell r="B31" t="str">
            <v>Cyprus</v>
          </cell>
        </row>
        <row r="32">
          <cell r="B32" t="str">
            <v>Czech Republic</v>
          </cell>
        </row>
        <row r="33">
          <cell r="B33" t="str">
            <v>Denmark</v>
          </cell>
        </row>
        <row r="34">
          <cell r="B34" t="str">
            <v>Dominican Republic</v>
          </cell>
        </row>
        <row r="35">
          <cell r="B35" t="str">
            <v>Ecuador</v>
          </cell>
        </row>
        <row r="36">
          <cell r="B36" t="str">
            <v>Egypt</v>
          </cell>
        </row>
        <row r="37">
          <cell r="B37" t="str">
            <v>Estonia</v>
          </cell>
        </row>
        <row r="38">
          <cell r="B38" t="str">
            <v>Fiji</v>
          </cell>
        </row>
        <row r="39">
          <cell r="B39" t="str">
            <v>Finland</v>
          </cell>
        </row>
        <row r="40">
          <cell r="B40" t="str">
            <v>France</v>
          </cell>
        </row>
        <row r="41">
          <cell r="B41" t="str">
            <v>Germany</v>
          </cell>
        </row>
        <row r="42">
          <cell r="B42" t="str">
            <v>Gibraltar</v>
          </cell>
        </row>
        <row r="43">
          <cell r="B43" t="str">
            <v>Greece</v>
          </cell>
        </row>
        <row r="44">
          <cell r="B44" t="str">
            <v>Guatamela</v>
          </cell>
        </row>
        <row r="45">
          <cell r="B45" t="str">
            <v>Guernsey</v>
          </cell>
        </row>
        <row r="46">
          <cell r="B46" t="str">
            <v>Honduras</v>
          </cell>
        </row>
        <row r="47">
          <cell r="B47" t="str">
            <v>Hong Kong</v>
          </cell>
        </row>
        <row r="48">
          <cell r="B48" t="str">
            <v>Hungary</v>
          </cell>
        </row>
        <row r="49">
          <cell r="B49" t="str">
            <v>Iceland</v>
          </cell>
        </row>
        <row r="50">
          <cell r="B50" t="str">
            <v>India</v>
          </cell>
        </row>
        <row r="51">
          <cell r="B51" t="str">
            <v>Indonesia</v>
          </cell>
        </row>
        <row r="52">
          <cell r="B52" t="str">
            <v>Iran</v>
          </cell>
        </row>
        <row r="53">
          <cell r="B53" t="str">
            <v>Ireland</v>
          </cell>
        </row>
        <row r="54">
          <cell r="B54" t="str">
            <v>Isle of Man</v>
          </cell>
        </row>
        <row r="55">
          <cell r="B55" t="str">
            <v>Israel</v>
          </cell>
        </row>
        <row r="56">
          <cell r="B56" t="str">
            <v>Italy</v>
          </cell>
        </row>
        <row r="57">
          <cell r="B57" t="str">
            <v>Jamaica</v>
          </cell>
        </row>
        <row r="58">
          <cell r="B58" t="str">
            <v>Japan</v>
          </cell>
        </row>
        <row r="59">
          <cell r="B59" t="str">
            <v>Jordan</v>
          </cell>
        </row>
        <row r="60">
          <cell r="B60" t="str">
            <v>Kazakhstan</v>
          </cell>
        </row>
        <row r="61">
          <cell r="B61" t="str">
            <v>Korea,</v>
          </cell>
        </row>
        <row r="62">
          <cell r="B62" t="str">
            <v>Kuwait</v>
          </cell>
        </row>
        <row r="63">
          <cell r="B63" t="str">
            <v>Latvia</v>
          </cell>
        </row>
        <row r="64">
          <cell r="B64" t="str">
            <v>Libya</v>
          </cell>
        </row>
        <row r="65">
          <cell r="B65" t="str">
            <v>Lithuania</v>
          </cell>
        </row>
        <row r="66">
          <cell r="B66" t="str">
            <v>Luxembourg</v>
          </cell>
        </row>
        <row r="67">
          <cell r="B67" t="str">
            <v>Macau</v>
          </cell>
        </row>
        <row r="68">
          <cell r="B68" t="str">
            <v>Macedonia</v>
          </cell>
        </row>
        <row r="69">
          <cell r="B69" t="str">
            <v>Malaysia</v>
          </cell>
        </row>
        <row r="70">
          <cell r="B70" t="str">
            <v>Malta</v>
          </cell>
        </row>
        <row r="71">
          <cell r="B71" t="str">
            <v>Mauritius</v>
          </cell>
        </row>
        <row r="72">
          <cell r="B72" t="str">
            <v>Mexico</v>
          </cell>
        </row>
        <row r="73">
          <cell r="B73" t="str">
            <v>Montenegro</v>
          </cell>
        </row>
        <row r="74">
          <cell r="B74" t="str">
            <v>Mozambique</v>
          </cell>
        </row>
        <row r="75">
          <cell r="B75" t="str">
            <v>Netherlands</v>
          </cell>
        </row>
        <row r="76">
          <cell r="B76" t="str">
            <v>Netherlands Antilles</v>
          </cell>
        </row>
        <row r="77">
          <cell r="B77" t="str">
            <v>New Zealand</v>
          </cell>
        </row>
        <row r="78">
          <cell r="B78" t="str">
            <v>Nigeria</v>
          </cell>
        </row>
        <row r="79">
          <cell r="B79" t="str">
            <v>Norway</v>
          </cell>
        </row>
        <row r="80">
          <cell r="B80" t="str">
            <v>Oman</v>
          </cell>
        </row>
        <row r="81">
          <cell r="B81" t="str">
            <v>Pakistan</v>
          </cell>
        </row>
        <row r="82">
          <cell r="B82" t="str">
            <v>Palestine</v>
          </cell>
        </row>
        <row r="83">
          <cell r="B83" t="str">
            <v>Panama</v>
          </cell>
        </row>
        <row r="84">
          <cell r="B84" t="str">
            <v>Papua New Guinea</v>
          </cell>
        </row>
        <row r="85">
          <cell r="B85" t="str">
            <v>Paraguay</v>
          </cell>
        </row>
        <row r="86">
          <cell r="B86" t="str">
            <v>Peru</v>
          </cell>
        </row>
        <row r="87">
          <cell r="B87" t="str">
            <v>Philippines</v>
          </cell>
        </row>
        <row r="88">
          <cell r="B88" t="str">
            <v>Poland</v>
          </cell>
        </row>
        <row r="89">
          <cell r="B89" t="str">
            <v>Portugal</v>
          </cell>
        </row>
        <row r="90">
          <cell r="B90" t="str">
            <v>Romania</v>
          </cell>
        </row>
        <row r="91">
          <cell r="B91" t="str">
            <v>Russia</v>
          </cell>
        </row>
        <row r="92">
          <cell r="B92" t="str">
            <v>Saudi Arabia</v>
          </cell>
        </row>
        <row r="93">
          <cell r="B93" t="str">
            <v>Singapore</v>
          </cell>
        </row>
        <row r="94">
          <cell r="B94" t="str">
            <v>Slovak Republic</v>
          </cell>
        </row>
        <row r="95">
          <cell r="B95" t="str">
            <v>Slovenia</v>
          </cell>
        </row>
        <row r="96">
          <cell r="B96" t="str">
            <v>South Africa</v>
          </cell>
        </row>
        <row r="97">
          <cell r="B97" t="str">
            <v>Spain</v>
          </cell>
        </row>
        <row r="98">
          <cell r="B98" t="str">
            <v>Sri Lanka</v>
          </cell>
        </row>
        <row r="99">
          <cell r="B99" t="str">
            <v>Sudan</v>
          </cell>
        </row>
        <row r="100">
          <cell r="B100" t="str">
            <v>Sweden</v>
          </cell>
        </row>
        <row r="101">
          <cell r="B101" t="str">
            <v>Switzerland</v>
          </cell>
        </row>
        <row r="102">
          <cell r="B102" t="str">
            <v>Syria</v>
          </cell>
        </row>
        <row r="103">
          <cell r="B103" t="str">
            <v>Taiwan</v>
          </cell>
        </row>
        <row r="104">
          <cell r="B104" t="str">
            <v>Thailand</v>
          </cell>
        </row>
        <row r="105">
          <cell r="B105" t="str">
            <v>Tunisia</v>
          </cell>
        </row>
        <row r="106">
          <cell r="B106" t="str">
            <v>Turkey</v>
          </cell>
        </row>
        <row r="107">
          <cell r="B107" t="str">
            <v>Ukraine</v>
          </cell>
        </row>
        <row r="108">
          <cell r="B108" t="str">
            <v>United Arab Emirates</v>
          </cell>
        </row>
        <row r="109">
          <cell r="B109" t="str">
            <v>UK</v>
          </cell>
        </row>
        <row r="110">
          <cell r="B110" t="str">
            <v>USA</v>
          </cell>
        </row>
        <row r="111">
          <cell r="B111" t="str">
            <v>Uruguay</v>
          </cell>
        </row>
        <row r="112">
          <cell r="B112" t="str">
            <v>Venezuela</v>
          </cell>
        </row>
        <row r="113">
          <cell r="B113" t="str">
            <v>Vietnam</v>
          </cell>
        </row>
        <row r="114">
          <cell r="B114" t="str">
            <v>Yemen</v>
          </cell>
        </row>
        <row r="115">
          <cell r="B115" t="str">
            <v>Zambia</v>
          </cell>
        </row>
        <row r="116">
          <cell r="B116" t="str">
            <v>Zimbabwe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2:W93"/>
  <sheetViews>
    <sheetView showGridLines="0" tabSelected="1" zoomScale="95" zoomScaleNormal="95" workbookViewId="0">
      <selection activeCell="O32" sqref="O32"/>
    </sheetView>
  </sheetViews>
  <sheetFormatPr defaultColWidth="9.140625" defaultRowHeight="12.75"/>
  <cols>
    <col min="2" max="2" width="29.7109375" customWidth="1"/>
    <col min="3" max="3" width="14.85546875" customWidth="1"/>
    <col min="4" max="4" width="12.42578125" style="1" bestFit="1" customWidth="1"/>
    <col min="5" max="5" width="13.7109375" style="1" bestFit="1" customWidth="1"/>
    <col min="6" max="7" width="13.5703125" style="1" bestFit="1" customWidth="1"/>
    <col min="8" max="11" width="12.42578125" style="1" bestFit="1" customWidth="1"/>
    <col min="12" max="12" width="25.140625" customWidth="1"/>
    <col min="13" max="13" width="10.42578125" customWidth="1"/>
    <col min="14" max="14" width="13.85546875" bestFit="1" customWidth="1"/>
    <col min="15" max="15" width="8.7109375" customWidth="1"/>
    <col min="16" max="16" width="9.85546875" customWidth="1"/>
    <col min="17" max="17" width="11.5703125" bestFit="1" customWidth="1"/>
    <col min="18" max="18" width="6.85546875" customWidth="1"/>
    <col min="19" max="19" width="14.85546875" bestFit="1" customWidth="1"/>
    <col min="20" max="20" width="5.28515625" customWidth="1"/>
  </cols>
  <sheetData>
    <row r="2" spans="1:23" s="5" customFormat="1">
      <c r="A2"/>
      <c r="B2" s="5" t="s">
        <v>227</v>
      </c>
      <c r="D2" s="12"/>
      <c r="E2" s="12"/>
      <c r="F2" s="12"/>
      <c r="G2" s="12"/>
      <c r="H2" s="12"/>
      <c r="I2" s="12"/>
      <c r="J2" s="12"/>
      <c r="K2" s="12"/>
      <c r="M2"/>
      <c r="N2"/>
      <c r="O2"/>
      <c r="P2"/>
      <c r="Q2"/>
      <c r="R2"/>
      <c r="S2"/>
      <c r="T2"/>
      <c r="U2"/>
      <c r="V2"/>
    </row>
    <row r="4" spans="1:23">
      <c r="B4" s="23" t="s">
        <v>183</v>
      </c>
      <c r="C4" s="23"/>
    </row>
    <row r="5" spans="1:23" ht="13.5" thickBot="1">
      <c r="C5" s="187" t="s">
        <v>248</v>
      </c>
      <c r="D5" s="67" t="s">
        <v>249</v>
      </c>
      <c r="E5" s="67" t="s">
        <v>250</v>
      </c>
      <c r="F5" s="67" t="s">
        <v>251</v>
      </c>
      <c r="G5" s="67" t="s">
        <v>252</v>
      </c>
      <c r="H5" s="67" t="s">
        <v>253</v>
      </c>
      <c r="I5" s="68" t="s">
        <v>254</v>
      </c>
      <c r="J5" s="68" t="s">
        <v>255</v>
      </c>
      <c r="K5" s="187" t="s">
        <v>256</v>
      </c>
      <c r="L5" s="187" t="s">
        <v>245</v>
      </c>
    </row>
    <row r="6" spans="1:23" ht="13.5" thickBot="1">
      <c r="B6" s="169" t="s">
        <v>257</v>
      </c>
      <c r="C6" s="217"/>
      <c r="D6" s="170">
        <f>'Modelo de Negocio'!C15</f>
        <v>60318.881118881116</v>
      </c>
      <c r="E6" s="170">
        <f>'Modelo de Negocio'!D15</f>
        <v>119196.72472981561</v>
      </c>
      <c r="F6" s="170">
        <f>'Modelo de Negocio'!E15</f>
        <v>219064.20459804652</v>
      </c>
      <c r="G6" s="170">
        <f>'Modelo de Negocio'!F15</f>
        <v>342502.26362125314</v>
      </c>
      <c r="H6" s="170">
        <f>'Modelo de Negocio'!G15</f>
        <v>476736.27908315376</v>
      </c>
      <c r="I6" s="170">
        <f>'Modelo de Negocio'!H15</f>
        <v>666518.51404307259</v>
      </c>
      <c r="J6" s="170">
        <f>'Modelo de Negocio'!I15</f>
        <v>847665.99035323749</v>
      </c>
      <c r="K6" s="171">
        <f>'Modelo de Negocio'!J15</f>
        <v>1069308.7981631465</v>
      </c>
    </row>
    <row r="7" spans="1:23" ht="15.75" thickBot="1">
      <c r="B7" s="192" t="s">
        <v>211</v>
      </c>
      <c r="C7" s="10"/>
      <c r="D7" s="165"/>
      <c r="E7" s="167">
        <f>+(E6-D6)/D6</f>
        <v>0.97610967774573754</v>
      </c>
      <c r="F7" s="167">
        <f t="shared" ref="F7:K7" si="0">+(F6-E6)/E6</f>
        <v>0.83783744976719365</v>
      </c>
      <c r="G7" s="167">
        <f t="shared" si="0"/>
        <v>0.56347890907005516</v>
      </c>
      <c r="H7" s="167">
        <f t="shared" si="0"/>
        <v>0.39192154248165695</v>
      </c>
      <c r="I7" s="167">
        <f t="shared" si="0"/>
        <v>0.3980864123135392</v>
      </c>
      <c r="J7" s="167">
        <f t="shared" si="0"/>
        <v>0.27178161220358621</v>
      </c>
      <c r="K7" s="167">
        <f t="shared" si="0"/>
        <v>0.26147422490967992</v>
      </c>
      <c r="L7" s="184"/>
    </row>
    <row r="8" spans="1:23" ht="13.5" thickBot="1">
      <c r="B8" s="172" t="s">
        <v>220</v>
      </c>
      <c r="C8" s="218"/>
      <c r="D8" s="174">
        <f>-'Costo variable'!C13-'Costo variable'!C22</f>
        <v>-12451.46853146853</v>
      </c>
      <c r="E8" s="174">
        <f>-'Costo variable'!D13-'Costo variable'!D22</f>
        <v>-18922.851112523836</v>
      </c>
      <c r="F8" s="174">
        <f>-'Costo variable'!E13-'Costo variable'!E22</f>
        <v>-29546.251702941678</v>
      </c>
      <c r="G8" s="174">
        <f>-'Costo variable'!F13-'Costo variable'!F22</f>
        <v>-42237.322661768565</v>
      </c>
      <c r="H8" s="174">
        <f>-'Costo variable'!G13-'Costo variable'!G22</f>
        <v>-56023.774039760596</v>
      </c>
      <c r="I8" s="174">
        <f>-'Costo variable'!H13-'Costo variable'!H22</f>
        <v>-75381.54963263635</v>
      </c>
      <c r="J8" s="174">
        <f>-'Costo variable'!I13-'Costo variable'!I22</f>
        <v>-93496.297263652828</v>
      </c>
      <c r="K8" s="174">
        <f>-'Costo variable'!J13-'Costo variable'!J22</f>
        <v>-115660.57804464374</v>
      </c>
    </row>
    <row r="9" spans="1:23" ht="13.5" hidden="1" thickBot="1">
      <c r="B9" s="10" t="s">
        <v>122</v>
      </c>
      <c r="C9" s="10"/>
      <c r="D9" s="58">
        <f>+D$6+D$8</f>
        <v>47867.412587412589</v>
      </c>
      <c r="E9" s="58">
        <f t="shared" ref="E9:K9" si="1">+E6+E8</f>
        <v>100273.87361729177</v>
      </c>
      <c r="F9" s="58">
        <f t="shared" si="1"/>
        <v>189517.95289510483</v>
      </c>
      <c r="G9" s="58">
        <f t="shared" si="1"/>
        <v>300264.94095948455</v>
      </c>
      <c r="H9" s="58">
        <f t="shared" si="1"/>
        <v>420712.50504339318</v>
      </c>
      <c r="I9" s="58">
        <f t="shared" si="1"/>
        <v>591136.96441043622</v>
      </c>
      <c r="J9" s="58">
        <f t="shared" si="1"/>
        <v>754169.6930895847</v>
      </c>
      <c r="K9" s="58">
        <f t="shared" si="1"/>
        <v>953648.22011850274</v>
      </c>
      <c r="W9" s="11"/>
    </row>
    <row r="10" spans="1:23" s="3" customFormat="1" ht="13.5" thickBot="1">
      <c r="A10"/>
      <c r="B10" s="176" t="s">
        <v>205</v>
      </c>
      <c r="C10" s="177"/>
      <c r="D10" s="178">
        <f>-'Costos de Ocupacion'!C19</f>
        <v>-18083.916083916083</v>
      </c>
      <c r="E10" s="178">
        <f>-'Costos de Ocupacion'!D19</f>
        <v>-40958.041958041955</v>
      </c>
      <c r="F10" s="178">
        <f>-'Costos de Ocupacion'!E19</f>
        <v>-21490.839738773619</v>
      </c>
      <c r="G10" s="178">
        <f>-'Costos de Ocupacion'!F19</f>
        <v>-22458.238981154071</v>
      </c>
      <c r="H10" s="178">
        <f>-'Costos de Ocupacion'!G19</f>
        <v>-23470.470653586544</v>
      </c>
      <c r="I10" s="178">
        <f>-'Costos de Ocupacion'!H19</f>
        <v>-24529.4944358719</v>
      </c>
      <c r="J10" s="178">
        <f>-'Costos de Ocupacion'!I19</f>
        <v>-24524.757591703616</v>
      </c>
      <c r="K10" s="175">
        <f>-'Costos de Ocupacion'!J19</f>
        <v>-24520.451369732447</v>
      </c>
    </row>
    <row r="11" spans="1:23" s="3" customFormat="1" ht="13.5" thickBot="1">
      <c r="A11"/>
      <c r="B11" s="3" t="s">
        <v>122</v>
      </c>
      <c r="D11" s="168">
        <f t="shared" ref="D11:K11" si="2">+D9+D10</f>
        <v>29783.496503496506</v>
      </c>
      <c r="E11" s="168">
        <f t="shared" si="2"/>
        <v>59315.831659249816</v>
      </c>
      <c r="F11" s="168">
        <f t="shared" si="2"/>
        <v>168027.11315633121</v>
      </c>
      <c r="G11" s="168">
        <f t="shared" si="2"/>
        <v>277806.7019783305</v>
      </c>
      <c r="H11" s="168">
        <f t="shared" si="2"/>
        <v>397242.03438980662</v>
      </c>
      <c r="I11" s="168">
        <f t="shared" si="2"/>
        <v>566607.46997456427</v>
      </c>
      <c r="J11" s="168">
        <f t="shared" si="2"/>
        <v>729644.93549788115</v>
      </c>
      <c r="K11" s="168">
        <f t="shared" si="2"/>
        <v>929127.76874877024</v>
      </c>
      <c r="W11" s="20"/>
    </row>
    <row r="12" spans="1:23" ht="13.5" thickBot="1">
      <c r="B12" s="172" t="s">
        <v>258</v>
      </c>
      <c r="C12" s="173"/>
      <c r="D12" s="174">
        <f>-'Gs Admin'!C45-'Gs Gerenciales'!C23</f>
        <v>-93336.76923076922</v>
      </c>
      <c r="E12" s="174">
        <f>-'Gs Admin'!D45-'Gs Gerenciales'!D23</f>
        <v>-101821.83089637634</v>
      </c>
      <c r="F12" s="174">
        <f>-'Gs Admin'!E45-'Gs Gerenciales'!E23</f>
        <v>-175685.96428365019</v>
      </c>
      <c r="G12" s="174">
        <f>-'Gs Admin'!F45-'Gs Gerenciales'!F23</f>
        <v>-183671.44404806307</v>
      </c>
      <c r="H12" s="174">
        <f>-'Gs Admin'!G45-'Gs Gerenciales'!G23</f>
        <v>-192019.92251857137</v>
      </c>
      <c r="I12" s="174">
        <f>-'Gs Admin'!H45-'Gs Gerenciales'!H23</f>
        <v>-250197.16861439825</v>
      </c>
      <c r="J12" s="174">
        <f>-'Gs Admin'!I45-'Gs Gerenciales'!I23</f>
        <v>-250197.04545644991</v>
      </c>
      <c r="K12" s="174">
        <f>-'Gs Admin'!J45-'Gs Gerenciales'!J23</f>
        <v>-250196.93349467864</v>
      </c>
    </row>
    <row r="13" spans="1:23" ht="13.5" thickBot="1">
      <c r="B13" s="172" t="s">
        <v>259</v>
      </c>
      <c r="C13" s="173"/>
      <c r="D13" s="174">
        <f>-'Gs Mktg'!C16</f>
        <v>-7552.447552447552</v>
      </c>
      <c r="E13" s="174">
        <f>-'Gs Mktg'!D16</f>
        <v>-8200.8900190718359</v>
      </c>
      <c r="F13" s="174">
        <f>-'Gs Mktg'!E16</f>
        <v>-8906.5479974570862</v>
      </c>
      <c r="G13" s="174">
        <f>-'Gs Mktg'!F16</f>
        <v>-9311.3910882505879</v>
      </c>
      <c r="H13" s="174">
        <f>-'Gs Mktg'!G16</f>
        <v>-9734.6361377165194</v>
      </c>
      <c r="I13" s="174">
        <f>-'Gs Mktg'!H16</f>
        <v>-10177.119598521815</v>
      </c>
      <c r="J13" s="174">
        <f>-'Gs Mktg'!I16</f>
        <v>-10224.757026341538</v>
      </c>
      <c r="K13" s="174">
        <f>-'Gs Mktg'!J16</f>
        <v>-10274.55979178943</v>
      </c>
    </row>
    <row r="14" spans="1:23" ht="13.5" thickBot="1">
      <c r="B14" s="172" t="s">
        <v>260</v>
      </c>
      <c r="C14" s="173"/>
      <c r="D14" s="174">
        <f>-'Operaciones (Gs Generales)'!C24</f>
        <v>-7376.2237762237755</v>
      </c>
      <c r="E14" s="174">
        <f>-'Operaciones (Gs Generales)'!D24</f>
        <v>-6942.1487603305777</v>
      </c>
      <c r="F14" s="174">
        <f>-'Operaciones (Gs Generales)'!E24</f>
        <v>-5492.6891290527637</v>
      </c>
      <c r="G14" s="174">
        <f>-'Operaciones (Gs Generales)'!F24</f>
        <v>-5742.3568167369785</v>
      </c>
      <c r="H14" s="174">
        <f>-'Operaciones (Gs Generales)'!G24</f>
        <v>-6003.3730356795668</v>
      </c>
      <c r="I14" s="174">
        <f>-'Operaciones (Gs Generales)'!H24</f>
        <v>-6276.2536282104566</v>
      </c>
      <c r="J14" s="174">
        <f>-'Operaciones (Gs Generales)'!I24</f>
        <v>-6276.2536282104566</v>
      </c>
      <c r="K14" s="174">
        <f>-'Operaciones (Gs Generales)'!J24</f>
        <v>-6276.2536282104556</v>
      </c>
    </row>
    <row r="15" spans="1:23">
      <c r="B15" s="232" t="s">
        <v>123</v>
      </c>
      <c r="C15" s="232"/>
      <c r="D15" s="233">
        <f>+D11+D12+D13+D14</f>
        <v>-78481.944055944041</v>
      </c>
      <c r="E15" s="233">
        <f>+E11+E12+E13+E14</f>
        <v>-57649.038016528939</v>
      </c>
      <c r="F15" s="233">
        <f>+F11+F12+F13+F14</f>
        <v>-22058.088253828828</v>
      </c>
      <c r="G15" s="233">
        <f t="shared" ref="G15:K15" si="3">+G11+G12+G13+G14</f>
        <v>79081.510025279858</v>
      </c>
      <c r="H15" s="233">
        <f t="shared" si="3"/>
        <v>189484.10269783915</v>
      </c>
      <c r="I15" s="233">
        <f t="shared" si="3"/>
        <v>299956.9281334338</v>
      </c>
      <c r="J15" s="233">
        <f t="shared" si="3"/>
        <v>462946.87938687927</v>
      </c>
      <c r="K15" s="233">
        <f t="shared" si="3"/>
        <v>662380.02183409175</v>
      </c>
    </row>
    <row r="16" spans="1:23">
      <c r="B16" s="185" t="s">
        <v>224</v>
      </c>
      <c r="C16" s="10"/>
      <c r="D16" s="61">
        <f>-'Costos de Ocupacion'!C25</f>
        <v>0</v>
      </c>
      <c r="E16" s="61">
        <f>-'Costos de Ocupacion'!D25</f>
        <v>-304.08984954439495</v>
      </c>
      <c r="F16" s="61">
        <f>-'Costos de Ocupacion'!E25</f>
        <v>-304.08984954439495</v>
      </c>
      <c r="G16" s="61">
        <f>-'Costos de Ocupacion'!F25</f>
        <v>-304.08984954439495</v>
      </c>
      <c r="H16" s="61">
        <f>-'Costos de Ocupacion'!G25</f>
        <v>-304.08984954439495</v>
      </c>
      <c r="I16" s="61">
        <f>-'Costos de Ocupacion'!H25</f>
        <v>-304.08984954439495</v>
      </c>
      <c r="J16" s="61">
        <f>-'Costos de Ocupacion'!I25</f>
        <v>-304.08984954439495</v>
      </c>
      <c r="K16" s="61">
        <f>-'Costos de Ocupacion'!J25</f>
        <v>-304.08984954439495</v>
      </c>
    </row>
    <row r="17" spans="2:12">
      <c r="B17" s="232" t="s">
        <v>126</v>
      </c>
      <c r="C17" s="232"/>
      <c r="D17" s="233">
        <f t="shared" ref="D17:K17" si="4">+D15+D16</f>
        <v>-78481.944055944041</v>
      </c>
      <c r="E17" s="234">
        <f t="shared" si="4"/>
        <v>-57953.127866073337</v>
      </c>
      <c r="F17" s="234">
        <f t="shared" si="4"/>
        <v>-22362.178103373222</v>
      </c>
      <c r="G17" s="234">
        <f t="shared" si="4"/>
        <v>78777.42017573546</v>
      </c>
      <c r="H17" s="234">
        <f t="shared" si="4"/>
        <v>189180.01284829475</v>
      </c>
      <c r="I17" s="234">
        <f t="shared" si="4"/>
        <v>299652.8382838894</v>
      </c>
      <c r="J17" s="234">
        <f t="shared" si="4"/>
        <v>462642.78953733487</v>
      </c>
      <c r="K17" s="234">
        <f t="shared" si="4"/>
        <v>662075.93198454741</v>
      </c>
    </row>
    <row r="18" spans="2:12">
      <c r="B18" s="10" t="s">
        <v>10</v>
      </c>
      <c r="C18" s="10"/>
      <c r="D18" s="66">
        <v>0.35</v>
      </c>
      <c r="E18" s="60">
        <v>0.35</v>
      </c>
      <c r="F18" s="60">
        <v>0.35</v>
      </c>
      <c r="G18" s="60">
        <v>0.35</v>
      </c>
      <c r="H18" s="60">
        <v>0.35</v>
      </c>
      <c r="I18" s="60">
        <v>0.35</v>
      </c>
      <c r="J18" s="60">
        <v>0.35</v>
      </c>
      <c r="K18" s="60">
        <v>0.35</v>
      </c>
    </row>
    <row r="19" spans="2:12">
      <c r="B19" s="10" t="s">
        <v>125</v>
      </c>
      <c r="C19" s="10"/>
      <c r="D19" s="61">
        <f t="shared" ref="D19:J19" si="5">-D17*D18</f>
        <v>27468.680419580414</v>
      </c>
      <c r="E19" s="56">
        <f t="shared" si="5"/>
        <v>20283.594753125668</v>
      </c>
      <c r="F19" s="56">
        <f t="shared" si="5"/>
        <v>7826.7623361806272</v>
      </c>
      <c r="G19" s="56">
        <f t="shared" si="5"/>
        <v>-27572.097061507411</v>
      </c>
      <c r="H19" s="56">
        <f t="shared" si="5"/>
        <v>-66213.004496903159</v>
      </c>
      <c r="I19" s="56">
        <f t="shared" si="5"/>
        <v>-104878.49339936128</v>
      </c>
      <c r="J19" s="56">
        <f t="shared" si="5"/>
        <v>-161924.97633806721</v>
      </c>
      <c r="K19" s="56">
        <f>-K17*K18</f>
        <v>-231726.57619459159</v>
      </c>
    </row>
    <row r="20" spans="2:12">
      <c r="B20" s="232" t="s">
        <v>127</v>
      </c>
      <c r="C20" s="232"/>
      <c r="D20" s="235">
        <f t="shared" ref="D20:J20" si="6">+D17+D19</f>
        <v>-51013.263636363627</v>
      </c>
      <c r="E20" s="236">
        <f t="shared" si="6"/>
        <v>-37669.533112947669</v>
      </c>
      <c r="F20" s="236">
        <f t="shared" si="6"/>
        <v>-14535.415767192595</v>
      </c>
      <c r="G20" s="236">
        <f t="shared" si="6"/>
        <v>51205.323114228049</v>
      </c>
      <c r="H20" s="236">
        <f t="shared" si="6"/>
        <v>122967.00835139159</v>
      </c>
      <c r="I20" s="236">
        <f t="shared" si="6"/>
        <v>194774.34488452814</v>
      </c>
      <c r="J20" s="236">
        <f t="shared" si="6"/>
        <v>300717.81319926766</v>
      </c>
      <c r="K20" s="236">
        <f>+K17+K19</f>
        <v>430349.35578995582</v>
      </c>
    </row>
    <row r="21" spans="2:12">
      <c r="B21" s="185" t="s">
        <v>225</v>
      </c>
      <c r="C21" s="10"/>
      <c r="D21" s="65">
        <f t="shared" ref="D21:J21" si="7">-D16</f>
        <v>0</v>
      </c>
      <c r="E21" s="59">
        <f t="shared" si="7"/>
        <v>304.08984954439495</v>
      </c>
      <c r="F21" s="59">
        <f t="shared" si="7"/>
        <v>304.08984954439495</v>
      </c>
      <c r="G21" s="59">
        <f t="shared" si="7"/>
        <v>304.08984954439495</v>
      </c>
      <c r="H21" s="59">
        <f t="shared" si="7"/>
        <v>304.08984954439495</v>
      </c>
      <c r="I21" s="59">
        <f t="shared" si="7"/>
        <v>304.08984954439495</v>
      </c>
      <c r="J21" s="59">
        <f t="shared" si="7"/>
        <v>304.08984954439495</v>
      </c>
      <c r="K21" s="59">
        <f>-K16</f>
        <v>304.08984954439495</v>
      </c>
    </row>
    <row r="22" spans="2:12">
      <c r="B22" s="10" t="s">
        <v>130</v>
      </c>
      <c r="C22" s="10"/>
      <c r="D22" s="64"/>
      <c r="E22" s="35"/>
      <c r="F22" s="35"/>
      <c r="G22" s="35"/>
      <c r="H22" s="35"/>
      <c r="I22" s="35"/>
      <c r="J22" s="35"/>
      <c r="K22" s="35"/>
    </row>
    <row r="23" spans="2:12">
      <c r="B23" s="10" t="s">
        <v>124</v>
      </c>
      <c r="C23" s="10"/>
      <c r="D23" s="65">
        <v>0</v>
      </c>
      <c r="E23" s="59">
        <f>-'Costos de Ocupacion'!D23</f>
        <v>-18245.390972663696</v>
      </c>
      <c r="F23" s="59">
        <f>+SUM('Costos de Ocupacion'!E11:E15)</f>
        <v>0</v>
      </c>
      <c r="G23" s="59">
        <f>+SUM('Costos de Ocupacion'!F11:F15)</f>
        <v>0</v>
      </c>
      <c r="H23" s="59">
        <f>+SUM('Costos de Ocupacion'!G11:G15)</f>
        <v>0</v>
      </c>
      <c r="I23" s="59">
        <f>+SUM('Costos de Ocupacion'!H11:H15)</f>
        <v>0</v>
      </c>
      <c r="J23" s="59">
        <f>+SUM('Costos de Ocupacion'!I11:I15)</f>
        <v>0</v>
      </c>
      <c r="K23" s="59">
        <f>+SUM('Costos de Ocupacion'!J11:J15)</f>
        <v>0</v>
      </c>
    </row>
    <row r="24" spans="2:12">
      <c r="B24" s="10"/>
      <c r="C24" s="10"/>
      <c r="D24" s="55"/>
      <c r="E24" s="55"/>
      <c r="F24" s="55"/>
      <c r="G24" s="55"/>
      <c r="H24" s="55"/>
      <c r="I24" s="55"/>
      <c r="J24" s="55"/>
      <c r="K24" s="55"/>
    </row>
    <row r="25" spans="2:12">
      <c r="B25" s="232" t="s">
        <v>131</v>
      </c>
      <c r="C25" s="236">
        <f>-D32</f>
        <v>-78245</v>
      </c>
      <c r="D25" s="233">
        <f t="shared" ref="D25:K25" si="8">+D20+D21+D22+D23</f>
        <v>-51013.263636363627</v>
      </c>
      <c r="E25" s="234">
        <f t="shared" si="8"/>
        <v>-55610.834236066963</v>
      </c>
      <c r="F25" s="234">
        <f t="shared" si="8"/>
        <v>-14231.325917648201</v>
      </c>
      <c r="G25" s="234">
        <f t="shared" si="8"/>
        <v>51509.412963772447</v>
      </c>
      <c r="H25" s="234">
        <f t="shared" si="8"/>
        <v>123271.09820093599</v>
      </c>
      <c r="I25" s="234">
        <f t="shared" si="8"/>
        <v>195078.43473407254</v>
      </c>
      <c r="J25" s="234">
        <f t="shared" si="8"/>
        <v>301021.90304881206</v>
      </c>
      <c r="K25" s="234">
        <f t="shared" si="8"/>
        <v>430653.44563950022</v>
      </c>
      <c r="L25" s="234">
        <f>+K25/(C29-C28)</f>
        <v>1538048.0201410723</v>
      </c>
    </row>
    <row r="26" spans="2:12">
      <c r="B26" s="50" t="s">
        <v>182</v>
      </c>
      <c r="C26" s="29">
        <f>IRR(C25:L25)</f>
        <v>0.45904317689010138</v>
      </c>
      <c r="D26" s="69"/>
      <c r="E26" s="69"/>
      <c r="F26" s="69"/>
      <c r="G26" s="69"/>
      <c r="H26" s="69"/>
      <c r="I26" s="69"/>
      <c r="J26" s="69"/>
      <c r="K26" s="69"/>
      <c r="L26" s="69"/>
    </row>
    <row r="27" spans="2:12">
      <c r="B27" s="219" t="s">
        <v>228</v>
      </c>
      <c r="C27" s="52">
        <f>C25+NPV(0.3,D25:L25)</f>
        <v>180585.20738715673</v>
      </c>
      <c r="D27" s="69"/>
      <c r="E27" s="69"/>
      <c r="F27" s="69"/>
      <c r="G27" s="69"/>
      <c r="H27" s="69"/>
      <c r="I27" s="69"/>
      <c r="J27" s="69"/>
      <c r="K27" s="69"/>
      <c r="L27" s="69"/>
    </row>
    <row r="28" spans="2:12">
      <c r="B28" s="228" t="s">
        <v>246</v>
      </c>
      <c r="C28" s="229">
        <v>0.02</v>
      </c>
      <c r="D28" s="69"/>
      <c r="E28" s="69"/>
      <c r="F28" s="69"/>
      <c r="G28" s="69"/>
      <c r="H28" s="69"/>
      <c r="I28" s="69"/>
      <c r="J28" s="69"/>
      <c r="K28" s="69"/>
      <c r="L28" s="69"/>
    </row>
    <row r="29" spans="2:12">
      <c r="B29" s="230" t="s">
        <v>247</v>
      </c>
      <c r="C29" s="231">
        <v>0.3</v>
      </c>
    </row>
    <row r="30" spans="2:12">
      <c r="B30" s="230"/>
      <c r="C30" s="231"/>
      <c r="D30" s="27"/>
      <c r="E30" s="27"/>
    </row>
    <row r="31" spans="2:12">
      <c r="B31" s="230"/>
      <c r="C31" s="231"/>
      <c r="D31" s="27" t="s">
        <v>128</v>
      </c>
      <c r="E31" s="27" t="s">
        <v>129</v>
      </c>
    </row>
    <row r="32" spans="2:12">
      <c r="B32" s="7" t="s">
        <v>213</v>
      </c>
      <c r="C32" s="7"/>
      <c r="D32" s="33">
        <v>78245</v>
      </c>
      <c r="E32" s="31">
        <v>1</v>
      </c>
    </row>
    <row r="33" spans="1:23">
      <c r="B33" s="25" t="s">
        <v>216</v>
      </c>
      <c r="D33" s="9">
        <v>0</v>
      </c>
      <c r="E33" s="32">
        <f>+D33/D32</f>
        <v>0</v>
      </c>
    </row>
    <row r="34" spans="1:23">
      <c r="B34" s="25" t="s">
        <v>217</v>
      </c>
      <c r="D34" s="33">
        <f>D32-D33</f>
        <v>78245</v>
      </c>
      <c r="E34" s="32">
        <f>+D34/D32</f>
        <v>1</v>
      </c>
    </row>
    <row r="35" spans="1:23">
      <c r="D35" s="19"/>
    </row>
    <row r="36" spans="1:23">
      <c r="B36" s="5" t="s">
        <v>226</v>
      </c>
      <c r="D36" s="19"/>
    </row>
    <row r="37" spans="1:23">
      <c r="D37" s="19"/>
    </row>
    <row r="38" spans="1:23">
      <c r="D38" s="19"/>
    </row>
    <row r="39" spans="1:23">
      <c r="D39" s="19"/>
    </row>
    <row r="40" spans="1:23">
      <c r="D40" s="19"/>
    </row>
    <row r="41" spans="1:23">
      <c r="D41" s="19"/>
    </row>
    <row r="42" spans="1:23" s="1" customFormat="1">
      <c r="A42"/>
      <c r="B42"/>
      <c r="C42"/>
      <c r="D42" s="19"/>
      <c r="L42"/>
      <c r="M42"/>
      <c r="N42"/>
      <c r="O42"/>
      <c r="P42"/>
      <c r="Q42"/>
      <c r="R42"/>
      <c r="S42"/>
      <c r="T42"/>
      <c r="U42"/>
      <c r="V42"/>
      <c r="W42"/>
    </row>
    <row r="43" spans="1:23" s="1" customFormat="1">
      <c r="A43"/>
      <c r="B43"/>
      <c r="C43"/>
      <c r="D43" s="19"/>
      <c r="L43"/>
      <c r="M43"/>
      <c r="N43"/>
      <c r="O43"/>
      <c r="P43"/>
      <c r="Q43"/>
      <c r="R43"/>
      <c r="S43"/>
      <c r="T43"/>
      <c r="U43"/>
      <c r="V43"/>
      <c r="W43"/>
    </row>
    <row r="44" spans="1:23" s="1" customFormat="1">
      <c r="A44"/>
      <c r="B44"/>
      <c r="C44"/>
      <c r="D44" s="19"/>
      <c r="L44"/>
      <c r="M44"/>
      <c r="N44"/>
      <c r="O44"/>
      <c r="P44"/>
      <c r="Q44"/>
      <c r="R44"/>
      <c r="S44"/>
      <c r="T44"/>
      <c r="U44"/>
      <c r="V44"/>
      <c r="W44"/>
    </row>
    <row r="45" spans="1:23" s="1" customFormat="1">
      <c r="A45"/>
      <c r="B45"/>
      <c r="C45"/>
      <c r="D45" s="19"/>
      <c r="L45"/>
      <c r="M45"/>
      <c r="N45"/>
      <c r="O45"/>
      <c r="P45"/>
      <c r="Q45"/>
      <c r="R45"/>
      <c r="S45"/>
      <c r="T45"/>
      <c r="U45"/>
      <c r="V45"/>
      <c r="W45"/>
    </row>
    <row r="46" spans="1:23" s="1" customFormat="1">
      <c r="A46"/>
      <c r="B46"/>
      <c r="C46"/>
      <c r="D46" s="19"/>
      <c r="L46"/>
      <c r="M46"/>
      <c r="N46"/>
      <c r="O46"/>
      <c r="P46"/>
      <c r="Q46"/>
      <c r="R46"/>
      <c r="S46"/>
      <c r="T46"/>
      <c r="U46"/>
      <c r="V46"/>
      <c r="W46"/>
    </row>
    <row r="47" spans="1:23" s="1" customFormat="1">
      <c r="A47"/>
      <c r="B47"/>
      <c r="C47"/>
      <c r="D47" s="19"/>
      <c r="L47"/>
      <c r="M47"/>
      <c r="N47"/>
      <c r="O47"/>
      <c r="P47"/>
      <c r="Q47"/>
      <c r="R47"/>
      <c r="S47"/>
      <c r="T47"/>
      <c r="U47"/>
      <c r="V47"/>
      <c r="W47"/>
    </row>
    <row r="48" spans="1:23" s="1" customFormat="1">
      <c r="A48"/>
      <c r="B48"/>
      <c r="C48"/>
      <c r="D48" s="19"/>
      <c r="L48"/>
      <c r="M48"/>
      <c r="N48"/>
      <c r="O48"/>
      <c r="P48"/>
      <c r="Q48"/>
      <c r="R48"/>
      <c r="S48"/>
      <c r="T48"/>
      <c r="U48"/>
      <c r="V48"/>
      <c r="W48"/>
    </row>
    <row r="49" spans="1:23" s="1" customFormat="1">
      <c r="A49"/>
      <c r="B49"/>
      <c r="C49"/>
      <c r="D49" s="19"/>
      <c r="L49"/>
      <c r="M49"/>
      <c r="N49"/>
      <c r="O49"/>
      <c r="P49"/>
      <c r="Q49"/>
      <c r="R49"/>
      <c r="S49"/>
      <c r="T49"/>
      <c r="U49"/>
      <c r="V49"/>
      <c r="W49"/>
    </row>
    <row r="50" spans="1:23" s="1" customFormat="1">
      <c r="A50"/>
      <c r="B50"/>
      <c r="C50"/>
      <c r="D50" s="19"/>
      <c r="L50"/>
      <c r="M50"/>
      <c r="N50"/>
      <c r="O50"/>
      <c r="P50"/>
      <c r="Q50"/>
      <c r="R50"/>
      <c r="S50"/>
      <c r="T50"/>
      <c r="U50"/>
      <c r="V50"/>
      <c r="W50"/>
    </row>
    <row r="51" spans="1:23" s="1" customFormat="1">
      <c r="A51"/>
      <c r="B51"/>
      <c r="C51"/>
      <c r="D51" s="19"/>
      <c r="L51"/>
      <c r="M51"/>
      <c r="N51"/>
      <c r="O51"/>
      <c r="P51"/>
      <c r="Q51"/>
      <c r="R51"/>
      <c r="S51"/>
      <c r="T51"/>
      <c r="U51"/>
      <c r="V51"/>
      <c r="W51"/>
    </row>
    <row r="52" spans="1:23" s="1" customFormat="1">
      <c r="A52"/>
      <c r="B52"/>
      <c r="C52"/>
      <c r="D52" s="19"/>
      <c r="L52"/>
      <c r="M52"/>
      <c r="N52"/>
      <c r="O52"/>
      <c r="P52"/>
      <c r="Q52"/>
      <c r="R52"/>
      <c r="S52"/>
      <c r="T52"/>
      <c r="U52"/>
      <c r="V52"/>
      <c r="W52"/>
    </row>
    <row r="53" spans="1:23" s="1" customFormat="1">
      <c r="A53"/>
      <c r="B53"/>
      <c r="C53"/>
      <c r="D53" s="19"/>
      <c r="L53"/>
      <c r="M53"/>
      <c r="N53"/>
      <c r="O53"/>
      <c r="P53"/>
      <c r="Q53"/>
      <c r="R53"/>
      <c r="S53"/>
      <c r="T53"/>
      <c r="U53"/>
      <c r="V53"/>
      <c r="W53"/>
    </row>
    <row r="54" spans="1:23" s="1" customFormat="1">
      <c r="A54"/>
      <c r="B54"/>
      <c r="C54"/>
      <c r="D54" s="19"/>
      <c r="L54"/>
      <c r="M54"/>
      <c r="N54"/>
      <c r="O54"/>
      <c r="P54"/>
      <c r="Q54"/>
      <c r="R54"/>
      <c r="S54"/>
      <c r="T54"/>
      <c r="U54"/>
      <c r="V54"/>
      <c r="W54"/>
    </row>
    <row r="55" spans="1:23" s="1" customFormat="1">
      <c r="A55"/>
      <c r="B55"/>
      <c r="C55"/>
      <c r="D55" s="19"/>
      <c r="L55"/>
      <c r="M55"/>
      <c r="N55"/>
      <c r="O55"/>
      <c r="P55"/>
      <c r="Q55"/>
      <c r="R55"/>
      <c r="S55"/>
      <c r="T55"/>
      <c r="U55"/>
      <c r="V55"/>
      <c r="W55"/>
    </row>
    <row r="56" spans="1:23" s="1" customFormat="1">
      <c r="A56"/>
      <c r="B56"/>
      <c r="C56"/>
      <c r="D56" s="19"/>
      <c r="L56"/>
      <c r="M56"/>
      <c r="N56"/>
      <c r="O56"/>
      <c r="P56"/>
      <c r="Q56"/>
      <c r="R56"/>
      <c r="S56"/>
      <c r="T56"/>
      <c r="U56"/>
      <c r="V56"/>
      <c r="W56"/>
    </row>
    <row r="57" spans="1:23" s="1" customFormat="1">
      <c r="A57"/>
      <c r="B57"/>
      <c r="C57"/>
      <c r="D57" s="19"/>
      <c r="L57"/>
      <c r="M57"/>
      <c r="N57"/>
      <c r="O57"/>
      <c r="P57"/>
      <c r="Q57"/>
      <c r="R57"/>
      <c r="S57"/>
      <c r="T57"/>
      <c r="U57"/>
      <c r="V57"/>
      <c r="W57"/>
    </row>
    <row r="58" spans="1:23" s="1" customFormat="1">
      <c r="A58"/>
      <c r="B58"/>
      <c r="C58"/>
      <c r="D58" s="19"/>
      <c r="L58"/>
      <c r="M58"/>
      <c r="N58"/>
      <c r="O58"/>
      <c r="P58"/>
      <c r="Q58"/>
      <c r="R58"/>
      <c r="S58"/>
      <c r="T58"/>
      <c r="U58"/>
      <c r="V58"/>
      <c r="W58"/>
    </row>
    <row r="59" spans="1:23" s="1" customFormat="1">
      <c r="A59"/>
      <c r="B59"/>
      <c r="C59"/>
      <c r="D59" s="19"/>
      <c r="L59"/>
      <c r="M59"/>
      <c r="N59"/>
      <c r="O59"/>
      <c r="P59"/>
      <c r="Q59"/>
      <c r="R59"/>
      <c r="S59"/>
      <c r="T59"/>
      <c r="U59"/>
      <c r="V59"/>
      <c r="W59"/>
    </row>
    <row r="60" spans="1:23" s="1" customFormat="1">
      <c r="A60"/>
      <c r="B60"/>
      <c r="C60"/>
      <c r="D60" s="19"/>
      <c r="L60"/>
      <c r="M60"/>
      <c r="N60"/>
      <c r="O60"/>
      <c r="P60"/>
      <c r="Q60"/>
      <c r="R60"/>
      <c r="S60"/>
      <c r="T60"/>
      <c r="U60"/>
      <c r="V60"/>
      <c r="W60"/>
    </row>
    <row r="61" spans="1:23" s="1" customFormat="1">
      <c r="A61"/>
      <c r="B61"/>
      <c r="C61"/>
      <c r="D61" s="19"/>
      <c r="L61"/>
      <c r="M61"/>
      <c r="N61"/>
      <c r="O61"/>
      <c r="P61"/>
      <c r="Q61"/>
      <c r="R61"/>
      <c r="S61"/>
      <c r="T61"/>
      <c r="U61"/>
      <c r="V61"/>
      <c r="W61"/>
    </row>
    <row r="62" spans="1:23" s="1" customFormat="1">
      <c r="A62"/>
      <c r="B62"/>
      <c r="C62"/>
      <c r="D62" s="19"/>
      <c r="L62"/>
      <c r="M62"/>
      <c r="N62"/>
      <c r="O62"/>
      <c r="P62"/>
      <c r="Q62"/>
      <c r="R62"/>
      <c r="S62"/>
      <c r="T62"/>
      <c r="U62"/>
      <c r="V62"/>
      <c r="W62"/>
    </row>
    <row r="63" spans="1:23" s="1" customFormat="1">
      <c r="A63"/>
      <c r="B63"/>
      <c r="C63"/>
      <c r="D63" s="19"/>
      <c r="L63"/>
      <c r="M63"/>
      <c r="N63"/>
      <c r="O63"/>
      <c r="P63"/>
      <c r="Q63"/>
      <c r="R63"/>
      <c r="S63"/>
      <c r="T63"/>
      <c r="U63"/>
      <c r="V63"/>
      <c r="W63"/>
    </row>
    <row r="64" spans="1:23" s="1" customFormat="1">
      <c r="A64"/>
      <c r="B64"/>
      <c r="C64"/>
      <c r="D64" s="19"/>
      <c r="L64"/>
      <c r="M64"/>
      <c r="N64"/>
      <c r="O64"/>
      <c r="P64"/>
      <c r="Q64"/>
      <c r="R64"/>
      <c r="S64"/>
      <c r="T64"/>
      <c r="U64"/>
      <c r="V64"/>
      <c r="W64"/>
    </row>
    <row r="65" spans="1:23" s="1" customFormat="1">
      <c r="A65"/>
      <c r="B65"/>
      <c r="C65"/>
      <c r="D65" s="19"/>
      <c r="L65"/>
      <c r="M65"/>
      <c r="N65"/>
      <c r="O65"/>
      <c r="P65"/>
      <c r="Q65"/>
      <c r="R65"/>
      <c r="S65"/>
      <c r="T65"/>
      <c r="U65"/>
      <c r="V65"/>
      <c r="W65"/>
    </row>
    <row r="66" spans="1:23" s="1" customFormat="1">
      <c r="A66"/>
      <c r="B66"/>
      <c r="C66"/>
      <c r="D66" s="19"/>
      <c r="L66"/>
      <c r="M66"/>
      <c r="N66"/>
      <c r="O66"/>
      <c r="P66"/>
      <c r="Q66"/>
      <c r="R66"/>
      <c r="S66"/>
      <c r="T66"/>
      <c r="U66"/>
      <c r="V66"/>
      <c r="W66"/>
    </row>
    <row r="67" spans="1:23" s="1" customFormat="1">
      <c r="A67"/>
      <c r="B67"/>
      <c r="C67"/>
      <c r="D67" s="19"/>
      <c r="L67"/>
      <c r="M67"/>
      <c r="N67"/>
      <c r="O67"/>
      <c r="P67"/>
      <c r="Q67"/>
      <c r="R67"/>
      <c r="S67"/>
      <c r="T67"/>
      <c r="U67"/>
      <c r="V67"/>
      <c r="W67"/>
    </row>
    <row r="68" spans="1:23" s="1" customFormat="1">
      <c r="A68"/>
      <c r="B68"/>
      <c r="C68"/>
      <c r="D68" s="19"/>
      <c r="L68"/>
      <c r="M68"/>
      <c r="N68"/>
      <c r="O68"/>
      <c r="P68"/>
      <c r="Q68"/>
      <c r="R68"/>
      <c r="S68"/>
      <c r="T68"/>
      <c r="U68"/>
      <c r="V68"/>
      <c r="W68"/>
    </row>
    <row r="69" spans="1:23" s="1" customFormat="1">
      <c r="A69"/>
      <c r="B69"/>
      <c r="C69"/>
      <c r="D69" s="19"/>
      <c r="L69"/>
      <c r="M69"/>
      <c r="N69"/>
      <c r="O69"/>
      <c r="P69"/>
      <c r="Q69"/>
      <c r="R69"/>
      <c r="S69"/>
      <c r="T69"/>
      <c r="U69"/>
      <c r="V69"/>
      <c r="W69"/>
    </row>
    <row r="70" spans="1:23" s="1" customFormat="1">
      <c r="A70"/>
      <c r="B70"/>
      <c r="C70"/>
      <c r="D70" s="19"/>
      <c r="L70"/>
      <c r="M70"/>
      <c r="N70"/>
      <c r="O70"/>
      <c r="P70"/>
      <c r="Q70"/>
      <c r="R70"/>
      <c r="S70"/>
      <c r="T70"/>
      <c r="U70"/>
      <c r="V70"/>
      <c r="W70"/>
    </row>
    <row r="71" spans="1:23" s="1" customFormat="1">
      <c r="A71"/>
      <c r="B71"/>
      <c r="C71"/>
      <c r="D71" s="19"/>
      <c r="L71"/>
      <c r="M71"/>
      <c r="N71"/>
      <c r="O71"/>
      <c r="P71"/>
      <c r="Q71"/>
      <c r="R71"/>
      <c r="S71"/>
      <c r="T71"/>
      <c r="U71"/>
      <c r="V71"/>
      <c r="W71"/>
    </row>
    <row r="72" spans="1:23" s="1" customFormat="1">
      <c r="A72"/>
      <c r="B72"/>
      <c r="C72"/>
      <c r="D72" s="19"/>
      <c r="L72"/>
      <c r="M72"/>
      <c r="N72"/>
      <c r="O72"/>
      <c r="P72"/>
      <c r="Q72"/>
      <c r="R72"/>
      <c r="S72"/>
      <c r="T72"/>
      <c r="U72"/>
      <c r="V72"/>
      <c r="W72"/>
    </row>
    <row r="73" spans="1:23" s="1" customFormat="1">
      <c r="A73"/>
      <c r="B73"/>
      <c r="C73"/>
      <c r="D73" s="19"/>
      <c r="L73"/>
      <c r="M73"/>
      <c r="N73"/>
      <c r="O73"/>
      <c r="P73"/>
      <c r="Q73"/>
      <c r="R73"/>
      <c r="S73"/>
      <c r="T73"/>
      <c r="U73"/>
      <c r="V73"/>
      <c r="W73"/>
    </row>
    <row r="74" spans="1:23" s="1" customFormat="1">
      <c r="A74"/>
      <c r="B74"/>
      <c r="C74"/>
      <c r="D74" s="19"/>
      <c r="L74"/>
      <c r="M74"/>
      <c r="N74"/>
      <c r="O74"/>
      <c r="P74"/>
      <c r="Q74"/>
      <c r="R74"/>
      <c r="S74"/>
      <c r="T74"/>
      <c r="U74"/>
      <c r="V74"/>
      <c r="W74"/>
    </row>
    <row r="75" spans="1:23" s="1" customFormat="1">
      <c r="A75"/>
      <c r="B75"/>
      <c r="C75"/>
      <c r="D75" s="19"/>
      <c r="L75"/>
      <c r="M75"/>
      <c r="N75"/>
      <c r="O75"/>
      <c r="P75"/>
      <c r="Q75"/>
      <c r="R75"/>
      <c r="S75"/>
      <c r="T75"/>
      <c r="U75"/>
      <c r="V75"/>
      <c r="W75"/>
    </row>
    <row r="76" spans="1:23" s="1" customFormat="1">
      <c r="A76"/>
      <c r="B76"/>
      <c r="C76"/>
      <c r="D76" s="19"/>
      <c r="L76"/>
      <c r="M76"/>
      <c r="N76"/>
      <c r="O76"/>
      <c r="P76"/>
      <c r="Q76"/>
      <c r="R76"/>
      <c r="S76"/>
      <c r="T76"/>
      <c r="U76"/>
      <c r="V76"/>
      <c r="W76"/>
    </row>
    <row r="77" spans="1:23" s="1" customFormat="1">
      <c r="A77"/>
      <c r="B77"/>
      <c r="C77"/>
      <c r="D77" s="19"/>
      <c r="L77"/>
      <c r="M77"/>
      <c r="N77"/>
      <c r="O77"/>
      <c r="P77"/>
      <c r="Q77"/>
      <c r="R77"/>
      <c r="S77"/>
      <c r="T77"/>
      <c r="U77"/>
      <c r="V77"/>
      <c r="W77"/>
    </row>
    <row r="78" spans="1:23" s="1" customFormat="1">
      <c r="A78"/>
      <c r="B78"/>
      <c r="C78"/>
      <c r="D78" s="19"/>
      <c r="L78"/>
      <c r="M78"/>
      <c r="N78"/>
      <c r="O78"/>
      <c r="P78"/>
      <c r="Q78"/>
      <c r="R78"/>
      <c r="S78"/>
      <c r="T78"/>
      <c r="U78"/>
      <c r="V78"/>
      <c r="W78"/>
    </row>
    <row r="79" spans="1:23" s="1" customFormat="1">
      <c r="A79"/>
      <c r="B79"/>
      <c r="C79"/>
      <c r="D79" s="19"/>
      <c r="L79"/>
      <c r="M79"/>
      <c r="N79"/>
      <c r="O79"/>
      <c r="P79"/>
      <c r="Q79"/>
      <c r="R79"/>
      <c r="S79"/>
      <c r="T79"/>
      <c r="U79"/>
      <c r="V79"/>
      <c r="W79"/>
    </row>
    <row r="80" spans="1:23" s="1" customFormat="1">
      <c r="A80"/>
      <c r="B80"/>
      <c r="C80"/>
      <c r="D80" s="19"/>
      <c r="L80"/>
      <c r="M80"/>
      <c r="N80"/>
      <c r="O80"/>
      <c r="P80"/>
      <c r="Q80"/>
      <c r="R80"/>
      <c r="S80"/>
      <c r="T80"/>
      <c r="U80"/>
      <c r="V80"/>
      <c r="W80"/>
    </row>
    <row r="81" spans="1:23" s="1" customFormat="1">
      <c r="A81"/>
      <c r="B81"/>
      <c r="C81"/>
      <c r="D81" s="19"/>
      <c r="L81"/>
      <c r="M81"/>
      <c r="N81"/>
      <c r="O81"/>
      <c r="P81"/>
      <c r="Q81"/>
      <c r="R81"/>
      <c r="S81"/>
      <c r="T81"/>
      <c r="U81"/>
      <c r="V81"/>
      <c r="W81"/>
    </row>
    <row r="82" spans="1:23" s="1" customFormat="1">
      <c r="A82"/>
      <c r="B82"/>
      <c r="C82"/>
      <c r="D82" s="19"/>
      <c r="L82"/>
      <c r="M82"/>
      <c r="N82"/>
      <c r="O82"/>
      <c r="P82"/>
      <c r="Q82"/>
      <c r="R82"/>
      <c r="S82"/>
      <c r="T82"/>
      <c r="U82"/>
      <c r="V82"/>
      <c r="W82"/>
    </row>
    <row r="83" spans="1:23" s="1" customFormat="1">
      <c r="A83"/>
      <c r="B83"/>
      <c r="C83"/>
      <c r="D83" s="19"/>
      <c r="L83"/>
      <c r="M83"/>
      <c r="N83"/>
      <c r="O83"/>
      <c r="P83"/>
      <c r="Q83"/>
      <c r="R83"/>
      <c r="S83"/>
      <c r="T83"/>
      <c r="U83"/>
      <c r="V83"/>
      <c r="W83"/>
    </row>
    <row r="84" spans="1:23" s="1" customFormat="1">
      <c r="A84"/>
      <c r="B84"/>
      <c r="C84"/>
      <c r="D84" s="19"/>
      <c r="L84"/>
      <c r="M84"/>
      <c r="N84"/>
      <c r="O84"/>
      <c r="P84"/>
      <c r="Q84"/>
      <c r="R84"/>
      <c r="S84"/>
      <c r="T84"/>
      <c r="U84"/>
      <c r="V84"/>
      <c r="W84"/>
    </row>
    <row r="85" spans="1:23" s="1" customFormat="1">
      <c r="A85"/>
      <c r="B85"/>
      <c r="C85"/>
      <c r="D85" s="19"/>
      <c r="L85"/>
      <c r="M85"/>
      <c r="N85"/>
      <c r="O85"/>
      <c r="P85"/>
      <c r="Q85"/>
      <c r="R85"/>
      <c r="S85"/>
      <c r="T85"/>
      <c r="U85"/>
      <c r="V85"/>
      <c r="W85"/>
    </row>
    <row r="86" spans="1:23" s="1" customFormat="1">
      <c r="A86"/>
      <c r="B86"/>
      <c r="C86"/>
      <c r="D86" s="19"/>
      <c r="L86"/>
      <c r="M86"/>
      <c r="N86"/>
      <c r="O86"/>
      <c r="P86"/>
      <c r="Q86"/>
      <c r="R86"/>
      <c r="S86"/>
      <c r="T86"/>
      <c r="U86"/>
      <c r="V86"/>
      <c r="W86"/>
    </row>
    <row r="87" spans="1:23" s="1" customFormat="1">
      <c r="A87"/>
      <c r="B87"/>
      <c r="C87"/>
      <c r="D87" s="19"/>
      <c r="L87"/>
      <c r="M87"/>
      <c r="N87"/>
      <c r="O87"/>
      <c r="P87"/>
      <c r="Q87"/>
      <c r="R87"/>
      <c r="S87"/>
      <c r="T87"/>
      <c r="U87"/>
      <c r="V87"/>
      <c r="W87"/>
    </row>
    <row r="88" spans="1:23" s="1" customFormat="1">
      <c r="A88"/>
      <c r="B88"/>
      <c r="C88"/>
      <c r="D88" s="19"/>
      <c r="L88"/>
      <c r="M88"/>
      <c r="N88"/>
      <c r="O88"/>
      <c r="P88"/>
      <c r="Q88"/>
      <c r="R88"/>
      <c r="S88"/>
      <c r="T88"/>
      <c r="U88"/>
      <c r="V88"/>
      <c r="W88"/>
    </row>
    <row r="89" spans="1:23" s="1" customFormat="1">
      <c r="A89"/>
      <c r="B89"/>
      <c r="C89"/>
      <c r="D89" s="19"/>
      <c r="L89"/>
      <c r="M89"/>
      <c r="N89"/>
      <c r="O89"/>
      <c r="P89"/>
      <c r="Q89"/>
      <c r="R89"/>
      <c r="S89"/>
      <c r="T89"/>
      <c r="U89"/>
      <c r="V89"/>
      <c r="W89"/>
    </row>
    <row r="90" spans="1:23" s="1" customFormat="1">
      <c r="A90"/>
      <c r="B90"/>
      <c r="C90"/>
      <c r="D90" s="19"/>
      <c r="L90"/>
      <c r="M90"/>
      <c r="N90"/>
      <c r="O90"/>
      <c r="P90"/>
      <c r="Q90"/>
      <c r="R90"/>
      <c r="S90"/>
      <c r="T90"/>
      <c r="U90"/>
      <c r="V90"/>
      <c r="W90"/>
    </row>
    <row r="91" spans="1:23" s="1" customFormat="1">
      <c r="A91"/>
      <c r="B91"/>
      <c r="C91"/>
      <c r="D91" s="19"/>
      <c r="L91"/>
      <c r="M91"/>
      <c r="N91"/>
      <c r="O91"/>
      <c r="P91"/>
      <c r="Q91"/>
      <c r="R91"/>
      <c r="S91"/>
      <c r="T91"/>
      <c r="U91"/>
      <c r="V91"/>
      <c r="W91"/>
    </row>
    <row r="92" spans="1:23" s="1" customFormat="1">
      <c r="A92"/>
      <c r="B92"/>
      <c r="C92"/>
      <c r="D92" s="19"/>
      <c r="L92"/>
      <c r="M92"/>
      <c r="N92"/>
      <c r="O92"/>
      <c r="P92"/>
      <c r="Q92"/>
      <c r="R92"/>
      <c r="S92"/>
      <c r="T92"/>
      <c r="U92"/>
      <c r="V92"/>
      <c r="W92"/>
    </row>
    <row r="93" spans="1:23" s="1" customFormat="1">
      <c r="A93"/>
      <c r="B93"/>
      <c r="C93"/>
      <c r="D93" s="19"/>
      <c r="L93"/>
      <c r="M93"/>
      <c r="N93"/>
      <c r="O93"/>
      <c r="P93"/>
      <c r="Q93"/>
      <c r="R93"/>
      <c r="S93"/>
      <c r="T93"/>
      <c r="U93"/>
      <c r="V93"/>
      <c r="W93"/>
    </row>
  </sheetData>
  <pageMargins left="0.75" right="0.75" top="1" bottom="1" header="0.5" footer="0.5"/>
  <pageSetup scale="5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K28"/>
  <sheetViews>
    <sheetView showGridLines="0" workbookViewId="0">
      <selection activeCell="D32" sqref="D32"/>
    </sheetView>
  </sheetViews>
  <sheetFormatPr defaultColWidth="9.140625" defaultRowHeight="12.75"/>
  <cols>
    <col min="1" max="1" width="24.7109375" customWidth="1"/>
    <col min="2" max="2" width="31.28515625" style="1" customWidth="1"/>
    <col min="3" max="3" width="16.5703125" style="1" bestFit="1" customWidth="1"/>
    <col min="4" max="8" width="16.5703125" bestFit="1" customWidth="1"/>
    <col min="9" max="10" width="17.7109375" bestFit="1" customWidth="1"/>
    <col min="11" max="14" width="11.42578125" customWidth="1"/>
    <col min="15" max="15" width="6.42578125" customWidth="1"/>
  </cols>
  <sheetData>
    <row r="1" spans="1:11" s="5" customFormat="1">
      <c r="A1" s="5" t="s">
        <v>218</v>
      </c>
      <c r="B1" s="12"/>
      <c r="C1" s="12"/>
    </row>
    <row r="2" spans="1:11">
      <c r="C2" s="1" t="str">
        <f>+'Cashflow proyectado en %'!D5</f>
        <v>Año 1</v>
      </c>
      <c r="D2" s="1" t="str">
        <f>+'Cashflow proyectado en %'!E5</f>
        <v>Año 2</v>
      </c>
      <c r="E2" s="1" t="str">
        <f>+'Cashflow proyectado en %'!F5</f>
        <v>Año 3</v>
      </c>
      <c r="F2" s="1" t="str">
        <f>+'Cashflow proyectado en %'!G5</f>
        <v>Año 4</v>
      </c>
      <c r="G2" s="1" t="str">
        <f>+'Cashflow proyectado en %'!H5</f>
        <v>Año 5</v>
      </c>
      <c r="H2" s="1" t="str">
        <f>+'Cashflow proyectado en %'!I5</f>
        <v>Año 6</v>
      </c>
      <c r="I2" s="1" t="str">
        <f>+'Cashflow proyectado en %'!J5</f>
        <v>Año 7</v>
      </c>
      <c r="J2" s="1" t="str">
        <f>+'Cashflow proyectado en %'!K5</f>
        <v>Año 8</v>
      </c>
      <c r="K2" s="5"/>
    </row>
    <row r="3" spans="1:11">
      <c r="A3" s="5"/>
      <c r="B3" s="92" t="s">
        <v>192</v>
      </c>
      <c r="C3" s="77">
        <f>'Modelo de Negocio'!C4</f>
        <v>22560</v>
      </c>
      <c r="D3" s="77">
        <f>'Modelo de Negocio'!D4</f>
        <v>24816</v>
      </c>
      <c r="E3" s="77">
        <f>'Modelo de Negocio'!E4</f>
        <v>27297.600000000002</v>
      </c>
      <c r="F3" s="77">
        <f>'Modelo de Negocio'!F4</f>
        <v>30027.360000000001</v>
      </c>
      <c r="G3" s="77">
        <f>'Modelo de Negocio'!G4</f>
        <v>33030.096000000005</v>
      </c>
      <c r="H3" s="77">
        <f>'Modelo de Negocio'!H4</f>
        <v>36333.10560000001</v>
      </c>
      <c r="I3" s="77">
        <f>'Modelo de Negocio'!I4</f>
        <v>39966.416160000008</v>
      </c>
      <c r="J3" s="77">
        <f>'Modelo de Negocio'!J4</f>
        <v>43963.057776000016</v>
      </c>
    </row>
    <row r="4" spans="1:11" ht="13.5" thickBot="1">
      <c r="A4" s="5"/>
      <c r="B4" s="95" t="s">
        <v>193</v>
      </c>
      <c r="C4" s="93">
        <f>'Modelo de Negocio'!C8</f>
        <v>840000</v>
      </c>
      <c r="D4" s="93">
        <f>'Modelo de Negocio'!D8</f>
        <v>1843200</v>
      </c>
      <c r="E4" s="93">
        <f>'Modelo de Negocio'!E8</f>
        <v>3747840</v>
      </c>
      <c r="F4" s="93">
        <f>'Modelo de Negocio'!F8</f>
        <v>6465024</v>
      </c>
      <c r="G4" s="93">
        <f>'Modelo de Negocio'!G8</f>
        <v>9913036.7999999989</v>
      </c>
      <c r="H4" s="93">
        <f>'Modelo de Negocio'!H8</f>
        <v>15266076.672</v>
      </c>
      <c r="I4" s="93">
        <f>'Modelo de Negocio'!I8</f>
        <v>21372507.340800002</v>
      </c>
      <c r="J4" s="93">
        <f>'Modelo de Negocio'!J8</f>
        <v>29677253.050368004</v>
      </c>
    </row>
    <row r="5" spans="1:11" ht="13.5" thickBot="1">
      <c r="A5" s="5"/>
      <c r="B5" s="212" t="s">
        <v>219</v>
      </c>
      <c r="C5" s="213">
        <v>1</v>
      </c>
      <c r="D5" s="214">
        <v>1.28</v>
      </c>
      <c r="E5" s="214">
        <v>1.5616000000000001</v>
      </c>
      <c r="F5" s="214">
        <v>1.7958399999999999</v>
      </c>
      <c r="G5" s="214">
        <v>2.0652159999999995</v>
      </c>
      <c r="H5" s="214">
        <v>2.3130419199999999</v>
      </c>
      <c r="I5" s="214">
        <v>2.5443461119999999</v>
      </c>
      <c r="J5" s="215">
        <v>2.74789380096</v>
      </c>
    </row>
    <row r="6" spans="1:11">
      <c r="B6" s="216" t="s">
        <v>241</v>
      </c>
      <c r="C6" s="77">
        <f>+C3*C5</f>
        <v>22560</v>
      </c>
      <c r="D6" s="77">
        <f t="shared" ref="D6:J6" si="0">+D3*D5</f>
        <v>31764.48</v>
      </c>
      <c r="E6" s="77">
        <f t="shared" si="0"/>
        <v>42627.932160000004</v>
      </c>
      <c r="F6" s="77">
        <f t="shared" si="0"/>
        <v>53924.334182399994</v>
      </c>
      <c r="G6" s="77">
        <f t="shared" si="0"/>
        <v>68214.282740735987</v>
      </c>
      <c r="H6" s="77">
        <f t="shared" si="0"/>
        <v>84039.996336586773</v>
      </c>
      <c r="I6" s="77">
        <f t="shared" si="0"/>
        <v>101688.39556726998</v>
      </c>
      <c r="J6" s="77">
        <f t="shared" si="0"/>
        <v>120805.81393391677</v>
      </c>
    </row>
    <row r="7" spans="1:11">
      <c r="B7" s="216" t="s">
        <v>240</v>
      </c>
      <c r="C7" s="77">
        <f>C3/12</f>
        <v>1880</v>
      </c>
      <c r="D7" s="77">
        <f t="shared" ref="D7:J7" si="1">+D6/12</f>
        <v>2647.04</v>
      </c>
      <c r="E7" s="77">
        <f t="shared" si="1"/>
        <v>3552.3276800000003</v>
      </c>
      <c r="F7" s="77">
        <f t="shared" si="1"/>
        <v>4493.6945151999998</v>
      </c>
      <c r="G7" s="77">
        <f t="shared" si="1"/>
        <v>5684.5235617279986</v>
      </c>
      <c r="H7" s="77">
        <f t="shared" si="1"/>
        <v>7003.3330280488981</v>
      </c>
      <c r="I7" s="77">
        <f t="shared" si="1"/>
        <v>8474.0329639391657</v>
      </c>
      <c r="J7" s="77">
        <f t="shared" si="1"/>
        <v>10067.151161159731</v>
      </c>
    </row>
    <row r="8" spans="1:11">
      <c r="B8" s="92"/>
      <c r="C8" s="77">
        <f t="shared" ref="C8:I8" si="2">+C4</f>
        <v>840000</v>
      </c>
      <c r="D8" s="77">
        <f t="shared" si="2"/>
        <v>1843200</v>
      </c>
      <c r="E8" s="77">
        <f t="shared" si="2"/>
        <v>3747840</v>
      </c>
      <c r="F8" s="77">
        <f t="shared" si="2"/>
        <v>6465024</v>
      </c>
      <c r="G8" s="77">
        <f t="shared" si="2"/>
        <v>9913036.7999999989</v>
      </c>
      <c r="H8" s="77">
        <f t="shared" si="2"/>
        <v>15266076.672</v>
      </c>
      <c r="I8" s="77">
        <f t="shared" si="2"/>
        <v>21372507.340800002</v>
      </c>
      <c r="J8" s="77">
        <f>+J4</f>
        <v>29677253.050368004</v>
      </c>
      <c r="K8" s="6"/>
    </row>
    <row r="9" spans="1:11">
      <c r="D9" s="1"/>
      <c r="E9" s="1"/>
      <c r="F9" s="1"/>
    </row>
    <row r="10" spans="1:11" s="5" customFormat="1" hidden="1">
      <c r="A10" s="5" t="s">
        <v>223</v>
      </c>
      <c r="B10" s="12"/>
      <c r="C10" s="12"/>
    </row>
    <row r="11" spans="1:11" hidden="1"/>
    <row r="12" spans="1:11" hidden="1">
      <c r="C12" s="30" t="s">
        <v>249</v>
      </c>
      <c r="D12" s="30" t="s">
        <v>250</v>
      </c>
      <c r="E12" s="30" t="s">
        <v>251</v>
      </c>
      <c r="F12" s="30" t="s">
        <v>252</v>
      </c>
      <c r="G12" s="30" t="s">
        <v>253</v>
      </c>
      <c r="H12" s="30" t="s">
        <v>254</v>
      </c>
      <c r="I12" s="30" t="s">
        <v>255</v>
      </c>
      <c r="J12" s="30" t="s">
        <v>256</v>
      </c>
    </row>
    <row r="13" spans="1:11" hidden="1">
      <c r="A13" s="25" t="s">
        <v>237</v>
      </c>
      <c r="C13" s="222">
        <f t="shared" ref="C13:J13" si="3">C3</f>
        <v>22560</v>
      </c>
      <c r="D13" s="222">
        <f t="shared" si="3"/>
        <v>24816</v>
      </c>
      <c r="E13" s="222">
        <f t="shared" si="3"/>
        <v>27297.600000000002</v>
      </c>
      <c r="F13" s="222">
        <f t="shared" si="3"/>
        <v>30027.360000000001</v>
      </c>
      <c r="G13" s="222">
        <f t="shared" si="3"/>
        <v>33030.096000000005</v>
      </c>
      <c r="H13" s="222">
        <f t="shared" si="3"/>
        <v>36333.10560000001</v>
      </c>
      <c r="I13" s="222">
        <f t="shared" si="3"/>
        <v>39966.416160000008</v>
      </c>
      <c r="J13" s="222">
        <f t="shared" si="3"/>
        <v>43963.057776000016</v>
      </c>
    </row>
    <row r="14" spans="1:11" hidden="1">
      <c r="A14" t="s">
        <v>5</v>
      </c>
      <c r="C14" s="223"/>
      <c r="D14" s="223">
        <v>0.2</v>
      </c>
      <c r="E14" s="223">
        <v>0.2</v>
      </c>
      <c r="F14" s="223">
        <v>0.15</v>
      </c>
      <c r="G14" s="223">
        <v>0.15</v>
      </c>
      <c r="H14" s="223">
        <v>0.15</v>
      </c>
      <c r="I14" s="223">
        <v>0.1</v>
      </c>
      <c r="J14" s="223">
        <v>0.1</v>
      </c>
    </row>
    <row r="15" spans="1:11" hidden="1">
      <c r="A15" t="s">
        <v>6</v>
      </c>
      <c r="C15" s="224"/>
      <c r="D15" s="224">
        <v>0.28000000000000003</v>
      </c>
      <c r="E15" s="224">
        <v>0.22</v>
      </c>
      <c r="F15" s="224">
        <v>0.15</v>
      </c>
      <c r="G15" s="224">
        <v>0.15</v>
      </c>
      <c r="H15" s="224">
        <v>0.12</v>
      </c>
      <c r="I15" s="223">
        <v>0.1</v>
      </c>
      <c r="J15" s="224">
        <v>0.08</v>
      </c>
    </row>
    <row r="16" spans="1:11" hidden="1">
      <c r="A16" t="s">
        <v>4</v>
      </c>
      <c r="C16" s="225">
        <f t="shared" ref="C16:J16" si="4">+C8</f>
        <v>840000</v>
      </c>
      <c r="D16" s="225">
        <f t="shared" si="4"/>
        <v>1843200</v>
      </c>
      <c r="E16" s="225">
        <f t="shared" si="4"/>
        <v>3747840</v>
      </c>
      <c r="F16" s="225">
        <f t="shared" si="4"/>
        <v>6465024</v>
      </c>
      <c r="G16" s="225">
        <f t="shared" si="4"/>
        <v>9913036.7999999989</v>
      </c>
      <c r="H16" s="225">
        <f t="shared" si="4"/>
        <v>15266076.672</v>
      </c>
      <c r="I16" s="225">
        <f t="shared" si="4"/>
        <v>21372507.340800002</v>
      </c>
      <c r="J16" s="225">
        <f t="shared" si="4"/>
        <v>29677253.050368004</v>
      </c>
    </row>
    <row r="17" spans="1:10" hidden="1">
      <c r="A17" t="s">
        <v>7</v>
      </c>
      <c r="C17" s="222">
        <f t="shared" ref="C17:J17" si="5">+C16+C6</f>
        <v>862560</v>
      </c>
      <c r="D17" s="222">
        <f t="shared" si="5"/>
        <v>1874964.48</v>
      </c>
      <c r="E17" s="222">
        <f t="shared" si="5"/>
        <v>3790467.9321599999</v>
      </c>
      <c r="F17" s="222">
        <f t="shared" si="5"/>
        <v>6518948.3341824003</v>
      </c>
      <c r="G17" s="222">
        <f t="shared" si="5"/>
        <v>9981251.0827407353</v>
      </c>
      <c r="H17" s="222">
        <f t="shared" si="5"/>
        <v>15350116.668336587</v>
      </c>
      <c r="I17" s="222">
        <f t="shared" si="5"/>
        <v>21474195.73636727</v>
      </c>
      <c r="J17" s="222">
        <f t="shared" si="5"/>
        <v>29798058.86430192</v>
      </c>
    </row>
    <row r="18" spans="1:10" hidden="1">
      <c r="A18" t="s">
        <v>8</v>
      </c>
      <c r="C18" s="226">
        <v>4.4999999999999998E-2</v>
      </c>
      <c r="D18" s="226">
        <v>4.4999999999999998E-2</v>
      </c>
      <c r="E18" s="226">
        <v>4.4999999999999998E-2</v>
      </c>
      <c r="F18" s="226">
        <v>4.4999999999999998E-2</v>
      </c>
      <c r="G18" s="226">
        <v>4.4999999999999998E-2</v>
      </c>
      <c r="H18" s="226">
        <v>4.4999999999999998E-2</v>
      </c>
      <c r="I18" s="226">
        <v>4.4999999999999998E-2</v>
      </c>
      <c r="J18" s="226">
        <v>4.4999999999999998E-2</v>
      </c>
    </row>
    <row r="19" spans="1:10" hidden="1">
      <c r="A19" t="s">
        <v>9</v>
      </c>
      <c r="C19" s="77">
        <f t="shared" ref="C19:I19" si="6">-C17*C18</f>
        <v>-38815.199999999997</v>
      </c>
      <c r="D19" s="77">
        <f t="shared" si="6"/>
        <v>-84373.401599999997</v>
      </c>
      <c r="E19" s="77">
        <f t="shared" si="6"/>
        <v>-170571.05694719998</v>
      </c>
      <c r="F19" s="77">
        <f t="shared" si="6"/>
        <v>-293352.67503820802</v>
      </c>
      <c r="G19" s="77">
        <f t="shared" si="6"/>
        <v>-449156.29872333305</v>
      </c>
      <c r="H19" s="77">
        <f t="shared" si="6"/>
        <v>-690755.25007514644</v>
      </c>
      <c r="I19" s="77">
        <f t="shared" si="6"/>
        <v>-966338.80813652708</v>
      </c>
      <c r="J19" s="77">
        <f>-J17*J18</f>
        <v>-1340912.6488935864</v>
      </c>
    </row>
    <row r="20" spans="1:10" hidden="1">
      <c r="A20" t="s">
        <v>119</v>
      </c>
      <c r="C20" s="77">
        <f t="shared" ref="C20:I20" si="7">-C17*0.03</f>
        <v>-25876.799999999999</v>
      </c>
      <c r="D20" s="77">
        <f t="shared" si="7"/>
        <v>-56248.934399999998</v>
      </c>
      <c r="E20" s="77">
        <f t="shared" si="7"/>
        <v>-113714.03796479999</v>
      </c>
      <c r="F20" s="77">
        <f t="shared" si="7"/>
        <v>-195568.450025472</v>
      </c>
      <c r="G20" s="77">
        <f t="shared" si="7"/>
        <v>-299437.53248222207</v>
      </c>
      <c r="H20" s="77">
        <f t="shared" si="7"/>
        <v>-460503.50005009759</v>
      </c>
      <c r="I20" s="77">
        <f t="shared" si="7"/>
        <v>-644225.87209101813</v>
      </c>
      <c r="J20" s="77">
        <f>-J17*0.03</f>
        <v>-893941.76592905761</v>
      </c>
    </row>
    <row r="21" spans="1:10" hidden="1">
      <c r="A21" t="s">
        <v>2</v>
      </c>
      <c r="C21" s="222">
        <f t="shared" ref="C21:I21" si="8">+C17+C19+C20</f>
        <v>797868</v>
      </c>
      <c r="D21" s="222">
        <f t="shared" si="8"/>
        <v>1734342.1440000001</v>
      </c>
      <c r="E21" s="222">
        <f t="shared" si="8"/>
        <v>3506182.8372479999</v>
      </c>
      <c r="F21" s="222">
        <f t="shared" si="8"/>
        <v>6030027.2091187201</v>
      </c>
      <c r="G21" s="222">
        <f t="shared" si="8"/>
        <v>9232657.251535181</v>
      </c>
      <c r="H21" s="222">
        <f t="shared" si="8"/>
        <v>14198857.918211343</v>
      </c>
      <c r="I21" s="222">
        <f t="shared" si="8"/>
        <v>19863631.056139726</v>
      </c>
      <c r="J21" s="222">
        <f>+J17+J19+J20</f>
        <v>27563204.449479274</v>
      </c>
    </row>
    <row r="22" spans="1:10" hidden="1">
      <c r="A22" t="s">
        <v>1</v>
      </c>
      <c r="C22" s="82">
        <v>11</v>
      </c>
      <c r="D22" s="82">
        <f t="shared" ref="D22:J22" si="9">+C22*(1+D14)</f>
        <v>13.2</v>
      </c>
      <c r="E22" s="82">
        <f t="shared" si="9"/>
        <v>15.839999999999998</v>
      </c>
      <c r="F22" s="82">
        <f t="shared" si="9"/>
        <v>18.215999999999998</v>
      </c>
      <c r="G22" s="82">
        <f t="shared" si="9"/>
        <v>20.948399999999996</v>
      </c>
      <c r="H22" s="82">
        <f t="shared" si="9"/>
        <v>24.090659999999993</v>
      </c>
      <c r="I22" s="82">
        <f t="shared" si="9"/>
        <v>26.499725999999995</v>
      </c>
      <c r="J22" s="82">
        <f t="shared" si="9"/>
        <v>29.149698599999997</v>
      </c>
    </row>
    <row r="23" spans="1:10" hidden="1">
      <c r="A23" t="s">
        <v>95</v>
      </c>
      <c r="C23" s="222">
        <f t="shared" ref="C23:I23" si="10">+C21/C22</f>
        <v>72533.454545454544</v>
      </c>
      <c r="D23" s="222">
        <f t="shared" si="10"/>
        <v>131389.55636363637</v>
      </c>
      <c r="E23" s="222">
        <f t="shared" si="10"/>
        <v>221349.92659393942</v>
      </c>
      <c r="F23" s="222">
        <f t="shared" si="10"/>
        <v>331029.16167757579</v>
      </c>
      <c r="G23" s="222">
        <f t="shared" si="10"/>
        <v>440733.28996654553</v>
      </c>
      <c r="H23" s="222">
        <f t="shared" si="10"/>
        <v>589392.64919314568</v>
      </c>
      <c r="I23" s="222">
        <f t="shared" si="10"/>
        <v>749578.73361180152</v>
      </c>
      <c r="J23" s="222">
        <f>+J21/J22</f>
        <v>945574.25199172646</v>
      </c>
    </row>
    <row r="24" spans="1:10" hidden="1"/>
    <row r="25" spans="1:10" hidden="1"/>
    <row r="26" spans="1:10">
      <c r="A26" s="4"/>
    </row>
    <row r="27" spans="1:10">
      <c r="A27" s="4"/>
    </row>
    <row r="28" spans="1:10">
      <c r="A28" s="21"/>
      <c r="C28" s="227"/>
    </row>
  </sheetData>
  <phoneticPr fontId="2" type="noConversion"/>
  <pageMargins left="0.75" right="0.75" top="0.42" bottom="0.5" header="0.5" footer="0.5"/>
  <pageSetup scale="6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F0"/>
  </sheetPr>
  <dimension ref="B3:G12"/>
  <sheetViews>
    <sheetView showGridLines="0" topLeftCell="A3" workbookViewId="0">
      <selection activeCell="G12" sqref="G12"/>
    </sheetView>
  </sheetViews>
  <sheetFormatPr defaultRowHeight="12.75"/>
  <cols>
    <col min="6" max="6" width="14.7109375" bestFit="1" customWidth="1"/>
  </cols>
  <sheetData>
    <row r="3" spans="2:7">
      <c r="B3" s="4"/>
      <c r="C3" s="1"/>
      <c r="D3" s="15" t="s">
        <v>132</v>
      </c>
      <c r="E3" s="13"/>
      <c r="F3" s="13"/>
    </row>
    <row r="4" spans="2:7">
      <c r="B4" s="26" t="s">
        <v>214</v>
      </c>
      <c r="C4" s="12"/>
      <c r="D4" s="198">
        <f>+'Valuation Parameters US'!B22</f>
        <v>1.3300458051758715</v>
      </c>
      <c r="E4" s="12"/>
      <c r="F4" s="1"/>
    </row>
    <row r="5" spans="2:7">
      <c r="C5" s="1"/>
      <c r="D5" s="1"/>
      <c r="E5" s="1"/>
      <c r="F5" s="199" t="s">
        <v>157</v>
      </c>
      <c r="G5" s="211">
        <f>+'Valuation Parameters US'!C22</f>
        <v>0.30883821649710602</v>
      </c>
    </row>
    <row r="6" spans="2:7">
      <c r="B6" s="22" t="s">
        <v>215</v>
      </c>
      <c r="C6" s="1"/>
      <c r="D6" s="1"/>
      <c r="E6" s="1"/>
      <c r="F6" s="1"/>
    </row>
    <row r="7" spans="2:7">
      <c r="B7" s="2" t="s">
        <v>11</v>
      </c>
      <c r="C7" s="1"/>
      <c r="D7" s="1"/>
      <c r="E7" s="1"/>
      <c r="F7" s="195">
        <v>3.5099999999999999E-2</v>
      </c>
    </row>
    <row r="8" spans="2:7">
      <c r="B8" s="200" t="s">
        <v>132</v>
      </c>
      <c r="C8" s="1"/>
      <c r="D8" s="1"/>
      <c r="E8" s="1"/>
      <c r="F8" s="196">
        <f>+D4/G5</f>
        <v>4.3066101736419489</v>
      </c>
    </row>
    <row r="9" spans="2:7">
      <c r="B9" s="2" t="s">
        <v>12</v>
      </c>
      <c r="C9" s="1"/>
      <c r="D9" s="183"/>
      <c r="E9" s="1"/>
      <c r="F9" s="197">
        <v>0.04</v>
      </c>
    </row>
    <row r="10" spans="2:7">
      <c r="B10" s="2" t="s">
        <v>14</v>
      </c>
      <c r="C10" s="1"/>
      <c r="D10" s="1"/>
      <c r="E10" s="1"/>
      <c r="F10" s="24">
        <v>0.45300000000000001</v>
      </c>
    </row>
    <row r="11" spans="2:7">
      <c r="B11" s="2" t="s">
        <v>13</v>
      </c>
      <c r="C11" s="1"/>
      <c r="D11" s="1"/>
      <c r="E11" s="1"/>
      <c r="F11" s="24">
        <v>0.28999999999999998</v>
      </c>
    </row>
    <row r="12" spans="2:7">
      <c r="B12" s="14" t="s">
        <v>3</v>
      </c>
      <c r="C12" s="1"/>
      <c r="D12" s="1"/>
      <c r="E12" s="1"/>
      <c r="F12" s="197">
        <f>+F7+F8*F9*F10/F11</f>
        <v>0.30418888395307631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F0"/>
  </sheetPr>
  <dimension ref="A1:S104"/>
  <sheetViews>
    <sheetView workbookViewId="0">
      <selection activeCell="B22" sqref="B22"/>
    </sheetView>
  </sheetViews>
  <sheetFormatPr defaultRowHeight="12.75"/>
  <cols>
    <col min="1" max="1" width="22.42578125" bestFit="1" customWidth="1"/>
    <col min="2" max="2" width="28.5703125" bestFit="1" customWidth="1"/>
    <col min="3" max="3" width="13.85546875" customWidth="1"/>
    <col min="4" max="4" width="9.42578125" customWidth="1"/>
    <col min="5" max="5" width="19.28515625" bestFit="1" customWidth="1"/>
    <col min="6" max="6" width="10.42578125" customWidth="1"/>
    <col min="7" max="7" width="16" bestFit="1" customWidth="1"/>
    <col min="8" max="8" width="8.7109375" bestFit="1" customWidth="1"/>
    <col min="9" max="9" width="8.140625" bestFit="1" customWidth="1"/>
    <col min="10" max="10" width="10.5703125" bestFit="1" customWidth="1"/>
    <col min="14" max="19" width="0" hidden="1" customWidth="1"/>
  </cols>
  <sheetData>
    <row r="1" spans="1:19">
      <c r="A1" t="s">
        <v>158</v>
      </c>
      <c r="C1" t="s">
        <v>159</v>
      </c>
      <c r="D1" t="s">
        <v>160</v>
      </c>
    </row>
    <row r="2" spans="1:19">
      <c r="A2" t="s">
        <v>161</v>
      </c>
    </row>
    <row r="3" spans="1:19">
      <c r="A3" s="36" t="s">
        <v>15</v>
      </c>
      <c r="B3" s="37" t="s">
        <v>139</v>
      </c>
      <c r="C3" s="38" t="s">
        <v>162</v>
      </c>
      <c r="D3" s="38" t="s">
        <v>163</v>
      </c>
      <c r="E3" s="38" t="s">
        <v>164</v>
      </c>
      <c r="F3" s="38" t="s">
        <v>165</v>
      </c>
      <c r="G3" s="38" t="s">
        <v>166</v>
      </c>
      <c r="H3" s="38" t="s">
        <v>133</v>
      </c>
      <c r="I3" s="38" t="s">
        <v>134</v>
      </c>
      <c r="J3" s="38" t="s">
        <v>135</v>
      </c>
      <c r="K3" s="38" t="s">
        <v>167</v>
      </c>
      <c r="L3" s="38" t="s">
        <v>168</v>
      </c>
      <c r="M3" s="38" t="s">
        <v>138</v>
      </c>
      <c r="N3" s="36" t="s">
        <v>0</v>
      </c>
      <c r="O3" s="37" t="s">
        <v>169</v>
      </c>
      <c r="P3" s="38" t="s">
        <v>170</v>
      </c>
      <c r="Q3" s="38" t="s">
        <v>171</v>
      </c>
      <c r="R3" s="38" t="s">
        <v>172</v>
      </c>
      <c r="S3" s="38" t="s">
        <v>173</v>
      </c>
    </row>
    <row r="4" spans="1:19">
      <c r="A4" s="201" t="s">
        <v>16</v>
      </c>
      <c r="B4" s="193">
        <v>0.86789666413757982</v>
      </c>
      <c r="C4" s="194">
        <v>0.31113874124294499</v>
      </c>
      <c r="D4" s="194">
        <v>4.6958305153226583E-2</v>
      </c>
      <c r="E4" s="194">
        <v>6.254446601259539E-2</v>
      </c>
      <c r="F4" s="39">
        <v>-0.15130521471045488</v>
      </c>
      <c r="G4" s="194">
        <v>3.1408375859676242E-2</v>
      </c>
      <c r="H4" s="193">
        <v>0.94218979192101948</v>
      </c>
      <c r="I4" s="193">
        <v>5.2534478101260218</v>
      </c>
      <c r="J4" s="193">
        <v>4.1633581631011154</v>
      </c>
      <c r="K4" s="40">
        <v>0.5581187733277615</v>
      </c>
      <c r="L4" s="40">
        <v>6.2100000000000002E-2</v>
      </c>
      <c r="M4" s="194">
        <v>0.18904055191256799</v>
      </c>
      <c r="N4" s="201">
        <v>91080.8</v>
      </c>
      <c r="O4" s="193">
        <v>2860.7</v>
      </c>
      <c r="P4" s="194">
        <v>4277</v>
      </c>
      <c r="Q4" s="194">
        <v>-1.5549929293550344E-2</v>
      </c>
      <c r="R4" s="194">
        <v>-1416.3000000000002</v>
      </c>
      <c r="S4" s="39">
        <v>0.66885667523965397</v>
      </c>
    </row>
    <row r="5" spans="1:19">
      <c r="A5" s="201" t="s">
        <v>17</v>
      </c>
      <c r="B5" s="193">
        <v>1.1958894906320368</v>
      </c>
      <c r="C5" s="194">
        <v>0.40956126740814702</v>
      </c>
      <c r="D5" s="194">
        <v>2.2297340802266436E-2</v>
      </c>
      <c r="E5" s="194">
        <v>8.9687353403791498E-2</v>
      </c>
      <c r="F5" s="39">
        <v>-6.1206619020024375E-3</v>
      </c>
      <c r="G5" s="194">
        <v>2.5844348170019408E-2</v>
      </c>
      <c r="H5" s="193">
        <v>0.72683113036599611</v>
      </c>
      <c r="I5" s="193">
        <v>5.9055539494571914</v>
      </c>
      <c r="J5" s="193">
        <v>4.9997601138395762</v>
      </c>
      <c r="K5" s="40">
        <v>0.21388863358202836</v>
      </c>
      <c r="L5" s="40">
        <v>4.7100000000000003E-2</v>
      </c>
      <c r="M5" s="194">
        <v>0.24104909090909099</v>
      </c>
      <c r="N5" s="201">
        <v>543585</v>
      </c>
      <c r="O5" s="193">
        <v>14048.6</v>
      </c>
      <c r="P5" s="194">
        <v>12120.5</v>
      </c>
      <c r="Q5" s="194">
        <v>3.5470073677529739E-3</v>
      </c>
      <c r="R5" s="194">
        <v>1928.1000000000004</v>
      </c>
      <c r="S5" s="39">
        <v>1.1590775958087538</v>
      </c>
    </row>
    <row r="6" spans="1:19">
      <c r="A6" s="201" t="s">
        <v>18</v>
      </c>
      <c r="B6" s="193">
        <v>0.86443494308781044</v>
      </c>
      <c r="C6" s="194">
        <v>0.38132238098016602</v>
      </c>
      <c r="D6" s="194">
        <v>4.4590709682713191E-2</v>
      </c>
      <c r="E6" s="194">
        <v>5.0572280653426602E-2</v>
      </c>
      <c r="F6" s="39">
        <v>-8.0050717438808414E-2</v>
      </c>
      <c r="G6" s="194">
        <v>7.0726015447719129E-2</v>
      </c>
      <c r="H6" s="193">
        <v>0.65337678309601055</v>
      </c>
      <c r="I6" s="193">
        <v>4.814801341928221</v>
      </c>
      <c r="J6" s="193">
        <v>3.6239836287113212</v>
      </c>
      <c r="K6" s="40">
        <v>0.43887009693128187</v>
      </c>
      <c r="L6" s="40">
        <v>6.2100000000000002E-2</v>
      </c>
      <c r="M6" s="194">
        <v>0.22996204545454499</v>
      </c>
      <c r="N6" s="201">
        <v>511855.5</v>
      </c>
      <c r="O6" s="193">
        <v>36201.5</v>
      </c>
      <c r="P6" s="194">
        <v>22824</v>
      </c>
      <c r="Q6" s="194">
        <v>2.6135305765005945E-2</v>
      </c>
      <c r="R6" s="194">
        <v>13377.5</v>
      </c>
      <c r="S6" s="39">
        <v>1.5861154924640728</v>
      </c>
    </row>
    <row r="7" spans="1:19">
      <c r="A7" s="201" t="s">
        <v>19</v>
      </c>
      <c r="B7" s="193">
        <v>0.93093213721351609</v>
      </c>
      <c r="C7" s="194">
        <v>0.31922372051207398</v>
      </c>
      <c r="D7" s="194">
        <v>2.6884073599499299E-2</v>
      </c>
      <c r="E7" s="194">
        <v>0.26961673623181048</v>
      </c>
      <c r="F7" s="39">
        <v>0.19551928582604908</v>
      </c>
      <c r="G7" s="194">
        <v>3.796692166837936E-2</v>
      </c>
      <c r="H7" s="193">
        <v>0.6358719324731783</v>
      </c>
      <c r="I7" s="193">
        <v>4.8979077810877891</v>
      </c>
      <c r="J7" s="193">
        <v>4.057653102197758</v>
      </c>
      <c r="K7" s="40">
        <v>0.3071091501214368</v>
      </c>
      <c r="L7" s="40">
        <v>6.2100000000000002E-2</v>
      </c>
      <c r="M7" s="194">
        <v>0.17210981132075501</v>
      </c>
      <c r="N7" s="201">
        <v>94587.6</v>
      </c>
      <c r="O7" s="193">
        <v>3591.2</v>
      </c>
      <c r="P7" s="194">
        <v>2542.9</v>
      </c>
      <c r="Q7" s="194">
        <v>1.1082848068880061E-2</v>
      </c>
      <c r="R7" s="194">
        <v>1048.2999999999997</v>
      </c>
      <c r="S7" s="39">
        <v>1.4122458610248141</v>
      </c>
    </row>
    <row r="8" spans="1:19">
      <c r="A8" s="201" t="s">
        <v>20</v>
      </c>
      <c r="B8" s="193">
        <v>0.75736441432500012</v>
      </c>
      <c r="C8" s="194">
        <v>0.53775951121559595</v>
      </c>
      <c r="D8" s="194">
        <v>4.7083956173718994E-2</v>
      </c>
      <c r="E8" s="194">
        <v>0.24236158558170895</v>
      </c>
      <c r="F8" s="39">
        <v>0.13269421049273919</v>
      </c>
      <c r="G8" s="194">
        <v>4.2698125787280675E-2</v>
      </c>
      <c r="H8" s="193">
        <v>0.50581387465303362</v>
      </c>
      <c r="I8" s="193">
        <v>3.8621821186828229</v>
      </c>
      <c r="J8" s="193">
        <v>2.8408564505821907</v>
      </c>
      <c r="K8" s="40">
        <v>0.64757452723346753</v>
      </c>
      <c r="L8" s="40">
        <v>4.2099999999999999E-2</v>
      </c>
      <c r="M8" s="194">
        <v>0.243594</v>
      </c>
      <c r="N8" s="201">
        <v>1998572.5</v>
      </c>
      <c r="O8" s="193">
        <v>85335.3</v>
      </c>
      <c r="P8" s="194">
        <v>94100.7</v>
      </c>
      <c r="Q8" s="194">
        <v>-4.3858303864383174E-3</v>
      </c>
      <c r="R8" s="194">
        <v>-8765.3999999999942</v>
      </c>
      <c r="S8" s="39">
        <v>0.90685085233159801</v>
      </c>
    </row>
    <row r="9" spans="1:19">
      <c r="A9" s="201" t="s">
        <v>21</v>
      </c>
      <c r="B9" s="193">
        <v>1.1021511667232455</v>
      </c>
      <c r="C9" s="194">
        <v>0.39680710610286402</v>
      </c>
      <c r="D9" s="194">
        <v>3.1332861612217738E-2</v>
      </c>
      <c r="E9" s="194">
        <v>0.13439971759849623</v>
      </c>
      <c r="F9" s="39">
        <v>6.4410895991354841E-2</v>
      </c>
      <c r="G9" s="194">
        <v>2.9682814511488E-2</v>
      </c>
      <c r="H9" s="193">
        <v>0.28828306512929763</v>
      </c>
      <c r="I9" s="193">
        <v>3.7675552898369102</v>
      </c>
      <c r="J9" s="193">
        <v>2.6729967482520482</v>
      </c>
      <c r="K9" s="40">
        <v>0.48503723781426578</v>
      </c>
      <c r="L9" s="40">
        <v>5.21E-2</v>
      </c>
      <c r="M9" s="194">
        <v>0.196118827160494</v>
      </c>
      <c r="N9" s="201">
        <v>443623.7</v>
      </c>
      <c r="O9" s="193">
        <v>13168</v>
      </c>
      <c r="P9" s="194">
        <v>13900</v>
      </c>
      <c r="Q9" s="194">
        <v>-1.6500471007297401E-3</v>
      </c>
      <c r="R9" s="194">
        <v>-732</v>
      </c>
      <c r="S9" s="39">
        <v>0.94733812949640284</v>
      </c>
    </row>
    <row r="10" spans="1:19">
      <c r="A10" s="201" t="s">
        <v>140</v>
      </c>
      <c r="B10" s="193">
        <v>0.46968368446086578</v>
      </c>
      <c r="C10" s="194">
        <v>0.42579476660509202</v>
      </c>
      <c r="D10" s="39" t="s">
        <v>156</v>
      </c>
      <c r="E10" s="39" t="s">
        <v>156</v>
      </c>
      <c r="F10" s="39" t="s">
        <v>156</v>
      </c>
      <c r="G10" s="193" t="s">
        <v>156</v>
      </c>
      <c r="H10" s="193" t="s">
        <v>156</v>
      </c>
      <c r="I10" s="193">
        <v>5.4409206742494085</v>
      </c>
      <c r="J10" s="193">
        <v>5.4409206742494085</v>
      </c>
      <c r="K10" s="40">
        <v>0.47786811951670916</v>
      </c>
      <c r="L10" s="40">
        <v>4.2099999999999999E-2</v>
      </c>
      <c r="M10" s="194">
        <v>0.25914115303983198</v>
      </c>
      <c r="N10" s="201" t="s">
        <v>156</v>
      </c>
      <c r="O10" s="193">
        <v>0</v>
      </c>
      <c r="P10" s="194">
        <v>0</v>
      </c>
      <c r="Q10" s="39" t="s">
        <v>156</v>
      </c>
      <c r="R10" s="39">
        <v>0</v>
      </c>
      <c r="S10" s="39" t="s">
        <v>156</v>
      </c>
    </row>
    <row r="11" spans="1:19">
      <c r="A11" s="201" t="s">
        <v>174</v>
      </c>
      <c r="B11" s="193">
        <v>0.8258101630224024</v>
      </c>
      <c r="C11" s="194">
        <v>0.69917490844461805</v>
      </c>
      <c r="D11" s="39" t="s">
        <v>156</v>
      </c>
      <c r="E11" s="39" t="s">
        <v>156</v>
      </c>
      <c r="F11" s="39" t="s">
        <v>156</v>
      </c>
      <c r="G11" s="193" t="s">
        <v>156</v>
      </c>
      <c r="H11" s="193" t="s">
        <v>156</v>
      </c>
      <c r="I11" s="193">
        <v>4.3588950306215946</v>
      </c>
      <c r="J11" s="193">
        <v>4.3588950306215946</v>
      </c>
      <c r="K11" s="40">
        <v>9.3886184192516486E-2</v>
      </c>
      <c r="L11" s="40">
        <v>2.7100000000000003E-2</v>
      </c>
      <c r="M11" s="194">
        <v>0.15077874999999999</v>
      </c>
      <c r="N11" s="201" t="s">
        <v>156</v>
      </c>
      <c r="O11" s="193">
        <v>0</v>
      </c>
      <c r="P11" s="194">
        <v>0</v>
      </c>
      <c r="Q11" s="39" t="s">
        <v>156</v>
      </c>
      <c r="R11" s="39">
        <v>0</v>
      </c>
      <c r="S11" s="39" t="s">
        <v>156</v>
      </c>
    </row>
    <row r="12" spans="1:19">
      <c r="A12" s="201" t="s">
        <v>141</v>
      </c>
      <c r="B12" s="193">
        <v>0.66373349256731984</v>
      </c>
      <c r="C12" s="194">
        <v>0.50123194363910795</v>
      </c>
      <c r="D12" s="39" t="s">
        <v>156</v>
      </c>
      <c r="E12" s="39" t="s">
        <v>156</v>
      </c>
      <c r="F12" s="39" t="s">
        <v>156</v>
      </c>
      <c r="G12" s="193" t="s">
        <v>156</v>
      </c>
      <c r="H12" s="193" t="s">
        <v>156</v>
      </c>
      <c r="I12" s="193">
        <v>6.7131972298169389</v>
      </c>
      <c r="J12" s="193">
        <v>6.7131972298169389</v>
      </c>
      <c r="K12" s="40">
        <v>0.40819863131684864</v>
      </c>
      <c r="L12" s="40">
        <v>4.2099999999999999E-2</v>
      </c>
      <c r="M12" s="194">
        <v>0.268103076923077</v>
      </c>
      <c r="N12" s="201" t="s">
        <v>156</v>
      </c>
      <c r="O12" s="193">
        <v>0</v>
      </c>
      <c r="P12" s="194">
        <v>0</v>
      </c>
      <c r="Q12" s="39" t="s">
        <v>156</v>
      </c>
      <c r="R12" s="39">
        <v>0</v>
      </c>
      <c r="S12" s="39" t="s">
        <v>156</v>
      </c>
    </row>
    <row r="13" spans="1:19">
      <c r="A13" s="201" t="s">
        <v>22</v>
      </c>
      <c r="B13" s="193">
        <v>0.84623776752746849</v>
      </c>
      <c r="C13" s="194">
        <v>0.32076241851585502</v>
      </c>
      <c r="D13" s="194">
        <v>4.1056463059512154E-2</v>
      </c>
      <c r="E13" s="194">
        <v>0.11835086054812313</v>
      </c>
      <c r="F13" s="39">
        <v>5.1597956904798667E-2</v>
      </c>
      <c r="G13" s="194">
        <v>4.7218125089438942E-2</v>
      </c>
      <c r="H13" s="193">
        <v>1.9894121913394187</v>
      </c>
      <c r="I13" s="193">
        <v>9.9477708293389142</v>
      </c>
      <c r="J13" s="193">
        <v>8.2533774794679999</v>
      </c>
      <c r="K13" s="40">
        <v>0.1598369445461314</v>
      </c>
      <c r="L13" s="40">
        <v>5.21E-2</v>
      </c>
      <c r="M13" s="194">
        <v>0.16461878048780501</v>
      </c>
      <c r="N13" s="201">
        <v>266243.09999999998</v>
      </c>
      <c r="O13" s="193">
        <v>12571.5</v>
      </c>
      <c r="P13" s="194">
        <v>10931</v>
      </c>
      <c r="Q13" s="194">
        <v>6.1616620299267859E-3</v>
      </c>
      <c r="R13" s="194">
        <v>1640.5</v>
      </c>
      <c r="S13" s="39">
        <v>1.1500777604976671</v>
      </c>
    </row>
    <row r="14" spans="1:19">
      <c r="A14" s="201" t="s">
        <v>23</v>
      </c>
      <c r="B14" s="193">
        <v>1.2749403583232846</v>
      </c>
      <c r="C14" s="194">
        <v>0.294241981583303</v>
      </c>
      <c r="D14" s="194">
        <v>6.6173925112430268E-2</v>
      </c>
      <c r="E14" s="194">
        <v>0.72533513710988406</v>
      </c>
      <c r="F14" s="39">
        <v>4.6005873972812535E-2</v>
      </c>
      <c r="G14" s="194">
        <v>8.4882257315744378E-2</v>
      </c>
      <c r="H14" s="193">
        <v>5.7145443842299306</v>
      </c>
      <c r="I14" s="193">
        <v>21.233493269535721</v>
      </c>
      <c r="J14" s="193">
        <v>17.04294090110448</v>
      </c>
      <c r="K14" s="40">
        <v>9.0775672292484955E-2</v>
      </c>
      <c r="L14" s="40">
        <v>6.2100000000000002E-2</v>
      </c>
      <c r="M14" s="194">
        <v>3.5859166666666699E-2</v>
      </c>
      <c r="N14" s="201">
        <v>62683.3</v>
      </c>
      <c r="O14" s="193">
        <v>5320.7</v>
      </c>
      <c r="P14" s="194">
        <v>4148</v>
      </c>
      <c r="Q14" s="194">
        <v>1.8708332203314117E-2</v>
      </c>
      <c r="R14" s="194">
        <v>1172.6999999999998</v>
      </c>
      <c r="S14" s="39">
        <v>1.2827145612343298</v>
      </c>
    </row>
    <row r="15" spans="1:19">
      <c r="A15" s="201" t="s">
        <v>24</v>
      </c>
      <c r="B15" s="193">
        <v>0.80263474754315767</v>
      </c>
      <c r="C15" s="194">
        <v>0.40233007584734498</v>
      </c>
      <c r="D15" s="194">
        <v>4.6905301160569041E-2</v>
      </c>
      <c r="E15" s="194">
        <v>0.11920415517840932</v>
      </c>
      <c r="F15" s="39">
        <v>6.6366419948607272E-2</v>
      </c>
      <c r="G15" s="194">
        <v>6.137887740895244E-2</v>
      </c>
      <c r="H15" s="193">
        <v>0.84523901001936674</v>
      </c>
      <c r="I15" s="193">
        <v>6.0189230599492882</v>
      </c>
      <c r="J15" s="193">
        <v>4.511898034577059</v>
      </c>
      <c r="K15" s="40">
        <v>0.5076462356157232</v>
      </c>
      <c r="L15" s="40">
        <v>6.2100000000000002E-2</v>
      </c>
      <c r="M15" s="194">
        <v>0.184365769230769</v>
      </c>
      <c r="N15" s="201">
        <v>153562.6</v>
      </c>
      <c r="O15" s="193">
        <v>9425.5</v>
      </c>
      <c r="P15" s="194">
        <v>7202.9</v>
      </c>
      <c r="Q15" s="194">
        <v>1.4473576248383397E-2</v>
      </c>
      <c r="R15" s="194">
        <v>2222.6000000000004</v>
      </c>
      <c r="S15" s="39">
        <v>1.3085701592414167</v>
      </c>
    </row>
    <row r="16" spans="1:19">
      <c r="A16" s="201" t="s">
        <v>25</v>
      </c>
      <c r="B16" s="193">
        <v>0.95114956417760688</v>
      </c>
      <c r="C16" s="194">
        <v>0.34144193436662401</v>
      </c>
      <c r="D16" s="194">
        <v>0.1814786092223494</v>
      </c>
      <c r="E16" s="194">
        <v>-4.2324908095025218E-2</v>
      </c>
      <c r="F16" s="39">
        <v>-0.1056576492873864</v>
      </c>
      <c r="G16" s="194">
        <v>0.18654021192691034</v>
      </c>
      <c r="H16" s="193">
        <v>2.1962665568972457</v>
      </c>
      <c r="I16" s="193">
        <v>6.3833696355154288</v>
      </c>
      <c r="J16" s="193">
        <v>4.1790719800458618</v>
      </c>
      <c r="K16" s="40">
        <v>0.47026273039679856</v>
      </c>
      <c r="L16" s="40">
        <v>6.2100000000000002E-2</v>
      </c>
      <c r="M16" s="194">
        <v>0.229707466666667</v>
      </c>
      <c r="N16" s="201">
        <v>291034.3</v>
      </c>
      <c r="O16" s="193">
        <v>54289.599999999999</v>
      </c>
      <c r="P16" s="194">
        <v>52816.5</v>
      </c>
      <c r="Q16" s="194">
        <v>5.0616027045609349E-3</v>
      </c>
      <c r="R16" s="194">
        <v>1473.0999999999985</v>
      </c>
      <c r="S16" s="39">
        <v>1.0278909053042136</v>
      </c>
    </row>
    <row r="17" spans="1:19">
      <c r="A17" s="201" t="s">
        <v>175</v>
      </c>
      <c r="B17" s="193">
        <v>0.98725647640317782</v>
      </c>
      <c r="C17" s="194">
        <v>0.56069334694314599</v>
      </c>
      <c r="D17" s="194">
        <v>0.13132456273501253</v>
      </c>
      <c r="E17" s="194">
        <v>-2.3757087602867519E-2</v>
      </c>
      <c r="F17" s="39">
        <v>-5.3730706637128187E-2</v>
      </c>
      <c r="G17" s="194">
        <v>0.27761998728026271</v>
      </c>
      <c r="H17" s="193">
        <v>1.6146315407214127</v>
      </c>
      <c r="I17" s="193">
        <v>3.9711648242801836</v>
      </c>
      <c r="J17" s="193">
        <v>3.0016566794400297</v>
      </c>
      <c r="K17" s="40">
        <v>0.2630555260881533</v>
      </c>
      <c r="L17" s="40">
        <v>4.2099999999999999E-2</v>
      </c>
      <c r="M17" s="194">
        <v>0.27818166666666699</v>
      </c>
      <c r="N17" s="201">
        <v>260225.5</v>
      </c>
      <c r="O17" s="193">
        <v>72243.8</v>
      </c>
      <c r="P17" s="194">
        <v>34174</v>
      </c>
      <c r="Q17" s="194">
        <v>0.14629542454525019</v>
      </c>
      <c r="R17" s="194">
        <v>38069.800000000003</v>
      </c>
      <c r="S17" s="39">
        <v>2.1139989465675662</v>
      </c>
    </row>
    <row r="18" spans="1:19">
      <c r="A18" s="201" t="s">
        <v>26</v>
      </c>
      <c r="B18" s="193">
        <v>1.1048192591466783</v>
      </c>
      <c r="C18" s="194">
        <v>0.53051048260021305</v>
      </c>
      <c r="D18" s="194">
        <v>4.202656399452738E-2</v>
      </c>
      <c r="E18" s="194">
        <v>0.18278829117883277</v>
      </c>
      <c r="F18" s="39">
        <v>0.11160832838941154</v>
      </c>
      <c r="G18" s="194">
        <v>4.5953046868378679E-2</v>
      </c>
      <c r="H18" s="193">
        <v>0.87515084006312072</v>
      </c>
      <c r="I18" s="193">
        <v>5.8141462817073384</v>
      </c>
      <c r="J18" s="193">
        <v>4.5451162032714594</v>
      </c>
      <c r="K18" s="40">
        <v>0.22547422839131037</v>
      </c>
      <c r="L18" s="40">
        <v>4.7100000000000003E-2</v>
      </c>
      <c r="M18" s="194">
        <v>0.19294526315789501</v>
      </c>
      <c r="N18" s="201">
        <v>247779</v>
      </c>
      <c r="O18" s="193">
        <v>11386.2</v>
      </c>
      <c r="P18" s="194">
        <v>10413.299999999999</v>
      </c>
      <c r="Q18" s="194">
        <v>3.9264828738513006E-3</v>
      </c>
      <c r="R18" s="194">
        <v>972.90000000000146</v>
      </c>
      <c r="S18" s="39">
        <v>1.0934285961222669</v>
      </c>
    </row>
    <row r="19" spans="1:19">
      <c r="A19" s="201" t="s">
        <v>27</v>
      </c>
      <c r="B19" s="193">
        <v>1.0980173029685665</v>
      </c>
      <c r="C19" s="194">
        <v>0.51910320184907499</v>
      </c>
      <c r="D19" s="194">
        <v>4.7223341771464027E-2</v>
      </c>
      <c r="E19" s="194">
        <v>0.23714838663462676</v>
      </c>
      <c r="F19" s="39">
        <v>0.13875119233709599</v>
      </c>
      <c r="G19" s="194">
        <v>5.6049003459372859E-2</v>
      </c>
      <c r="H19" s="193">
        <v>1.1535256744089157</v>
      </c>
      <c r="I19" s="193">
        <v>5.8050358858006925</v>
      </c>
      <c r="J19" s="193">
        <v>4.6903767314742124</v>
      </c>
      <c r="K19" s="40">
        <v>0.21074407749852264</v>
      </c>
      <c r="L19" s="40">
        <v>4.7100000000000003E-2</v>
      </c>
      <c r="M19" s="194">
        <v>0.25474422344394299</v>
      </c>
      <c r="N19" s="201">
        <v>242905.29999999996</v>
      </c>
      <c r="O19" s="193">
        <v>13614.6</v>
      </c>
      <c r="P19" s="194">
        <v>11470.8</v>
      </c>
      <c r="Q19" s="194">
        <v>8.8256616879088326E-3</v>
      </c>
      <c r="R19" s="194">
        <v>2143.8000000000011</v>
      </c>
      <c r="S19" s="39">
        <v>1.1868919343027515</v>
      </c>
    </row>
    <row r="20" spans="1:19">
      <c r="A20" s="201" t="s">
        <v>28</v>
      </c>
      <c r="B20" s="193">
        <v>0.97523804107821432</v>
      </c>
      <c r="C20" s="194">
        <v>0.381188292967515</v>
      </c>
      <c r="D20" s="194">
        <v>4.194887066165847E-2</v>
      </c>
      <c r="E20" s="194">
        <v>0.17212505070953621</v>
      </c>
      <c r="F20" s="39">
        <v>0.11644366242258933</v>
      </c>
      <c r="G20" s="194">
        <v>4.6065668352790939E-2</v>
      </c>
      <c r="H20" s="193">
        <v>0.90343977296253608</v>
      </c>
      <c r="I20" s="193">
        <v>6.4185252166580469</v>
      </c>
      <c r="J20" s="193">
        <v>4.9448299721164819</v>
      </c>
      <c r="K20" s="40">
        <v>0.26330435006728803</v>
      </c>
      <c r="L20" s="40">
        <v>6.2100000000000002E-2</v>
      </c>
      <c r="M20" s="194">
        <v>0.18988579545454501</v>
      </c>
      <c r="N20" s="201">
        <v>226535.3</v>
      </c>
      <c r="O20" s="193">
        <v>10435.5</v>
      </c>
      <c r="P20" s="194">
        <v>9502.9</v>
      </c>
      <c r="Q20" s="194">
        <v>4.1167976911324657E-3</v>
      </c>
      <c r="R20" s="194">
        <v>932.60000000000036</v>
      </c>
      <c r="S20" s="39">
        <v>1.0981384629955067</v>
      </c>
    </row>
    <row r="21" spans="1:19">
      <c r="A21" s="201" t="s">
        <v>29</v>
      </c>
      <c r="B21" s="193">
        <v>1.4327502297387076</v>
      </c>
      <c r="C21" s="194">
        <v>0.45317126310564299</v>
      </c>
      <c r="D21" s="194">
        <v>8.3825151602377745E-2</v>
      </c>
      <c r="E21" s="194">
        <v>8.7671476343460758E-2</v>
      </c>
      <c r="F21" s="39">
        <v>4.693443474867523E-2</v>
      </c>
      <c r="G21" s="194">
        <v>0.11666283515281944</v>
      </c>
      <c r="H21" s="193">
        <v>1.2607560896921974</v>
      </c>
      <c r="I21" s="193">
        <v>6.9833897485168803</v>
      </c>
      <c r="J21" s="193">
        <v>4.7690598406818294</v>
      </c>
      <c r="K21" s="40">
        <v>0.32442285227422862</v>
      </c>
      <c r="L21" s="40">
        <v>5.21E-2</v>
      </c>
      <c r="M21" s="194">
        <v>0.10519673395335701</v>
      </c>
      <c r="N21" s="201">
        <v>51763.7</v>
      </c>
      <c r="O21" s="193">
        <v>6038.9</v>
      </c>
      <c r="P21" s="194">
        <v>4339.1000000000004</v>
      </c>
      <c r="Q21" s="194">
        <v>3.2837683550441706E-2</v>
      </c>
      <c r="R21" s="194">
        <v>1699.7999999999993</v>
      </c>
      <c r="S21" s="39">
        <v>1.3917402226268119</v>
      </c>
    </row>
    <row r="22" spans="1:19">
      <c r="A22" s="202" t="s">
        <v>30</v>
      </c>
      <c r="B22" s="203">
        <v>1.3300458051758715</v>
      </c>
      <c r="C22" s="204">
        <v>0.30883821649710602</v>
      </c>
      <c r="D22" s="204">
        <v>3.9206154692609241E-2</v>
      </c>
      <c r="E22" s="204">
        <v>0.2477980436780603</v>
      </c>
      <c r="F22" s="205">
        <v>-6.3713518253377774E-2</v>
      </c>
      <c r="G22" s="204">
        <v>3.5142402293316992E-2</v>
      </c>
      <c r="H22" s="203">
        <v>1.9340053057964379</v>
      </c>
      <c r="I22" s="203">
        <v>7.8893142113018717</v>
      </c>
      <c r="J22" s="203">
        <v>6.8015306300444589</v>
      </c>
      <c r="K22" s="206">
        <v>7.2080967991357991E-2</v>
      </c>
      <c r="L22" s="206">
        <v>6.2100000000000002E-2</v>
      </c>
      <c r="M22" s="204">
        <v>0.12649341614906801</v>
      </c>
      <c r="N22" s="202">
        <v>511817.60000000003</v>
      </c>
      <c r="O22" s="203">
        <v>17986.5</v>
      </c>
      <c r="P22" s="204">
        <v>20066.400000000001</v>
      </c>
      <c r="Q22" s="204">
        <v>-4.0637523992922506E-3</v>
      </c>
      <c r="R22" s="204">
        <v>-2079.9000000000015</v>
      </c>
      <c r="S22" s="205">
        <v>0.89634912091855035</v>
      </c>
    </row>
    <row r="23" spans="1:19">
      <c r="A23" s="201" t="s">
        <v>31</v>
      </c>
      <c r="B23" s="193">
        <v>1.3872380392282455</v>
      </c>
      <c r="C23" s="194">
        <v>0.29131389216493098</v>
      </c>
      <c r="D23" s="194">
        <v>2.9913740443765862E-2</v>
      </c>
      <c r="E23" s="194">
        <v>0.16684904266547027</v>
      </c>
      <c r="F23" s="39">
        <v>-6.8639889149722418E-3</v>
      </c>
      <c r="G23" s="194">
        <v>2.8498395413050527E-2</v>
      </c>
      <c r="H23" s="193">
        <v>0.69914311173362198</v>
      </c>
      <c r="I23" s="193">
        <v>6.0243669522173935</v>
      </c>
      <c r="J23" s="193">
        <v>4.789757536482286</v>
      </c>
      <c r="K23" s="40">
        <v>0.15510057897729956</v>
      </c>
      <c r="L23" s="40">
        <v>6.2100000000000002E-2</v>
      </c>
      <c r="M23" s="194">
        <v>9.8955680000000004E-2</v>
      </c>
      <c r="N23" s="201">
        <v>932140.2</v>
      </c>
      <c r="O23" s="193">
        <v>26564.5</v>
      </c>
      <c r="P23" s="194">
        <v>27883.8</v>
      </c>
      <c r="Q23" s="194">
        <v>-1.4153450307153358E-3</v>
      </c>
      <c r="R23" s="194">
        <v>-1319.2999999999993</v>
      </c>
      <c r="S23" s="39">
        <v>0.95268578888099897</v>
      </c>
    </row>
    <row r="24" spans="1:19">
      <c r="A24" s="201" t="s">
        <v>32</v>
      </c>
      <c r="B24" s="193">
        <v>0.60473516156663487</v>
      </c>
      <c r="C24" s="194">
        <v>0.40180959304456798</v>
      </c>
      <c r="D24" s="194">
        <v>4.0488229630110104E-2</v>
      </c>
      <c r="E24" s="194">
        <v>1.1204045109876419</v>
      </c>
      <c r="F24" s="39">
        <v>0.91238674226388716</v>
      </c>
      <c r="G24" s="194">
        <v>5.9461414498044554E-2</v>
      </c>
      <c r="H24" s="193">
        <v>1.9551203578682024</v>
      </c>
      <c r="I24" s="193">
        <v>8.7337623194565452</v>
      </c>
      <c r="J24" s="193">
        <v>7.396066249723579</v>
      </c>
      <c r="K24" s="40">
        <v>0.61682979154677897</v>
      </c>
      <c r="L24" s="40">
        <v>5.21E-2</v>
      </c>
      <c r="M24" s="194">
        <v>0.202277610619469</v>
      </c>
      <c r="N24" s="201">
        <v>872589.4</v>
      </c>
      <c r="O24" s="193">
        <v>51885.4</v>
      </c>
      <c r="P24" s="194">
        <v>35329.599999999999</v>
      </c>
      <c r="Q24" s="194">
        <v>1.8973184867934451E-2</v>
      </c>
      <c r="R24" s="194">
        <v>16555.800000000003</v>
      </c>
      <c r="S24" s="39">
        <v>1.4686098908563925</v>
      </c>
    </row>
    <row r="25" spans="1:19">
      <c r="A25" s="201" t="s">
        <v>33</v>
      </c>
      <c r="B25" s="193">
        <v>1.1449311288798729</v>
      </c>
      <c r="C25" s="194">
        <v>0.290384348254969</v>
      </c>
      <c r="D25" s="194">
        <v>7.6433788255082569E-2</v>
      </c>
      <c r="E25" s="194">
        <v>0.41999648592197203</v>
      </c>
      <c r="F25" s="39">
        <v>0.10482477484236007</v>
      </c>
      <c r="G25" s="194">
        <v>4.717711446813052E-2</v>
      </c>
      <c r="H25" s="193">
        <v>2.6310324183569143</v>
      </c>
      <c r="I25" s="193">
        <v>8.7272736712134975</v>
      </c>
      <c r="J25" s="193">
        <v>6.9621304899602618</v>
      </c>
      <c r="K25" s="40">
        <v>0.12668077219185936</v>
      </c>
      <c r="L25" s="40">
        <v>6.2100000000000002E-2</v>
      </c>
      <c r="M25" s="194">
        <v>5.9576549707602303E-2</v>
      </c>
      <c r="N25" s="201">
        <v>810454.39999999921</v>
      </c>
      <c r="O25" s="193">
        <v>38234.9</v>
      </c>
      <c r="P25" s="194">
        <v>61946.099999999933</v>
      </c>
      <c r="Q25" s="194">
        <v>-2.9256673786952053E-2</v>
      </c>
      <c r="R25" s="194">
        <v>-23711.199999999932</v>
      </c>
      <c r="S25" s="39">
        <v>0.61722852608961731</v>
      </c>
    </row>
    <row r="26" spans="1:19">
      <c r="A26" s="201" t="s">
        <v>34</v>
      </c>
      <c r="B26" s="193">
        <v>1.7632138549156848</v>
      </c>
      <c r="C26" s="194">
        <v>0.363433936866491</v>
      </c>
      <c r="D26" s="194">
        <v>4.9463797113676558E-2</v>
      </c>
      <c r="E26" s="194">
        <v>0.40669373159281869</v>
      </c>
      <c r="F26" s="39">
        <v>-0.140682144501937</v>
      </c>
      <c r="G26" s="194">
        <v>7.2339980881687055E-2</v>
      </c>
      <c r="H26" s="193">
        <v>1.8574795561764923</v>
      </c>
      <c r="I26" s="193">
        <v>14.643017802602589</v>
      </c>
      <c r="J26" s="193">
        <v>10.535025704186545</v>
      </c>
      <c r="K26" s="40">
        <v>0.10259047012116329</v>
      </c>
      <c r="L26" s="40">
        <v>5.21E-2</v>
      </c>
      <c r="M26" s="194">
        <v>0.13085277777777801</v>
      </c>
      <c r="N26" s="201">
        <v>25839.1</v>
      </c>
      <c r="O26" s="193">
        <v>1869.2</v>
      </c>
      <c r="P26" s="194">
        <v>1278.0999999999999</v>
      </c>
      <c r="Q26" s="194">
        <v>2.2876183768010504E-2</v>
      </c>
      <c r="R26" s="194">
        <v>591.10000000000014</v>
      </c>
      <c r="S26" s="39">
        <v>1.4624833737579221</v>
      </c>
    </row>
    <row r="27" spans="1:19">
      <c r="A27" s="201" t="s">
        <v>35</v>
      </c>
      <c r="B27" s="193">
        <v>0.88997670562564934</v>
      </c>
      <c r="C27" s="194">
        <v>0.291906814473059</v>
      </c>
      <c r="D27" s="194">
        <v>3.8826578529114288E-2</v>
      </c>
      <c r="E27" s="194">
        <v>0.11228055916775032</v>
      </c>
      <c r="F27" s="39">
        <v>-0.11476394307181043</v>
      </c>
      <c r="G27" s="194">
        <v>4.1328023407022102E-2</v>
      </c>
      <c r="H27" s="193">
        <v>2.7482435702933103</v>
      </c>
      <c r="I27" s="193">
        <v>15.827658365894901</v>
      </c>
      <c r="J27" s="193">
        <v>12.935218506071317</v>
      </c>
      <c r="K27" s="40">
        <v>2.1751502026730707E-2</v>
      </c>
      <c r="L27" s="40">
        <v>5.21E-2</v>
      </c>
      <c r="M27" s="194">
        <v>0.20804147058823499</v>
      </c>
      <c r="N27" s="201">
        <v>22147.200000000001</v>
      </c>
      <c r="O27" s="193">
        <v>915.3</v>
      </c>
      <c r="P27" s="194">
        <v>859.9</v>
      </c>
      <c r="Q27" s="194">
        <v>2.5014448779078157E-3</v>
      </c>
      <c r="R27" s="194">
        <v>55.399999999999977</v>
      </c>
      <c r="S27" s="39">
        <v>1.064426096057681</v>
      </c>
    </row>
    <row r="28" spans="1:19">
      <c r="A28" s="201" t="s">
        <v>142</v>
      </c>
      <c r="B28" s="193">
        <v>0.48925621853811868</v>
      </c>
      <c r="C28" s="194">
        <v>0.627242138051613</v>
      </c>
      <c r="D28" s="194">
        <v>8.2852492420191423E-2</v>
      </c>
      <c r="E28" s="194">
        <v>9.3733189671947686E-2</v>
      </c>
      <c r="F28" s="39">
        <v>5.3941260548689099E-2</v>
      </c>
      <c r="G28" s="194">
        <v>0.18141959271890545</v>
      </c>
      <c r="H28" s="193">
        <v>1.6482430358259577</v>
      </c>
      <c r="I28" s="193">
        <v>7.5402867466257391</v>
      </c>
      <c r="J28" s="193">
        <v>5.4678240543953889</v>
      </c>
      <c r="K28" s="40">
        <v>0.51882742378308278</v>
      </c>
      <c r="L28" s="40">
        <v>3.2100000000000004E-2</v>
      </c>
      <c r="M28" s="194">
        <v>0.33022916666666702</v>
      </c>
      <c r="N28" s="201">
        <v>187570.7</v>
      </c>
      <c r="O28" s="193">
        <v>34029</v>
      </c>
      <c r="P28" s="194">
        <v>15540.7</v>
      </c>
      <c r="Q28" s="194">
        <v>9.8567100298714017E-2</v>
      </c>
      <c r="R28" s="194">
        <v>18488.3</v>
      </c>
      <c r="S28" s="39">
        <v>2.1896697059977992</v>
      </c>
    </row>
    <row r="29" spans="1:19">
      <c r="A29" s="201" t="s">
        <v>143</v>
      </c>
      <c r="B29" s="193">
        <v>0.50221922806184283</v>
      </c>
      <c r="C29" s="194">
        <v>0.56198509064339797</v>
      </c>
      <c r="D29" s="194">
        <v>8.6071572547335023E-2</v>
      </c>
      <c r="E29" s="194">
        <v>8.3014373988038195E-2</v>
      </c>
      <c r="F29" s="39">
        <v>5.6392558569870799E-2</v>
      </c>
      <c r="G29" s="194">
        <v>0.17755067243829098</v>
      </c>
      <c r="H29" s="193">
        <v>1.9330612298846777</v>
      </c>
      <c r="I29" s="193">
        <v>7.4787655130453885</v>
      </c>
      <c r="J29" s="193">
        <v>5.6104773660872196</v>
      </c>
      <c r="K29" s="40">
        <v>0.42297587720126539</v>
      </c>
      <c r="L29" s="40">
        <v>3.2100000000000004E-2</v>
      </c>
      <c r="M29" s="194">
        <v>0.32091500000000001</v>
      </c>
      <c r="N29" s="201">
        <v>378287.5</v>
      </c>
      <c r="O29" s="193">
        <v>67165.2</v>
      </c>
      <c r="P29" s="194">
        <v>32559.8</v>
      </c>
      <c r="Q29" s="194">
        <v>9.1479099890955942E-2</v>
      </c>
      <c r="R29" s="194">
        <v>34605.399999999994</v>
      </c>
      <c r="S29" s="39">
        <v>2.0628259387342673</v>
      </c>
    </row>
    <row r="30" spans="1:19">
      <c r="A30" s="201" t="s">
        <v>144</v>
      </c>
      <c r="B30" s="193">
        <v>0.49639279003603209</v>
      </c>
      <c r="C30" s="194">
        <v>0.63067199635133797</v>
      </c>
      <c r="D30" s="194">
        <v>9.7571977325813575E-2</v>
      </c>
      <c r="E30" s="194">
        <v>6.0409669569414556E-2</v>
      </c>
      <c r="F30" s="39">
        <v>1.4955711786152426E-2</v>
      </c>
      <c r="G30" s="194">
        <v>0.21304239774062594</v>
      </c>
      <c r="H30" s="193">
        <v>1.5695890950149545</v>
      </c>
      <c r="I30" s="193">
        <v>6.4373002383147711</v>
      </c>
      <c r="J30" s="193">
        <v>4.5975182564678709</v>
      </c>
      <c r="K30" s="40">
        <v>0.47562856510063889</v>
      </c>
      <c r="L30" s="40">
        <v>3.2100000000000004E-2</v>
      </c>
      <c r="M30" s="194">
        <v>0.304709375</v>
      </c>
      <c r="N30" s="201">
        <v>139224.4</v>
      </c>
      <c r="O30" s="193">
        <v>29660.7</v>
      </c>
      <c r="P30" s="194">
        <v>13584.4</v>
      </c>
      <c r="Q30" s="194">
        <v>0.11547042041481236</v>
      </c>
      <c r="R30" s="194">
        <v>16076.300000000001</v>
      </c>
      <c r="S30" s="39">
        <v>2.18343835576102</v>
      </c>
    </row>
    <row r="31" spans="1:19">
      <c r="A31" s="201" t="s">
        <v>36</v>
      </c>
      <c r="B31" s="193">
        <v>1.2592242955632071</v>
      </c>
      <c r="C31" s="194">
        <v>0.37281146678400401</v>
      </c>
      <c r="D31" s="194">
        <v>3.0759879969737412E-2</v>
      </c>
      <c r="E31" s="194">
        <v>0.22374391135442079</v>
      </c>
      <c r="F31" s="39">
        <v>0.12136434540153182</v>
      </c>
      <c r="G31" s="194">
        <v>3.8925359368225984E-2</v>
      </c>
      <c r="H31" s="193">
        <v>0.99757569897226206</v>
      </c>
      <c r="I31" s="193">
        <v>6.3337932497105491</v>
      </c>
      <c r="J31" s="193">
        <v>5.298914298636193</v>
      </c>
      <c r="K31" s="40">
        <v>0.19048198666201044</v>
      </c>
      <c r="L31" s="40">
        <v>5.21E-2</v>
      </c>
      <c r="M31" s="194">
        <v>0.14230907995618799</v>
      </c>
      <c r="N31" s="201">
        <v>188219.2</v>
      </c>
      <c r="O31" s="193">
        <v>7326.5</v>
      </c>
      <c r="P31" s="194">
        <v>5789.6</v>
      </c>
      <c r="Q31" s="194">
        <v>8.1654793984885683E-3</v>
      </c>
      <c r="R31" s="194">
        <v>1536.8999999999996</v>
      </c>
      <c r="S31" s="39">
        <v>1.2654587536271935</v>
      </c>
    </row>
    <row r="32" spans="1:19">
      <c r="A32" s="201" t="s">
        <v>37</v>
      </c>
      <c r="B32" s="193">
        <v>1.2331067445300783</v>
      </c>
      <c r="C32" s="194">
        <v>0.311124085241472</v>
      </c>
      <c r="D32" s="194">
        <v>2.4662577501306016E-2</v>
      </c>
      <c r="E32" s="194">
        <v>0.22859823829683529</v>
      </c>
      <c r="F32" s="39">
        <v>0.12647597836538751</v>
      </c>
      <c r="G32" s="194">
        <v>3.0218722891886055E-2</v>
      </c>
      <c r="H32" s="193">
        <v>0.32128521566446328</v>
      </c>
      <c r="I32" s="193">
        <v>4.2434273588782538</v>
      </c>
      <c r="J32" s="193">
        <v>3.2008110185233085</v>
      </c>
      <c r="K32" s="40">
        <v>0.31329477545222639</v>
      </c>
      <c r="L32" s="40">
        <v>6.2100000000000002E-2</v>
      </c>
      <c r="M32" s="194">
        <v>0.118731169512031</v>
      </c>
      <c r="N32" s="201">
        <v>331542.8</v>
      </c>
      <c r="O32" s="193">
        <v>10018.799999999999</v>
      </c>
      <c r="P32" s="194">
        <v>8176.7</v>
      </c>
      <c r="Q32" s="194">
        <v>5.5561453905800381E-3</v>
      </c>
      <c r="R32" s="194">
        <v>1842.0999999999995</v>
      </c>
      <c r="S32" s="39">
        <v>1.2252864847676934</v>
      </c>
    </row>
    <row r="33" spans="1:19">
      <c r="A33" s="201" t="s">
        <v>38</v>
      </c>
      <c r="B33" s="193">
        <v>1.0892330350889323</v>
      </c>
      <c r="C33" s="194">
        <v>0.33822492936911802</v>
      </c>
      <c r="D33" s="194">
        <v>5.8455467869222101E-2</v>
      </c>
      <c r="E33" s="194">
        <v>0.1071710220038477</v>
      </c>
      <c r="F33" s="39">
        <v>-1.6380891483955759E-3</v>
      </c>
      <c r="G33" s="194">
        <v>5.323158727220717E-2</v>
      </c>
      <c r="H33" s="193">
        <v>1.2746002232355695</v>
      </c>
      <c r="I33" s="193">
        <v>5.3675437230635552</v>
      </c>
      <c r="J33" s="193">
        <v>4.307248764219052</v>
      </c>
      <c r="K33" s="40">
        <v>0.44205370576770808</v>
      </c>
      <c r="L33" s="40">
        <v>6.2100000000000002E-2</v>
      </c>
      <c r="M33" s="194">
        <v>0.17167069444444399</v>
      </c>
      <c r="N33" s="201">
        <v>356574</v>
      </c>
      <c r="O33" s="193">
        <v>18981</v>
      </c>
      <c r="P33" s="194">
        <v>20843.7</v>
      </c>
      <c r="Q33" s="194">
        <v>-5.2238805970149273E-3</v>
      </c>
      <c r="R33" s="194">
        <v>-1862.7000000000007</v>
      </c>
      <c r="S33" s="39">
        <v>0.91063486808963856</v>
      </c>
    </row>
    <row r="34" spans="1:19">
      <c r="A34" s="201" t="s">
        <v>145</v>
      </c>
      <c r="B34" s="193">
        <v>2.327020629070867</v>
      </c>
      <c r="C34" s="194">
        <v>0.34026070258490598</v>
      </c>
      <c r="D34" s="194">
        <v>4.8976970662591338E-2</v>
      </c>
      <c r="E34" s="194">
        <v>0.59235308941040665</v>
      </c>
      <c r="F34" s="39">
        <v>-6.0296544380045031E-2</v>
      </c>
      <c r="G34" s="194">
        <v>3.2735313005519552E-2</v>
      </c>
      <c r="H34" s="193">
        <v>0.84752513880195413</v>
      </c>
      <c r="I34" s="193">
        <v>21.577436880305779</v>
      </c>
      <c r="J34" s="193">
        <v>9.6031102508532129</v>
      </c>
      <c r="K34" s="40">
        <v>0.10347770486651109</v>
      </c>
      <c r="L34" s="40">
        <v>6.2100000000000002E-2</v>
      </c>
      <c r="M34" s="194">
        <v>0.13667636363636401</v>
      </c>
      <c r="N34" s="201">
        <v>24603.400000000005</v>
      </c>
      <c r="O34" s="193">
        <v>805.4</v>
      </c>
      <c r="P34" s="194">
        <v>1205</v>
      </c>
      <c r="Q34" s="194">
        <v>-1.6241657657071785E-2</v>
      </c>
      <c r="R34" s="194">
        <v>-399.6</v>
      </c>
      <c r="S34" s="39">
        <v>0.66838174273858919</v>
      </c>
    </row>
    <row r="35" spans="1:19">
      <c r="A35" s="201" t="s">
        <v>39</v>
      </c>
      <c r="B35" s="193">
        <v>0.79820694348728205</v>
      </c>
      <c r="C35" s="194">
        <v>0.29075946599322</v>
      </c>
      <c r="D35" s="194">
        <v>7.5490873060981428E-2</v>
      </c>
      <c r="E35" s="194">
        <v>7.4725699811166779E-2</v>
      </c>
      <c r="F35" s="39">
        <v>3.4833197321384637E-2</v>
      </c>
      <c r="G35" s="194">
        <v>7.5056539686363791E-2</v>
      </c>
      <c r="H35" s="193">
        <v>1.7290777711232777</v>
      </c>
      <c r="I35" s="193">
        <v>7.9141376565674957</v>
      </c>
      <c r="J35" s="193">
        <v>5.8818072709918567</v>
      </c>
      <c r="K35" s="40">
        <v>0.33270608365055476</v>
      </c>
      <c r="L35" s="40">
        <v>6.2100000000000002E-2</v>
      </c>
      <c r="M35" s="194">
        <v>0.15449329113924001</v>
      </c>
      <c r="N35" s="201">
        <v>58940.9</v>
      </c>
      <c r="O35" s="193">
        <v>4423.8999999999996</v>
      </c>
      <c r="P35" s="194">
        <v>4449.5</v>
      </c>
      <c r="Q35" s="194">
        <v>-4.3433337461763164E-4</v>
      </c>
      <c r="R35" s="194">
        <v>-25.600000000000364</v>
      </c>
      <c r="S35" s="39">
        <v>0.99424654455556793</v>
      </c>
    </row>
    <row r="36" spans="1:19">
      <c r="A36" s="201" t="s">
        <v>146</v>
      </c>
      <c r="B36" s="193">
        <v>0.44804787434227</v>
      </c>
      <c r="C36" s="194">
        <v>0.36686507610962699</v>
      </c>
      <c r="D36" s="194">
        <v>1.7644658193586127E-2</v>
      </c>
      <c r="E36" s="194">
        <v>1.0578205074290783</v>
      </c>
      <c r="F36" s="39">
        <v>0.28745027688202363</v>
      </c>
      <c r="G36" s="194">
        <v>4.5625799249541722E-2</v>
      </c>
      <c r="H36" s="193">
        <v>6.957963536061567</v>
      </c>
      <c r="I36" s="193">
        <v>8.1207362589663497</v>
      </c>
      <c r="J36" s="193">
        <v>7.9568776782216508</v>
      </c>
      <c r="K36" s="40">
        <v>0.72328614036472505</v>
      </c>
      <c r="L36" s="40">
        <v>6.2100000000000002E-2</v>
      </c>
      <c r="M36" s="194">
        <v>0.17927256756756699</v>
      </c>
      <c r="N36" s="201">
        <v>418517.6</v>
      </c>
      <c r="O36" s="193">
        <v>19095.2</v>
      </c>
      <c r="P36" s="194">
        <v>7384.6</v>
      </c>
      <c r="Q36" s="194">
        <v>2.7981141055955595E-2</v>
      </c>
      <c r="R36" s="194">
        <v>11710.6</v>
      </c>
      <c r="S36" s="39">
        <v>2.5858137204452509</v>
      </c>
    </row>
    <row r="37" spans="1:19">
      <c r="A37" s="202" t="s">
        <v>40</v>
      </c>
      <c r="B37" s="207">
        <v>0.64687539661910964</v>
      </c>
      <c r="C37" s="208">
        <v>0.35222079595491601</v>
      </c>
      <c r="D37" s="208">
        <v>2.3614415159071301E-2</v>
      </c>
      <c r="E37" s="208">
        <v>9.5944608630860587E-2</v>
      </c>
      <c r="F37" s="209">
        <v>6.1454449309546216E-2</v>
      </c>
      <c r="G37" s="208">
        <v>2.9252974092630803E-2</v>
      </c>
      <c r="H37" s="207">
        <v>1.0078865663075092</v>
      </c>
      <c r="I37" s="207">
        <v>8.4115735045733526</v>
      </c>
      <c r="J37" s="207">
        <v>7.0267423871339627</v>
      </c>
      <c r="K37" s="210">
        <v>0.26006595544083877</v>
      </c>
      <c r="L37" s="210">
        <v>4.7100000000000003E-2</v>
      </c>
      <c r="M37" s="208">
        <v>0.216729541284404</v>
      </c>
      <c r="N37" s="202">
        <v>889943.7</v>
      </c>
      <c r="O37" s="207">
        <v>26033.5</v>
      </c>
      <c r="P37" s="208">
        <v>21015.5</v>
      </c>
      <c r="Q37" s="208">
        <v>5.638558933559505E-3</v>
      </c>
      <c r="R37" s="208">
        <v>5018</v>
      </c>
      <c r="S37" s="209">
        <v>1.2387761414194285</v>
      </c>
    </row>
    <row r="38" spans="1:19">
      <c r="A38" s="201" t="s">
        <v>41</v>
      </c>
      <c r="B38" s="193">
        <v>0.53788960456200197</v>
      </c>
      <c r="C38" s="194">
        <v>0.33437950111176001</v>
      </c>
      <c r="D38" s="194">
        <v>1.8126294641310745E-2</v>
      </c>
      <c r="E38" s="194">
        <v>3.1107970487374001E-2</v>
      </c>
      <c r="F38" s="39">
        <v>9.367834008798365E-3</v>
      </c>
      <c r="G38" s="194">
        <v>2.2135577955592501E-2</v>
      </c>
      <c r="H38" s="193">
        <v>0.36249707298486267</v>
      </c>
      <c r="I38" s="193">
        <v>6.4101753603672371</v>
      </c>
      <c r="J38" s="193">
        <v>4.8542287806118418</v>
      </c>
      <c r="K38" s="40">
        <v>0.37302245544394497</v>
      </c>
      <c r="L38" s="40">
        <v>4.7100000000000003E-2</v>
      </c>
      <c r="M38" s="194">
        <v>0.27392611111111098</v>
      </c>
      <c r="N38" s="201">
        <v>360862.50000000006</v>
      </c>
      <c r="O38" s="193">
        <v>7987.9</v>
      </c>
      <c r="P38" s="194">
        <v>6541.1</v>
      </c>
      <c r="Q38" s="194">
        <v>4.0092833142817532E-3</v>
      </c>
      <c r="R38" s="194">
        <v>1446.7999999999993</v>
      </c>
      <c r="S38" s="39">
        <v>1.2211860390454203</v>
      </c>
    </row>
    <row r="39" spans="1:19">
      <c r="A39" s="201" t="s">
        <v>147</v>
      </c>
      <c r="B39" s="193">
        <v>1.3998112720674307</v>
      </c>
      <c r="C39" s="194">
        <v>0.60145876354766703</v>
      </c>
      <c r="D39" s="194">
        <v>6.0742225111082536E-2</v>
      </c>
      <c r="E39" s="194">
        <v>0.24482656666522487</v>
      </c>
      <c r="F39" s="39">
        <v>8.5302383290010303E-2</v>
      </c>
      <c r="G39" s="194">
        <v>5.3273994509717017E-2</v>
      </c>
      <c r="H39" s="193">
        <v>0.32093518491635697</v>
      </c>
      <c r="I39" s="193">
        <v>2.3771194139502794</v>
      </c>
      <c r="J39" s="193">
        <v>1.639495963653204</v>
      </c>
      <c r="K39" s="40">
        <v>0.29720391142611768</v>
      </c>
      <c r="L39" s="40">
        <v>3.7100000000000001E-2</v>
      </c>
      <c r="M39" s="194">
        <v>0.37038599999999999</v>
      </c>
      <c r="N39" s="201">
        <v>843854.5</v>
      </c>
      <c r="O39" s="193">
        <v>44955.5</v>
      </c>
      <c r="P39" s="194">
        <v>51257.599999999999</v>
      </c>
      <c r="Q39" s="194">
        <v>-7.4682306013655183E-3</v>
      </c>
      <c r="R39" s="194">
        <v>-6302.0999999999985</v>
      </c>
      <c r="S39" s="39">
        <v>0.87705042764390062</v>
      </c>
    </row>
    <row r="40" spans="1:19">
      <c r="A40" s="201" t="s">
        <v>42</v>
      </c>
      <c r="B40" s="193">
        <v>0.94155802220363738</v>
      </c>
      <c r="C40" s="194">
        <v>0.34738345284439198</v>
      </c>
      <c r="D40" s="194">
        <v>2.8771204058968727E-2</v>
      </c>
      <c r="E40" s="194">
        <v>0.1723969599839999</v>
      </c>
      <c r="F40" s="39">
        <v>0.13147174458812938</v>
      </c>
      <c r="G40" s="194">
        <v>2.4377759882946753E-2</v>
      </c>
      <c r="H40" s="193">
        <v>0.44510760582950432</v>
      </c>
      <c r="I40" s="193">
        <v>4.2338685877078994</v>
      </c>
      <c r="J40" s="193">
        <v>3.3241435197018965</v>
      </c>
      <c r="K40" s="40">
        <v>0.39669665360885586</v>
      </c>
      <c r="L40" s="40">
        <v>4.7100000000000003E-2</v>
      </c>
      <c r="M40" s="194">
        <v>0.23994441176470599</v>
      </c>
      <c r="N40" s="201">
        <v>75999.600000000006</v>
      </c>
      <c r="O40" s="193">
        <v>1852.7</v>
      </c>
      <c r="P40" s="194">
        <v>2186.6</v>
      </c>
      <c r="Q40" s="194">
        <v>-4.3934441760219772E-3</v>
      </c>
      <c r="R40" s="194">
        <v>-333.89999999999986</v>
      </c>
      <c r="S40" s="39">
        <v>0.84729717369432</v>
      </c>
    </row>
    <row r="41" spans="1:19">
      <c r="A41" s="201" t="s">
        <v>43</v>
      </c>
      <c r="B41" s="193">
        <v>0.77588495059392015</v>
      </c>
      <c r="C41" s="194">
        <v>0.46776934268415798</v>
      </c>
      <c r="D41" s="194">
        <v>2.0828737823752157E-2</v>
      </c>
      <c r="E41" s="194">
        <v>6.6011835833529589E-3</v>
      </c>
      <c r="F41" s="39">
        <v>-2.8733348956870722E-3</v>
      </c>
      <c r="G41" s="194">
        <v>3.436757517440945E-2</v>
      </c>
      <c r="H41" s="193">
        <v>0.78956213841287615</v>
      </c>
      <c r="I41" s="193">
        <v>13.458006160465457</v>
      </c>
      <c r="J41" s="193">
        <v>9.9319340557040938</v>
      </c>
      <c r="K41" s="40">
        <v>0.12212323682256865</v>
      </c>
      <c r="L41" s="40">
        <v>3.7100000000000001E-2</v>
      </c>
      <c r="M41" s="194">
        <v>0.329644285714286</v>
      </c>
      <c r="N41" s="201">
        <v>348619.3</v>
      </c>
      <c r="O41" s="193">
        <v>11981.2</v>
      </c>
      <c r="P41" s="194">
        <v>7261.3</v>
      </c>
      <c r="Q41" s="194">
        <v>1.3538837350657295E-2</v>
      </c>
      <c r="R41" s="194">
        <v>4719.9000000000005</v>
      </c>
      <c r="S41" s="39">
        <v>1.6500075744012781</v>
      </c>
    </row>
    <row r="42" spans="1:19">
      <c r="A42" s="202" t="s">
        <v>44</v>
      </c>
      <c r="B42" s="207">
        <v>1.0387712871651298</v>
      </c>
      <c r="C42" s="208">
        <v>0.30819352451855497</v>
      </c>
      <c r="D42" s="208">
        <v>8.1032453976086549E-2</v>
      </c>
      <c r="E42" s="208">
        <v>0.37587397988233057</v>
      </c>
      <c r="F42" s="209">
        <v>4.5837919908901119E-2</v>
      </c>
      <c r="G42" s="208">
        <v>6.8559498956158663E-2</v>
      </c>
      <c r="H42" s="207">
        <v>2.0752780413740748</v>
      </c>
      <c r="I42" s="207">
        <v>10.046164523177918</v>
      </c>
      <c r="J42" s="207">
        <v>7.2156824950619365</v>
      </c>
      <c r="K42" s="210">
        <v>0.16577767958591083</v>
      </c>
      <c r="L42" s="210">
        <v>5.21E-2</v>
      </c>
      <c r="M42" s="208">
        <v>0.16474931034482801</v>
      </c>
      <c r="N42" s="202">
        <v>13172.5</v>
      </c>
      <c r="O42" s="207">
        <v>903.1</v>
      </c>
      <c r="P42" s="208">
        <v>1067.4000000000001</v>
      </c>
      <c r="Q42" s="208">
        <v>-1.2472955019927885E-2</v>
      </c>
      <c r="R42" s="208">
        <v>-164.30000000000007</v>
      </c>
      <c r="S42" s="209">
        <v>0.84607457373056016</v>
      </c>
    </row>
    <row r="43" spans="1:19">
      <c r="A43" s="201" t="s">
        <v>45</v>
      </c>
      <c r="B43" s="193">
        <v>1.7375051705123397</v>
      </c>
      <c r="C43" s="194">
        <v>0.51008727135665699</v>
      </c>
      <c r="D43" s="194">
        <v>1.1078147751963311E-2</v>
      </c>
      <c r="E43" s="194">
        <v>0.13091518111989939</v>
      </c>
      <c r="F43" s="39">
        <v>1.1658665879761609E-2</v>
      </c>
      <c r="G43" s="194">
        <v>1.5813629968435973E-2</v>
      </c>
      <c r="H43" s="193">
        <v>0.48858899843497228</v>
      </c>
      <c r="I43" s="193">
        <v>8.1657250668948294</v>
      </c>
      <c r="J43" s="193">
        <v>6.8900486885825734</v>
      </c>
      <c r="K43" s="40">
        <v>8.6676221904998685E-2</v>
      </c>
      <c r="L43" s="40">
        <v>4.7100000000000003E-2</v>
      </c>
      <c r="M43" s="194">
        <v>0.34258</v>
      </c>
      <c r="N43" s="201">
        <v>113863.8</v>
      </c>
      <c r="O43" s="193">
        <v>1800.6</v>
      </c>
      <c r="P43" s="194">
        <v>1261.4000000000001</v>
      </c>
      <c r="Q43" s="194">
        <v>4.735482216472661E-3</v>
      </c>
      <c r="R43" s="194">
        <v>539.19999999999982</v>
      </c>
      <c r="S43" s="39">
        <v>1.4274615506579988</v>
      </c>
    </row>
    <row r="44" spans="1:19">
      <c r="A44" s="202" t="s">
        <v>46</v>
      </c>
      <c r="B44" s="207">
        <v>0.64957939877410487</v>
      </c>
      <c r="C44" s="208">
        <v>0.44484865763590897</v>
      </c>
      <c r="D44" s="208">
        <v>7.6952161990889697E-3</v>
      </c>
      <c r="E44" s="208">
        <v>0.69796425409509866</v>
      </c>
      <c r="F44" s="41">
        <v>0.57769479902447363</v>
      </c>
      <c r="G44" s="208">
        <v>5.6080187582896899E-3</v>
      </c>
      <c r="H44" s="207">
        <v>0.58434972741280888</v>
      </c>
      <c r="I44" s="207" t="s">
        <v>156</v>
      </c>
      <c r="J44" s="207" t="s">
        <v>156</v>
      </c>
      <c r="K44" s="42">
        <v>0.61853401084685733</v>
      </c>
      <c r="L44" s="42">
        <v>5.21E-2</v>
      </c>
      <c r="M44" s="208">
        <v>6.1334062500000001E-2</v>
      </c>
      <c r="N44" s="202">
        <v>151015.9</v>
      </c>
      <c r="O44" s="207">
        <v>846.9</v>
      </c>
      <c r="P44" s="208">
        <v>1162.0999999999999</v>
      </c>
      <c r="Q44" s="208">
        <v>-2.0871974407992797E-3</v>
      </c>
      <c r="R44" s="208">
        <v>-315.19999999999993</v>
      </c>
      <c r="S44" s="41">
        <v>0.72876688753119356</v>
      </c>
    </row>
    <row r="45" spans="1:19">
      <c r="A45" s="201" t="s">
        <v>47</v>
      </c>
      <c r="B45" s="193">
        <v>0.83947341211937032</v>
      </c>
      <c r="C45" s="194">
        <v>0.40537667245144399</v>
      </c>
      <c r="D45" s="194">
        <v>6.594754448053522E-2</v>
      </c>
      <c r="E45" s="194">
        <v>7.1610833696934439E-2</v>
      </c>
      <c r="F45" s="39">
        <v>-3.5796124820219453E-2</v>
      </c>
      <c r="G45" s="194">
        <v>0.21809359900454098</v>
      </c>
      <c r="H45" s="193">
        <v>1.5045070377013945</v>
      </c>
      <c r="I45" s="193">
        <v>6.5467462652989461</v>
      </c>
      <c r="J45" s="193">
        <v>5.0869627044877621</v>
      </c>
      <c r="K45" s="40">
        <v>0.58783209695343763</v>
      </c>
      <c r="L45" s="40">
        <v>6.2100000000000002E-2</v>
      </c>
      <c r="M45" s="194">
        <v>0.17968249999999999</v>
      </c>
      <c r="N45" s="201">
        <v>123762</v>
      </c>
      <c r="O45" s="193">
        <v>26991.7</v>
      </c>
      <c r="P45" s="194">
        <v>8161.8</v>
      </c>
      <c r="Q45" s="194">
        <v>0.15214605452400576</v>
      </c>
      <c r="R45" s="194">
        <v>18829.900000000001</v>
      </c>
      <c r="S45" s="39">
        <v>3.3070768702982187</v>
      </c>
    </row>
    <row r="46" spans="1:19">
      <c r="A46" s="201" t="s">
        <v>48</v>
      </c>
      <c r="B46" s="193">
        <v>0.95130162089174508</v>
      </c>
      <c r="C46" s="194">
        <v>0.45102356227593698</v>
      </c>
      <c r="D46" s="194">
        <v>3.8863756996324987E-2</v>
      </c>
      <c r="E46" s="194">
        <v>0.10663629947698533</v>
      </c>
      <c r="F46" s="39">
        <v>5.6876457941746963E-2</v>
      </c>
      <c r="G46" s="194">
        <v>3.6794157068924201E-2</v>
      </c>
      <c r="H46" s="193">
        <v>2.0543736783449988</v>
      </c>
      <c r="I46" s="193">
        <v>9.6736734065617007</v>
      </c>
      <c r="J46" s="193">
        <v>8.1772222022087444</v>
      </c>
      <c r="K46" s="40">
        <v>0.1883893207814713</v>
      </c>
      <c r="L46" s="40">
        <v>4.2099999999999999E-2</v>
      </c>
      <c r="M46" s="194">
        <v>0.29869730769230801</v>
      </c>
      <c r="N46" s="201">
        <v>306339.40000000002</v>
      </c>
      <c r="O46" s="193">
        <v>11271.5</v>
      </c>
      <c r="P46" s="194">
        <v>11905.5</v>
      </c>
      <c r="Q46" s="194">
        <v>-2.0695999274007847E-3</v>
      </c>
      <c r="R46" s="194">
        <v>-634</v>
      </c>
      <c r="S46" s="39">
        <v>0.94674730166729659</v>
      </c>
    </row>
    <row r="47" spans="1:19">
      <c r="A47" s="202" t="s">
        <v>49</v>
      </c>
      <c r="B47" s="207">
        <v>1.6056072876774765</v>
      </c>
      <c r="C47" s="208">
        <v>0.443760659222734</v>
      </c>
      <c r="D47" s="208">
        <v>1.2194027517053596E-2</v>
      </c>
      <c r="E47" s="208">
        <v>0.11332581460822293</v>
      </c>
      <c r="F47" s="209">
        <v>5.4811135978209885E-2</v>
      </c>
      <c r="G47" s="208">
        <v>9.9809688053091195E-3</v>
      </c>
      <c r="H47" s="207">
        <v>0.22730481460544735</v>
      </c>
      <c r="I47" s="207">
        <v>3.9950755608887123</v>
      </c>
      <c r="J47" s="207">
        <v>3.2899682194351425</v>
      </c>
      <c r="K47" s="210">
        <v>0.15554332696727413</v>
      </c>
      <c r="L47" s="210">
        <v>4.7100000000000003E-2</v>
      </c>
      <c r="M47" s="208">
        <v>0.29766870967741899</v>
      </c>
      <c r="N47" s="202">
        <v>108085.70000000001</v>
      </c>
      <c r="O47" s="207">
        <v>1078.8</v>
      </c>
      <c r="P47" s="208">
        <v>1318</v>
      </c>
      <c r="Q47" s="208">
        <v>-2.2130587117444771E-3</v>
      </c>
      <c r="R47" s="208">
        <v>-239.20000000000005</v>
      </c>
      <c r="S47" s="209">
        <v>0.81851289833080421</v>
      </c>
    </row>
    <row r="48" spans="1:19">
      <c r="A48" s="201" t="s">
        <v>50</v>
      </c>
      <c r="B48" s="193">
        <v>0.98279635529881115</v>
      </c>
      <c r="C48" s="194">
        <v>0.31968667084397301</v>
      </c>
      <c r="D48" s="194">
        <v>3.930672568116831E-2</v>
      </c>
      <c r="E48" s="194">
        <v>0.14848866636721192</v>
      </c>
      <c r="F48" s="39">
        <v>6.882310622245108E-2</v>
      </c>
      <c r="G48" s="194">
        <v>5.2772695567704163E-2</v>
      </c>
      <c r="H48" s="193">
        <v>0.70769416172748889</v>
      </c>
      <c r="I48" s="193">
        <v>6.0178776415714657</v>
      </c>
      <c r="J48" s="193">
        <v>4.5103251063332968</v>
      </c>
      <c r="K48" s="40">
        <v>0.3054686032462367</v>
      </c>
      <c r="L48" s="40">
        <v>6.2100000000000002E-2</v>
      </c>
      <c r="M48" s="194">
        <v>0.19255173652694599</v>
      </c>
      <c r="N48" s="201">
        <v>273831</v>
      </c>
      <c r="O48" s="193">
        <v>14450.8</v>
      </c>
      <c r="P48" s="194">
        <v>10763.4</v>
      </c>
      <c r="Q48" s="194">
        <v>1.3465969886535855E-2</v>
      </c>
      <c r="R48" s="194">
        <v>3687.3999999999996</v>
      </c>
      <c r="S48" s="39">
        <v>1.3425869149153613</v>
      </c>
    </row>
    <row r="49" spans="1:19">
      <c r="A49" s="201" t="s">
        <v>51</v>
      </c>
      <c r="B49" s="193">
        <v>1.2441775824509034</v>
      </c>
      <c r="C49" s="194">
        <v>0.44081886903853001</v>
      </c>
      <c r="D49" s="194">
        <v>4.8616652937239352E-2</v>
      </c>
      <c r="E49" s="194">
        <v>0.31844334036966482</v>
      </c>
      <c r="F49" s="39">
        <v>-1.6362688565103228E-2</v>
      </c>
      <c r="G49" s="194">
        <v>4.7786451629511402E-2</v>
      </c>
      <c r="H49" s="193">
        <v>1.6769519866910365</v>
      </c>
      <c r="I49" s="193">
        <v>7.8894442021204512</v>
      </c>
      <c r="J49" s="193">
        <v>6.420845729577799</v>
      </c>
      <c r="K49" s="40">
        <v>0.17949902798751516</v>
      </c>
      <c r="L49" s="40">
        <v>4.2099999999999999E-2</v>
      </c>
      <c r="M49" s="194">
        <v>0.20443676470588201</v>
      </c>
      <c r="N49" s="201">
        <v>62153.599999999999</v>
      </c>
      <c r="O49" s="193">
        <v>2970.1</v>
      </c>
      <c r="P49" s="194">
        <v>3021.7</v>
      </c>
      <c r="Q49" s="194">
        <v>-8.3020130772794992E-4</v>
      </c>
      <c r="R49" s="194">
        <v>-51.599999999999909</v>
      </c>
      <c r="S49" s="39">
        <v>0.98292351987291926</v>
      </c>
    </row>
    <row r="50" spans="1:19">
      <c r="A50" s="201" t="s">
        <v>149</v>
      </c>
      <c r="B50" s="193">
        <v>1.2707621867578751</v>
      </c>
      <c r="C50" s="194">
        <v>0.47379914461990602</v>
      </c>
      <c r="D50" s="194" t="s">
        <v>156</v>
      </c>
      <c r="E50" s="194" t="s">
        <v>156</v>
      </c>
      <c r="F50" s="39" t="s">
        <v>156</v>
      </c>
      <c r="G50" s="193" t="s">
        <v>156</v>
      </c>
      <c r="H50" s="193" t="s">
        <v>156</v>
      </c>
      <c r="I50" s="193">
        <v>1.8990676156869493</v>
      </c>
      <c r="J50" s="193">
        <v>1.899058046627814</v>
      </c>
      <c r="K50" s="40">
        <v>0.17836401623283393</v>
      </c>
      <c r="L50" s="40">
        <v>5.21E-2</v>
      </c>
      <c r="M50" s="194">
        <v>0.25858314285714301</v>
      </c>
      <c r="N50" s="201" t="e">
        <v>#VALUE!</v>
      </c>
      <c r="O50" s="193">
        <v>1541.8</v>
      </c>
      <c r="P50" s="194">
        <v>0.8</v>
      </c>
      <c r="Q50" s="194" t="s">
        <v>156</v>
      </c>
      <c r="R50" s="194">
        <v>1541</v>
      </c>
      <c r="S50" s="39" t="s">
        <v>156</v>
      </c>
    </row>
    <row r="51" spans="1:19">
      <c r="A51" s="201" t="s">
        <v>150</v>
      </c>
      <c r="B51" s="193">
        <v>0.92009129285898605</v>
      </c>
      <c r="C51" s="194">
        <v>0.52533379458162399</v>
      </c>
      <c r="D51" s="194" t="s">
        <v>156</v>
      </c>
      <c r="E51" s="194" t="s">
        <v>156</v>
      </c>
      <c r="F51" s="39" t="s">
        <v>156</v>
      </c>
      <c r="G51" s="193" t="s">
        <v>156</v>
      </c>
      <c r="H51" s="193" t="s">
        <v>156</v>
      </c>
      <c r="I51" s="193">
        <v>466.07367991932546</v>
      </c>
      <c r="J51" s="193">
        <v>465.64407288317256</v>
      </c>
      <c r="K51" s="40">
        <v>1.8546671651254232E-2</v>
      </c>
      <c r="L51" s="40">
        <v>3.7100000000000001E-2</v>
      </c>
      <c r="M51" s="194">
        <v>0.20262435897435899</v>
      </c>
      <c r="N51" s="201" t="e">
        <v>#VALUE!</v>
      </c>
      <c r="O51" s="193">
        <v>1664.4</v>
      </c>
      <c r="P51" s="194">
        <v>4.3</v>
      </c>
      <c r="Q51" s="194" t="s">
        <v>156</v>
      </c>
      <c r="R51" s="194">
        <v>1660.1000000000001</v>
      </c>
      <c r="S51" s="39" t="s">
        <v>156</v>
      </c>
    </row>
    <row r="52" spans="1:19">
      <c r="A52" s="201" t="s">
        <v>52</v>
      </c>
      <c r="B52" s="193">
        <v>1.6579303703474746</v>
      </c>
      <c r="C52" s="194">
        <v>0.26211427730320402</v>
      </c>
      <c r="D52" s="194">
        <v>5.3319464041685645E-2</v>
      </c>
      <c r="E52" s="194">
        <v>0.4196055584565645</v>
      </c>
      <c r="F52" s="39">
        <v>-6.8287744286555485E-2</v>
      </c>
      <c r="G52" s="194">
        <v>7.1245153154754631E-2</v>
      </c>
      <c r="H52" s="193">
        <v>2.2210712083504616</v>
      </c>
      <c r="I52" s="193">
        <v>11.548289421440293</v>
      </c>
      <c r="J52" s="193">
        <v>9.0416645572996099</v>
      </c>
      <c r="K52" s="40">
        <v>3.9137321493629029E-2</v>
      </c>
      <c r="L52" s="40">
        <v>6.2100000000000002E-2</v>
      </c>
      <c r="M52" s="194">
        <v>7.5022548076923101E-2</v>
      </c>
      <c r="N52" s="201">
        <v>144011.20000000001</v>
      </c>
      <c r="O52" s="193">
        <v>10260.1</v>
      </c>
      <c r="P52" s="194">
        <v>7678.6</v>
      </c>
      <c r="Q52" s="194">
        <v>1.7925689113068983E-2</v>
      </c>
      <c r="R52" s="194">
        <v>2581.5</v>
      </c>
      <c r="S52" s="39">
        <v>1.3361940978824265</v>
      </c>
    </row>
    <row r="53" spans="1:19">
      <c r="A53" s="201" t="s">
        <v>176</v>
      </c>
      <c r="B53" s="193">
        <v>0.89978293413173671</v>
      </c>
      <c r="C53" s="194">
        <v>0.697729399078449</v>
      </c>
      <c r="D53" s="194" t="s">
        <v>156</v>
      </c>
      <c r="E53" s="194" t="s">
        <v>156</v>
      </c>
      <c r="F53" s="39" t="s">
        <v>156</v>
      </c>
      <c r="G53" s="193" t="s">
        <v>156</v>
      </c>
      <c r="H53" s="193" t="s">
        <v>156</v>
      </c>
      <c r="I53" s="193" t="s">
        <v>156</v>
      </c>
      <c r="J53" s="193">
        <v>30.20820143624622</v>
      </c>
      <c r="K53" s="40">
        <v>0.12918660287081341</v>
      </c>
      <c r="L53" s="40">
        <v>3.2100000000000004E-2</v>
      </c>
      <c r="M53" s="194">
        <v>0</v>
      </c>
      <c r="N53" s="201" t="e">
        <v>#VALUE!</v>
      </c>
      <c r="O53" s="193">
        <v>0.2</v>
      </c>
      <c r="P53" s="194">
        <v>1</v>
      </c>
      <c r="Q53" s="194" t="s">
        <v>156</v>
      </c>
      <c r="R53" s="194">
        <v>-0.8</v>
      </c>
      <c r="S53" s="39">
        <v>0.2</v>
      </c>
    </row>
    <row r="54" spans="1:19">
      <c r="A54" s="201" t="s">
        <v>177</v>
      </c>
      <c r="B54" s="193">
        <v>1.3622793754712796</v>
      </c>
      <c r="C54" s="194">
        <v>0.642753098224771</v>
      </c>
      <c r="D54" s="194" t="s">
        <v>156</v>
      </c>
      <c r="E54" s="194" t="s">
        <v>156</v>
      </c>
      <c r="F54" s="39" t="s">
        <v>156</v>
      </c>
      <c r="G54" s="193" t="s">
        <v>156</v>
      </c>
      <c r="H54" s="193" t="s">
        <v>156</v>
      </c>
      <c r="I54" s="193">
        <v>12.444767441860467</v>
      </c>
      <c r="J54" s="193">
        <v>11.793388429752067</v>
      </c>
      <c r="K54" s="40">
        <v>4.9040511727078906E-2</v>
      </c>
      <c r="L54" s="40">
        <v>3.7100000000000001E-2</v>
      </c>
      <c r="M54" s="194">
        <v>2.1129374999999999E-2</v>
      </c>
      <c r="N54" s="201" t="e">
        <v>#VALUE!</v>
      </c>
      <c r="O54" s="193">
        <v>1.6</v>
      </c>
      <c r="P54" s="194">
        <v>1.9</v>
      </c>
      <c r="Q54" s="194" t="s">
        <v>156</v>
      </c>
      <c r="R54" s="194">
        <v>-0.29999999999999982</v>
      </c>
      <c r="S54" s="39">
        <v>0.8421052631578948</v>
      </c>
    </row>
    <row r="55" spans="1:19">
      <c r="A55" s="201" t="s">
        <v>53</v>
      </c>
      <c r="B55" s="193">
        <v>1.0840407890247745</v>
      </c>
      <c r="C55" s="194">
        <v>0.41139977555212498</v>
      </c>
      <c r="D55" s="194">
        <v>3.0469609417476957E-2</v>
      </c>
      <c r="E55" s="194">
        <v>0.24311221344848083</v>
      </c>
      <c r="F55" s="39">
        <v>0.16140670242897065</v>
      </c>
      <c r="G55" s="194">
        <v>4.1118878576757237E-2</v>
      </c>
      <c r="H55" s="193">
        <v>0.70395794346732077</v>
      </c>
      <c r="I55" s="193">
        <v>5.1319059288626718</v>
      </c>
      <c r="J55" s="193">
        <v>4.1991636539200412</v>
      </c>
      <c r="K55" s="40">
        <v>0.35803428430033135</v>
      </c>
      <c r="L55" s="40">
        <v>5.21E-2</v>
      </c>
      <c r="M55" s="194">
        <v>0.227090161290323</v>
      </c>
      <c r="N55" s="201">
        <v>506156.79999999999</v>
      </c>
      <c r="O55" s="193">
        <v>20812.599999999999</v>
      </c>
      <c r="P55" s="194">
        <v>15422.4</v>
      </c>
      <c r="Q55" s="194">
        <v>1.0649269159280285E-2</v>
      </c>
      <c r="R55" s="194">
        <v>5390.1999999999989</v>
      </c>
      <c r="S55" s="39">
        <v>1.3495046166614793</v>
      </c>
    </row>
    <row r="56" spans="1:19">
      <c r="A56" s="201" t="s">
        <v>54</v>
      </c>
      <c r="B56" s="193">
        <v>1.3777751690410687</v>
      </c>
      <c r="C56" s="194">
        <v>0.397445963269142</v>
      </c>
      <c r="D56" s="194">
        <v>1.0824053017363382E-2</v>
      </c>
      <c r="E56" s="194">
        <v>0.14097133431585934</v>
      </c>
      <c r="F56" s="39">
        <v>5.705808290307153E-2</v>
      </c>
      <c r="G56" s="194">
        <v>8.8036932566832905E-3</v>
      </c>
      <c r="H56" s="193">
        <v>0.17094488419532095</v>
      </c>
      <c r="I56" s="193">
        <v>4.4603274949209641</v>
      </c>
      <c r="J56" s="193">
        <v>3.4780461603816057</v>
      </c>
      <c r="K56" s="40">
        <v>0.33390778186274506</v>
      </c>
      <c r="L56" s="40">
        <v>5.21E-2</v>
      </c>
      <c r="M56" s="194">
        <v>0.149806111111111</v>
      </c>
      <c r="N56" s="201">
        <v>20491.400000000001</v>
      </c>
      <c r="O56" s="193">
        <v>180.4</v>
      </c>
      <c r="P56" s="194">
        <v>221.8</v>
      </c>
      <c r="Q56" s="194">
        <v>-2.0203597606800903E-3</v>
      </c>
      <c r="R56" s="194">
        <v>-41.400000000000006</v>
      </c>
      <c r="S56" s="39">
        <v>0.81334535617673576</v>
      </c>
    </row>
    <row r="57" spans="1:19">
      <c r="A57" s="201" t="s">
        <v>55</v>
      </c>
      <c r="B57" s="193">
        <v>0.52000573702168895</v>
      </c>
      <c r="C57" s="194">
        <v>0.51335036627372199</v>
      </c>
      <c r="D57" s="194">
        <v>0.10297343075239423</v>
      </c>
      <c r="E57" s="194">
        <v>0.26375347952247102</v>
      </c>
      <c r="F57" s="39">
        <v>7.1781470095405892E-2</v>
      </c>
      <c r="G57" s="194">
        <v>0.53885939777583025</v>
      </c>
      <c r="H57" s="193">
        <v>2.2260565714726837</v>
      </c>
      <c r="I57" s="193">
        <v>7.260174383548895</v>
      </c>
      <c r="J57" s="193">
        <v>5.4349017732932836</v>
      </c>
      <c r="K57" s="40">
        <v>0.65002413186326158</v>
      </c>
      <c r="L57" s="40">
        <v>6.2100000000000002E-2</v>
      </c>
      <c r="M57" s="194">
        <v>7.0845178571428594E-2</v>
      </c>
      <c r="N57" s="201">
        <v>44043.4</v>
      </c>
      <c r="O57" s="193">
        <v>23733.200000000001</v>
      </c>
      <c r="P57" s="194">
        <v>4535.3</v>
      </c>
      <c r="Q57" s="194">
        <v>0.43588596702343602</v>
      </c>
      <c r="R57" s="194">
        <v>19197.900000000001</v>
      </c>
      <c r="S57" s="39">
        <v>5.2329945097347474</v>
      </c>
    </row>
    <row r="58" spans="1:19">
      <c r="A58" s="202" t="s">
        <v>56</v>
      </c>
      <c r="B58" s="207">
        <v>0.89722854386286865</v>
      </c>
      <c r="C58" s="208">
        <v>0.310952515708246</v>
      </c>
      <c r="D58" s="208">
        <v>1.7354303827231271E-2</v>
      </c>
      <c r="E58" s="208">
        <v>3.7224270597254264E-2</v>
      </c>
      <c r="F58" s="209">
        <v>-6.663761890390997E-2</v>
      </c>
      <c r="G58" s="208">
        <v>2.5418149784200466E-2</v>
      </c>
      <c r="H58" s="207">
        <v>0.58573803110765033</v>
      </c>
      <c r="I58" s="207">
        <v>4.615189499018066</v>
      </c>
      <c r="J58" s="207">
        <v>4.0600246261346351</v>
      </c>
      <c r="K58" s="210">
        <v>0.35343774030239072</v>
      </c>
      <c r="L58" s="210">
        <v>6.2100000000000002E-2</v>
      </c>
      <c r="M58" s="208">
        <v>0.183599875</v>
      </c>
      <c r="N58" s="202">
        <v>663045.89999999991</v>
      </c>
      <c r="O58" s="207">
        <v>16853.400000000001</v>
      </c>
      <c r="P58" s="208">
        <v>11506.7</v>
      </c>
      <c r="Q58" s="208">
        <v>8.0638459569691949E-3</v>
      </c>
      <c r="R58" s="208">
        <v>5346.7000000000007</v>
      </c>
      <c r="S58" s="209">
        <v>1.4646597199892237</v>
      </c>
    </row>
    <row r="59" spans="1:19">
      <c r="A59" s="201" t="s">
        <v>57</v>
      </c>
      <c r="B59" s="193">
        <v>1.1311649230518508</v>
      </c>
      <c r="C59" s="194">
        <v>0.30763716569904098</v>
      </c>
      <c r="D59" s="194">
        <v>2.3121458639376844E-2</v>
      </c>
      <c r="E59" s="194">
        <v>0.15477629879348248</v>
      </c>
      <c r="F59" s="39">
        <v>6.5940092719259949E-2</v>
      </c>
      <c r="G59" s="194">
        <v>2.2831472476564873E-2</v>
      </c>
      <c r="H59" s="193">
        <v>1.078982975657546</v>
      </c>
      <c r="I59" s="193">
        <v>9.3588779735861145</v>
      </c>
      <c r="J59" s="193">
        <v>7.7954867831902286</v>
      </c>
      <c r="K59" s="40">
        <v>0.11723575717395196</v>
      </c>
      <c r="L59" s="40">
        <v>6.2100000000000002E-2</v>
      </c>
      <c r="M59" s="194">
        <v>0.12505873015873001</v>
      </c>
      <c r="N59" s="201">
        <v>891077</v>
      </c>
      <c r="O59" s="193">
        <v>20344.599999999999</v>
      </c>
      <c r="P59" s="194">
        <v>20603</v>
      </c>
      <c r="Q59" s="194">
        <v>-2.8998616281196963E-4</v>
      </c>
      <c r="R59" s="194">
        <v>-258.40000000000146</v>
      </c>
      <c r="S59" s="39">
        <v>0.98745813716449049</v>
      </c>
    </row>
    <row r="60" spans="1:19">
      <c r="A60" s="201" t="s">
        <v>58</v>
      </c>
      <c r="B60" s="193">
        <v>1.5514015954144471</v>
      </c>
      <c r="C60" s="194">
        <v>0.40331512314923801</v>
      </c>
      <c r="D60" s="194">
        <v>2.4926451420697875E-2</v>
      </c>
      <c r="E60" s="194">
        <v>0.2265044873943321</v>
      </c>
      <c r="F60" s="39">
        <v>0.10843946672625034</v>
      </c>
      <c r="G60" s="194">
        <v>4.8692883476706514E-2</v>
      </c>
      <c r="H60" s="193">
        <v>0.5927549994414032</v>
      </c>
      <c r="I60" s="193">
        <v>4.0453715720711418</v>
      </c>
      <c r="J60" s="193">
        <v>3.4572415233033276</v>
      </c>
      <c r="K60" s="40">
        <v>0.20283665092350289</v>
      </c>
      <c r="L60" s="40">
        <v>6.2100000000000002E-2</v>
      </c>
      <c r="M60" s="194">
        <v>0.20429457142857099</v>
      </c>
      <c r="N60" s="201">
        <v>107412</v>
      </c>
      <c r="O60" s="193">
        <v>5230.2</v>
      </c>
      <c r="P60" s="194">
        <v>2677.4</v>
      </c>
      <c r="Q60" s="194">
        <v>2.3766432056008636E-2</v>
      </c>
      <c r="R60" s="194">
        <v>2552.7999999999997</v>
      </c>
      <c r="S60" s="39">
        <v>1.9534623141854037</v>
      </c>
    </row>
    <row r="61" spans="1:19">
      <c r="A61" s="201" t="s">
        <v>59</v>
      </c>
      <c r="B61" s="193">
        <v>1.481326628728312</v>
      </c>
      <c r="C61" s="194">
        <v>0.34175068756011101</v>
      </c>
      <c r="D61" s="194">
        <v>5.3216458756579627E-2</v>
      </c>
      <c r="E61" s="194">
        <v>0.13826316980524173</v>
      </c>
      <c r="F61" s="39">
        <v>5.8128310590437375E-2</v>
      </c>
      <c r="G61" s="194">
        <v>0.13391949615738177</v>
      </c>
      <c r="H61" s="193">
        <v>1.4910624446237226</v>
      </c>
      <c r="I61" s="193">
        <v>4.1413916166142517</v>
      </c>
      <c r="J61" s="193">
        <v>3.6080890355130504</v>
      </c>
      <c r="K61" s="40">
        <v>0.17994493333281247</v>
      </c>
      <c r="L61" s="40">
        <v>6.2100000000000002E-2</v>
      </c>
      <c r="M61" s="194">
        <v>9.2922307692307707E-2</v>
      </c>
      <c r="N61" s="201">
        <v>391074.5</v>
      </c>
      <c r="O61" s="193">
        <v>52372.5</v>
      </c>
      <c r="P61" s="194">
        <v>20811.599999999999</v>
      </c>
      <c r="Q61" s="194">
        <v>8.0703037400802147E-2</v>
      </c>
      <c r="R61" s="194">
        <v>31560.9</v>
      </c>
      <c r="S61" s="39">
        <v>2.516505218243672</v>
      </c>
    </row>
    <row r="62" spans="1:19">
      <c r="A62" s="201" t="s">
        <v>60</v>
      </c>
      <c r="B62" s="193">
        <v>0.8535041508214245</v>
      </c>
      <c r="C62" s="194">
        <v>0.49750583717760899</v>
      </c>
      <c r="D62" s="194">
        <v>0.12669636082456315</v>
      </c>
      <c r="E62" s="194">
        <v>6.7029058957769824E-3</v>
      </c>
      <c r="F62" s="39">
        <v>-3.9396888098589239E-2</v>
      </c>
      <c r="G62" s="194">
        <v>0.35668803950983402</v>
      </c>
      <c r="H62" s="193">
        <v>1.9964928844070919</v>
      </c>
      <c r="I62" s="193">
        <v>5.8623215145817733</v>
      </c>
      <c r="J62" s="193">
        <v>4.2727675572778017</v>
      </c>
      <c r="K62" s="40">
        <v>0.36937213051881479</v>
      </c>
      <c r="L62" s="40">
        <v>4.2099999999999999E-2</v>
      </c>
      <c r="M62" s="194">
        <v>0.24191441176470599</v>
      </c>
      <c r="N62" s="201">
        <v>207178.8</v>
      </c>
      <c r="O62" s="193">
        <v>73898.2</v>
      </c>
      <c r="P62" s="194">
        <v>26248.799999999999</v>
      </c>
      <c r="Q62" s="194">
        <v>0.22999167868527087</v>
      </c>
      <c r="R62" s="194">
        <v>47649.399999999994</v>
      </c>
      <c r="S62" s="39">
        <v>2.815298223156868</v>
      </c>
    </row>
    <row r="63" spans="1:19">
      <c r="A63" s="201" t="s">
        <v>61</v>
      </c>
      <c r="B63" s="193">
        <v>0.43016971386304853</v>
      </c>
      <c r="C63" s="194">
        <v>0.56223699850844999</v>
      </c>
      <c r="D63" s="194">
        <v>4.5769482036439331E-2</v>
      </c>
      <c r="E63" s="194">
        <v>7.6175802739748444E-2</v>
      </c>
      <c r="F63" s="39">
        <v>5.1683895313351449E-2</v>
      </c>
      <c r="G63" s="194">
        <v>6.707977250211887E-2</v>
      </c>
      <c r="H63" s="193">
        <v>1.0894492387940529</v>
      </c>
      <c r="I63" s="193">
        <v>7.3759710291904126</v>
      </c>
      <c r="J63" s="193">
        <v>5.6310444570629858</v>
      </c>
      <c r="K63" s="40">
        <v>0.46041317330646025</v>
      </c>
      <c r="L63" s="40">
        <v>3.7100000000000001E-2</v>
      </c>
      <c r="M63" s="194">
        <v>0.24521000000000001</v>
      </c>
      <c r="N63" s="201">
        <v>97811.9</v>
      </c>
      <c r="O63" s="193">
        <v>6561.2</v>
      </c>
      <c r="P63" s="194">
        <v>4476.8</v>
      </c>
      <c r="Q63" s="194">
        <v>2.1310290465679532E-2</v>
      </c>
      <c r="R63" s="194">
        <v>2084.3999999999996</v>
      </c>
      <c r="S63" s="39">
        <v>1.4656004288777698</v>
      </c>
    </row>
    <row r="64" spans="1:19">
      <c r="A64" s="201" t="s">
        <v>62</v>
      </c>
      <c r="B64" s="193">
        <v>0.71864034779898467</v>
      </c>
      <c r="C64" s="194">
        <v>0.46017037370304997</v>
      </c>
      <c r="D64" s="194">
        <v>7.2306479961052578E-2</v>
      </c>
      <c r="E64" s="194">
        <v>6.443447837675037E-2</v>
      </c>
      <c r="F64" s="39">
        <v>3.0485440097698636E-2</v>
      </c>
      <c r="G64" s="194">
        <v>5.1737368903118273E-2</v>
      </c>
      <c r="H64" s="193">
        <v>1.1190042000511597</v>
      </c>
      <c r="I64" s="193">
        <v>5.1098537111499507</v>
      </c>
      <c r="J64" s="193">
        <v>3.8414683316771447</v>
      </c>
      <c r="K64" s="40">
        <v>0.46359552049468511</v>
      </c>
      <c r="L64" s="40">
        <v>4.7100000000000003E-2</v>
      </c>
      <c r="M64" s="194">
        <v>0.23527500000000001</v>
      </c>
      <c r="N64" s="201">
        <v>48475.6</v>
      </c>
      <c r="O64" s="193">
        <v>2508</v>
      </c>
      <c r="P64" s="194">
        <v>3505.1</v>
      </c>
      <c r="Q64" s="194">
        <v>-2.0569111057934301E-2</v>
      </c>
      <c r="R64" s="194">
        <v>-997.09999999999991</v>
      </c>
      <c r="S64" s="39">
        <v>0.71552880089013149</v>
      </c>
    </row>
    <row r="65" spans="1:19">
      <c r="A65" s="201" t="s">
        <v>63</v>
      </c>
      <c r="B65" s="193">
        <v>0.83904050595550295</v>
      </c>
      <c r="C65" s="194">
        <v>0.42173633637443902</v>
      </c>
      <c r="D65" s="194">
        <v>2.628749945095972E-2</v>
      </c>
      <c r="E65" s="194">
        <v>0.14927581587385252</v>
      </c>
      <c r="F65" s="39">
        <v>9.3299512452233502E-2</v>
      </c>
      <c r="G65" s="194">
        <v>2.1913295559362233E-2</v>
      </c>
      <c r="H65" s="193">
        <v>0.51948763561294853</v>
      </c>
      <c r="I65" s="193">
        <v>5.2253762451873369</v>
      </c>
      <c r="J65" s="193">
        <v>4.1326323300626351</v>
      </c>
      <c r="K65" s="40">
        <v>0.3763809156714788</v>
      </c>
      <c r="L65" s="40">
        <v>4.7100000000000003E-2</v>
      </c>
      <c r="M65" s="194">
        <v>0.22758576923076901</v>
      </c>
      <c r="N65" s="201">
        <v>182136</v>
      </c>
      <c r="O65" s="193">
        <v>3991.2</v>
      </c>
      <c r="P65" s="194">
        <v>4787.8999999999996</v>
      </c>
      <c r="Q65" s="194">
        <v>-4.3742038915974869E-3</v>
      </c>
      <c r="R65" s="194">
        <v>-796.69999999999982</v>
      </c>
      <c r="S65" s="39">
        <v>0.83360137012051216</v>
      </c>
    </row>
    <row r="66" spans="1:19">
      <c r="A66" s="201" t="s">
        <v>64</v>
      </c>
      <c r="B66" s="193">
        <v>0.52502140278805165</v>
      </c>
      <c r="C66" s="194">
        <v>0.53929600531827604</v>
      </c>
      <c r="D66" s="194">
        <v>4.3443846876293088E-2</v>
      </c>
      <c r="E66" s="194">
        <v>2.7054251010292074E-2</v>
      </c>
      <c r="F66" s="39">
        <v>-4.4898690354708195E-3</v>
      </c>
      <c r="G66" s="194">
        <v>0.16222592196842267</v>
      </c>
      <c r="H66" s="193">
        <v>1.3608675720425096</v>
      </c>
      <c r="I66" s="193">
        <v>8.929034360299541</v>
      </c>
      <c r="J66" s="193">
        <v>6.9484092070676864</v>
      </c>
      <c r="K66" s="40">
        <v>0.45039222496470288</v>
      </c>
      <c r="L66" s="40">
        <v>4.7100000000000003E-2</v>
      </c>
      <c r="M66" s="194">
        <v>9.4827535731219895E-2</v>
      </c>
      <c r="N66" s="201">
        <v>174726.7</v>
      </c>
      <c r="O66" s="193">
        <v>28345.200000000001</v>
      </c>
      <c r="P66" s="194">
        <v>7590.8</v>
      </c>
      <c r="Q66" s="194">
        <v>0.1187820750921296</v>
      </c>
      <c r="R66" s="194">
        <v>20754.400000000001</v>
      </c>
      <c r="S66" s="39">
        <v>3.7341518680507981</v>
      </c>
    </row>
    <row r="67" spans="1:19">
      <c r="A67" s="201" t="s">
        <v>65</v>
      </c>
      <c r="B67" s="193">
        <v>1.2661956672720818</v>
      </c>
      <c r="C67" s="194">
        <v>0.45659597804047702</v>
      </c>
      <c r="D67" s="194">
        <v>5.807321359625732E-2</v>
      </c>
      <c r="E67" s="194">
        <v>0.22838876628801724</v>
      </c>
      <c r="F67" s="39">
        <v>0.12698500424188974</v>
      </c>
      <c r="G67" s="194">
        <v>0.15606125366242307</v>
      </c>
      <c r="H67" s="193">
        <v>1.2401738593707023</v>
      </c>
      <c r="I67" s="193">
        <v>4.7046751702979304</v>
      </c>
      <c r="J67" s="193">
        <v>3.8553295739714648</v>
      </c>
      <c r="K67" s="40">
        <v>0.29748575283037604</v>
      </c>
      <c r="L67" s="40">
        <v>4.7100000000000003E-2</v>
      </c>
      <c r="M67" s="194">
        <v>0.220666964285714</v>
      </c>
      <c r="N67" s="201">
        <v>387209.5</v>
      </c>
      <c r="O67" s="193">
        <v>60428.4</v>
      </c>
      <c r="P67" s="194">
        <v>22486.5</v>
      </c>
      <c r="Q67" s="194">
        <v>9.7988040066165738E-2</v>
      </c>
      <c r="R67" s="194">
        <v>37941.9</v>
      </c>
      <c r="S67" s="39">
        <v>2.6873190581015276</v>
      </c>
    </row>
    <row r="68" spans="1:19">
      <c r="A68" s="201" t="s">
        <v>66</v>
      </c>
      <c r="B68" s="193">
        <v>0.81396179627492371</v>
      </c>
      <c r="C68" s="194">
        <v>0.45732042105388199</v>
      </c>
      <c r="D68" s="194">
        <v>4.48041443030434E-2</v>
      </c>
      <c r="E68" s="194">
        <v>9.9230243600450879E-2</v>
      </c>
      <c r="F68" s="39">
        <v>5.9629839449139424E-2</v>
      </c>
      <c r="G68" s="194">
        <v>4.2894938180034224E-2</v>
      </c>
      <c r="H68" s="193">
        <v>0.72384609544278522</v>
      </c>
      <c r="I68" s="193">
        <v>5.4076093578857716</v>
      </c>
      <c r="J68" s="193">
        <v>4.0515037605862538</v>
      </c>
      <c r="K68" s="40">
        <v>0.4589564227552716</v>
      </c>
      <c r="L68" s="40">
        <v>4.7100000000000003E-2</v>
      </c>
      <c r="M68" s="194">
        <v>0.24653333333333299</v>
      </c>
      <c r="N68" s="201">
        <v>171223</v>
      </c>
      <c r="O68" s="193">
        <v>7344.6</v>
      </c>
      <c r="P68" s="194">
        <v>7671.5</v>
      </c>
      <c r="Q68" s="194">
        <v>-1.909206123009173E-3</v>
      </c>
      <c r="R68" s="194">
        <v>-326.89999999999964</v>
      </c>
      <c r="S68" s="39">
        <v>0.9573877338199831</v>
      </c>
    </row>
    <row r="69" spans="1:19">
      <c r="A69" s="201" t="s">
        <v>67</v>
      </c>
      <c r="B69" s="193">
        <v>0.63562862735734882</v>
      </c>
      <c r="C69" s="194">
        <v>0.43342016013785301</v>
      </c>
      <c r="D69" s="194">
        <v>6.6699027540885303E-2</v>
      </c>
      <c r="E69" s="194">
        <v>0.16224426126408303</v>
      </c>
      <c r="F69" s="39">
        <v>0.11370097067778219</v>
      </c>
      <c r="G69" s="194">
        <v>6.0442097044027122E-2</v>
      </c>
      <c r="H69" s="193">
        <v>0.74087450561837231</v>
      </c>
      <c r="I69" s="193">
        <v>6.0545279739562909</v>
      </c>
      <c r="J69" s="193">
        <v>3.9186016801169226</v>
      </c>
      <c r="K69" s="40">
        <v>0.54150011815359467</v>
      </c>
      <c r="L69" s="40">
        <v>5.21E-2</v>
      </c>
      <c r="M69" s="194">
        <v>0.13664947368421099</v>
      </c>
      <c r="N69" s="201">
        <v>202095.9</v>
      </c>
      <c r="O69" s="193">
        <v>12215.1</v>
      </c>
      <c r="P69" s="194">
        <v>13479.6</v>
      </c>
      <c r="Q69" s="194">
        <v>-6.2569304968581752E-3</v>
      </c>
      <c r="R69" s="194">
        <v>-1264.5</v>
      </c>
      <c r="S69" s="39">
        <v>0.90619157838511533</v>
      </c>
    </row>
    <row r="70" spans="1:19">
      <c r="A70" s="201" t="s">
        <v>68</v>
      </c>
      <c r="B70" s="193">
        <v>1.2952355636195139</v>
      </c>
      <c r="C70" s="194">
        <v>0.54166325371512103</v>
      </c>
      <c r="D70" s="194">
        <v>3.8461689272818247E-2</v>
      </c>
      <c r="E70" s="194">
        <v>6.36576180742843E-2</v>
      </c>
      <c r="F70" s="39">
        <v>2.2200358765512039E-2</v>
      </c>
      <c r="G70" s="194">
        <v>7.191476279031582E-2</v>
      </c>
      <c r="H70" s="193">
        <v>0.64996228489172758</v>
      </c>
      <c r="I70" s="193">
        <v>3.6185817516150593</v>
      </c>
      <c r="J70" s="193">
        <v>2.9803893976495326</v>
      </c>
      <c r="K70" s="40">
        <v>0.12792601303283446</v>
      </c>
      <c r="L70" s="40">
        <v>4.2099999999999999E-2</v>
      </c>
      <c r="M70" s="194">
        <v>0.3378816</v>
      </c>
      <c r="N70" s="201">
        <v>4131500.8</v>
      </c>
      <c r="O70" s="193">
        <v>297115.90000000002</v>
      </c>
      <c r="P70" s="194">
        <v>158904.5</v>
      </c>
      <c r="Q70" s="194">
        <v>3.3453073517497572E-2</v>
      </c>
      <c r="R70" s="194">
        <v>138211.40000000002</v>
      </c>
      <c r="S70" s="39">
        <v>1.8697765009801486</v>
      </c>
    </row>
    <row r="71" spans="1:19">
      <c r="A71" s="201" t="s">
        <v>69</v>
      </c>
      <c r="B71" s="193">
        <v>0.96647740533927817</v>
      </c>
      <c r="C71" s="194">
        <v>0.35753323091157702</v>
      </c>
      <c r="D71" s="194">
        <v>0.10592349857945985</v>
      </c>
      <c r="E71" s="194">
        <v>6.657098924671577E-2</v>
      </c>
      <c r="F71" s="39">
        <v>2.8867491435184182E-2</v>
      </c>
      <c r="G71" s="194">
        <v>0.30874072732977864</v>
      </c>
      <c r="H71" s="193">
        <v>1.2873099345760717</v>
      </c>
      <c r="I71" s="193">
        <v>3.3377421094495459</v>
      </c>
      <c r="J71" s="193">
        <v>2.6185786713385433</v>
      </c>
      <c r="K71" s="40">
        <v>0.27309182843564528</v>
      </c>
      <c r="L71" s="40">
        <v>6.2100000000000002E-2</v>
      </c>
      <c r="M71" s="194">
        <v>0.139785106382979</v>
      </c>
      <c r="N71" s="201">
        <v>393265.9</v>
      </c>
      <c r="O71" s="193">
        <v>121417.2</v>
      </c>
      <c r="P71" s="194">
        <v>41656.1</v>
      </c>
      <c r="Q71" s="194">
        <v>0.2028172287503188</v>
      </c>
      <c r="R71" s="194">
        <v>79761.100000000006</v>
      </c>
      <c r="S71" s="39">
        <v>2.9147519811024076</v>
      </c>
    </row>
    <row r="72" spans="1:19">
      <c r="A72" s="201" t="s">
        <v>70</v>
      </c>
      <c r="B72" s="193">
        <v>0.80946237892055273</v>
      </c>
      <c r="C72" s="194">
        <v>0.42890552615440303</v>
      </c>
      <c r="D72" s="194">
        <v>1.2577488379133427E-2</v>
      </c>
      <c r="E72" s="194">
        <v>6.6988083541817511E-2</v>
      </c>
      <c r="F72" s="39">
        <v>5.3296867976931582E-2</v>
      </c>
      <c r="G72" s="194">
        <v>2.0542861991025368E-2</v>
      </c>
      <c r="H72" s="193">
        <v>0.5618350069434338</v>
      </c>
      <c r="I72" s="193">
        <v>8.7617456999144618</v>
      </c>
      <c r="J72" s="193">
        <v>7.3249903307998245</v>
      </c>
      <c r="K72" s="40">
        <v>0.1902797829894628</v>
      </c>
      <c r="L72" s="40">
        <v>4.2099999999999999E-2</v>
      </c>
      <c r="M72" s="194">
        <v>0.21128</v>
      </c>
      <c r="N72" s="201">
        <v>496800.3</v>
      </c>
      <c r="O72" s="193">
        <v>10205.700000000001</v>
      </c>
      <c r="P72" s="194">
        <v>6248.5</v>
      </c>
      <c r="Q72" s="194">
        <v>7.9653736118919429E-3</v>
      </c>
      <c r="R72" s="194">
        <v>3957.2000000000007</v>
      </c>
      <c r="S72" s="39">
        <v>1.6333039929583102</v>
      </c>
    </row>
    <row r="73" spans="1:19">
      <c r="A73" s="201" t="s">
        <v>71</v>
      </c>
      <c r="B73" s="193">
        <v>0.94912767564914846</v>
      </c>
      <c r="C73" s="194">
        <v>0.34575087953463501</v>
      </c>
      <c r="D73" s="194">
        <v>6.1129686111343132E-2</v>
      </c>
      <c r="E73" s="194">
        <v>0.33269292853127558</v>
      </c>
      <c r="F73" s="39">
        <v>6.958363152417095E-2</v>
      </c>
      <c r="G73" s="194">
        <v>0.12053456868999968</v>
      </c>
      <c r="H73" s="193">
        <v>1.5368450995487064</v>
      </c>
      <c r="I73" s="193">
        <v>8.496048002386658</v>
      </c>
      <c r="J73" s="193">
        <v>6.3500985352596011</v>
      </c>
      <c r="K73" s="40">
        <v>0.51896052618376287</v>
      </c>
      <c r="L73" s="40">
        <v>6.2100000000000002E-2</v>
      </c>
      <c r="M73" s="194">
        <v>6.2521666666666698E-2</v>
      </c>
      <c r="N73" s="201">
        <v>132884.70000000001</v>
      </c>
      <c r="O73" s="193">
        <v>16017.2</v>
      </c>
      <c r="P73" s="194">
        <v>8123.2</v>
      </c>
      <c r="Q73" s="194">
        <v>5.9404882578656538E-2</v>
      </c>
      <c r="R73" s="194">
        <v>7894.0000000000009</v>
      </c>
      <c r="S73" s="39">
        <v>1.9717845184163878</v>
      </c>
    </row>
    <row r="74" spans="1:19">
      <c r="A74" s="201" t="s">
        <v>72</v>
      </c>
      <c r="B74" s="193">
        <v>1.3713997600513785</v>
      </c>
      <c r="C74" s="194">
        <v>0.34939586813929502</v>
      </c>
      <c r="D74" s="194">
        <v>0.1497331802978443</v>
      </c>
      <c r="E74" s="194">
        <v>0.36303905484843935</v>
      </c>
      <c r="F74" s="39">
        <v>1.9300540209799037E-4</v>
      </c>
      <c r="G74" s="194">
        <v>0.34467479616370961</v>
      </c>
      <c r="H74" s="193">
        <v>4.7234992290050162</v>
      </c>
      <c r="I74" s="193">
        <v>14.401506565985205</v>
      </c>
      <c r="J74" s="193">
        <v>9.8875967854105511</v>
      </c>
      <c r="K74" s="40">
        <v>0.10529150038470581</v>
      </c>
      <c r="L74" s="40">
        <v>6.2100000000000002E-2</v>
      </c>
      <c r="M74" s="194">
        <v>5.9375333333333301E-2</v>
      </c>
      <c r="N74" s="201">
        <v>48703.3</v>
      </c>
      <c r="O74" s="193">
        <v>16786.8</v>
      </c>
      <c r="P74" s="194">
        <v>7292.5</v>
      </c>
      <c r="Q74" s="194">
        <v>0.19494161586586534</v>
      </c>
      <c r="R74" s="194">
        <v>9494.2999999999993</v>
      </c>
      <c r="S74" s="39">
        <v>2.3019266369557765</v>
      </c>
    </row>
    <row r="75" spans="1:19">
      <c r="A75" s="201" t="s">
        <v>73</v>
      </c>
      <c r="B75" s="193">
        <v>1.5885593787779779</v>
      </c>
      <c r="C75" s="194">
        <v>0.36674266122601101</v>
      </c>
      <c r="D75" s="194">
        <v>5.4990271642464075E-2</v>
      </c>
      <c r="E75" s="194">
        <v>0.37234662179653122</v>
      </c>
      <c r="F75" s="39">
        <v>0.10125842358855311</v>
      </c>
      <c r="G75" s="194">
        <v>2.8126644008918358E-2</v>
      </c>
      <c r="H75" s="193">
        <v>0.92378687799053061</v>
      </c>
      <c r="I75" s="193">
        <v>5.6655511518815898</v>
      </c>
      <c r="J75" s="193">
        <v>4.2367074681895112</v>
      </c>
      <c r="K75" s="40">
        <v>0.1846994764654033</v>
      </c>
      <c r="L75" s="40">
        <v>6.2100000000000002E-2</v>
      </c>
      <c r="M75" s="194">
        <v>0.14378444444444399</v>
      </c>
      <c r="N75" s="201">
        <v>95802.4</v>
      </c>
      <c r="O75" s="193">
        <v>2694.6</v>
      </c>
      <c r="P75" s="194">
        <v>5268.2</v>
      </c>
      <c r="Q75" s="194">
        <v>-2.6863627633545717E-2</v>
      </c>
      <c r="R75" s="194">
        <v>-2573.6</v>
      </c>
      <c r="S75" s="39">
        <v>0.51148399832960023</v>
      </c>
    </row>
    <row r="76" spans="1:19">
      <c r="A76" s="201" t="s">
        <v>74</v>
      </c>
      <c r="B76" s="193">
        <v>0.4648053990945622</v>
      </c>
      <c r="C76" s="194">
        <v>0.48966144239987303</v>
      </c>
      <c r="D76" s="194">
        <v>9.0984594016185499E-2</v>
      </c>
      <c r="E76" s="194">
        <v>0.13254248338222996</v>
      </c>
      <c r="F76" s="39">
        <v>-0.17863287838201736</v>
      </c>
      <c r="G76" s="194">
        <v>0.55356095072069389</v>
      </c>
      <c r="H76" s="193">
        <v>2.8964865286222485</v>
      </c>
      <c r="I76" s="193">
        <v>8.1565924105184848</v>
      </c>
      <c r="J76" s="193">
        <v>6.4929890774950536</v>
      </c>
      <c r="K76" s="40">
        <v>0.73884315778776344</v>
      </c>
      <c r="L76" s="40">
        <v>4.2099999999999999E-2</v>
      </c>
      <c r="M76" s="194">
        <v>0.192688823529412</v>
      </c>
      <c r="N76" s="201">
        <v>35278.5</v>
      </c>
      <c r="O76" s="193">
        <v>19528.8</v>
      </c>
      <c r="P76" s="194">
        <v>3209.8</v>
      </c>
      <c r="Q76" s="194">
        <v>0.46257635670450842</v>
      </c>
      <c r="R76" s="194">
        <v>16319</v>
      </c>
      <c r="S76" s="39">
        <v>6.0841173904916186</v>
      </c>
    </row>
    <row r="77" spans="1:19">
      <c r="A77" s="201" t="s">
        <v>75</v>
      </c>
      <c r="B77" s="193">
        <v>0.61538164320682931</v>
      </c>
      <c r="C77" s="194">
        <v>0.384852898396572</v>
      </c>
      <c r="D77" s="194">
        <v>3.9242763419290443E-2</v>
      </c>
      <c r="E77" s="194">
        <v>7.6266341056875103E-2</v>
      </c>
      <c r="F77" s="39">
        <v>4.1667878012617378E-2</v>
      </c>
      <c r="G77" s="194">
        <v>3.5196867943909832E-2</v>
      </c>
      <c r="H77" s="193">
        <v>0.89079352850539284</v>
      </c>
      <c r="I77" s="193">
        <v>5.1621431279976155</v>
      </c>
      <c r="J77" s="193">
        <v>4.2057148741258752</v>
      </c>
      <c r="K77" s="40">
        <v>0.57829768685114091</v>
      </c>
      <c r="L77" s="40">
        <v>4.7100000000000003E-2</v>
      </c>
      <c r="M77" s="194">
        <v>0.20730629629629599</v>
      </c>
      <c r="N77" s="201">
        <v>82552.800000000003</v>
      </c>
      <c r="O77" s="193">
        <v>2905.6</v>
      </c>
      <c r="P77" s="194">
        <v>3239.6</v>
      </c>
      <c r="Q77" s="194">
        <v>-4.0458954753806045E-3</v>
      </c>
      <c r="R77" s="194">
        <v>-334</v>
      </c>
      <c r="S77" s="39">
        <v>0.89690085195703173</v>
      </c>
    </row>
    <row r="78" spans="1:19">
      <c r="A78" s="201" t="s">
        <v>152</v>
      </c>
      <c r="B78" s="193">
        <v>0.92018082298393611</v>
      </c>
      <c r="C78" s="194">
        <v>0.47986026216077698</v>
      </c>
      <c r="D78" s="194">
        <v>6.3536830534704436E-2</v>
      </c>
      <c r="E78" s="194">
        <v>0.13330729957622825</v>
      </c>
      <c r="F78" s="39">
        <v>-4.11622626227564E-2</v>
      </c>
      <c r="G78" s="194">
        <v>0.38566841671367208</v>
      </c>
      <c r="H78" s="193">
        <v>4.0482636930330766</v>
      </c>
      <c r="I78" s="193">
        <v>22.352739179044878</v>
      </c>
      <c r="J78" s="193">
        <v>16.547502216967189</v>
      </c>
      <c r="K78" s="40">
        <v>0.34721232754723186</v>
      </c>
      <c r="L78" s="40">
        <v>4.7100000000000003E-2</v>
      </c>
      <c r="M78" s="194">
        <v>1.2123402777777801E-2</v>
      </c>
      <c r="N78" s="201">
        <v>13828.2</v>
      </c>
      <c r="O78" s="193">
        <v>5333.1</v>
      </c>
      <c r="P78" s="194">
        <v>878.6</v>
      </c>
      <c r="Q78" s="194">
        <v>0.32213158617896759</v>
      </c>
      <c r="R78" s="194">
        <v>4454.5</v>
      </c>
      <c r="S78" s="39">
        <v>6.0699977236512632</v>
      </c>
    </row>
    <row r="79" spans="1:19">
      <c r="A79" s="201" t="s">
        <v>76</v>
      </c>
      <c r="B79" s="193">
        <v>0.99340112374352207</v>
      </c>
      <c r="C79" s="194">
        <v>0.52694127513776901</v>
      </c>
      <c r="D79" s="194">
        <v>8.1778332119709016E-2</v>
      </c>
      <c r="E79" s="194">
        <v>8.4136608436731694E-3</v>
      </c>
      <c r="F79" s="39">
        <v>-4.1146911025716819E-2</v>
      </c>
      <c r="G79" s="194">
        <v>0.1560939561509124</v>
      </c>
      <c r="H79" s="193">
        <v>2.0316280109298286</v>
      </c>
      <c r="I79" s="193">
        <v>6.3649503304526958</v>
      </c>
      <c r="J79" s="193">
        <v>5.0668051172784567</v>
      </c>
      <c r="K79" s="40">
        <v>0.29342519462730599</v>
      </c>
      <c r="L79" s="40">
        <v>4.2099999999999999E-2</v>
      </c>
      <c r="M79" s="194">
        <v>0.30615266666666702</v>
      </c>
      <c r="N79" s="201">
        <v>138703</v>
      </c>
      <c r="O79" s="193">
        <v>21650.7</v>
      </c>
      <c r="P79" s="194">
        <v>11342.9</v>
      </c>
      <c r="Q79" s="194">
        <v>7.431562403120337E-2</v>
      </c>
      <c r="R79" s="194">
        <v>10307.800000000001</v>
      </c>
      <c r="S79" s="39">
        <v>1.9087446772871137</v>
      </c>
    </row>
    <row r="80" spans="1:19">
      <c r="A80" s="201" t="s">
        <v>77</v>
      </c>
      <c r="B80" s="193">
        <v>1.0098955072328311</v>
      </c>
      <c r="C80" s="194">
        <v>0.32733517663085698</v>
      </c>
      <c r="D80" s="194">
        <v>5.7633183230631484E-2</v>
      </c>
      <c r="E80" s="194">
        <v>8.3987563859482792E-2</v>
      </c>
      <c r="F80" s="39">
        <v>-7.9528098172433771E-3</v>
      </c>
      <c r="G80" s="194">
        <v>0.1159518683836309</v>
      </c>
      <c r="H80" s="193">
        <v>1.1644540754858588</v>
      </c>
      <c r="I80" s="193">
        <v>5.952726473659439</v>
      </c>
      <c r="J80" s="193">
        <v>4.598039710630049</v>
      </c>
      <c r="K80" s="40">
        <v>0.38492455966339512</v>
      </c>
      <c r="L80" s="40">
        <v>6.2100000000000002E-2</v>
      </c>
      <c r="M80" s="194">
        <v>0.19118125</v>
      </c>
      <c r="N80" s="201">
        <v>121516.8</v>
      </c>
      <c r="O80" s="193">
        <v>14090.1</v>
      </c>
      <c r="P80" s="194">
        <v>7003.4</v>
      </c>
      <c r="Q80" s="194">
        <v>5.8318685152999428E-2</v>
      </c>
      <c r="R80" s="194">
        <v>7086.7000000000007</v>
      </c>
      <c r="S80" s="39">
        <v>2.0118942228060659</v>
      </c>
    </row>
    <row r="81" spans="1:19">
      <c r="A81" s="202" t="s">
        <v>153</v>
      </c>
      <c r="B81" s="207">
        <v>1.0002849546376704</v>
      </c>
      <c r="C81" s="208">
        <v>0.60724398178155303</v>
      </c>
      <c r="D81" s="208" t="s">
        <v>156</v>
      </c>
      <c r="E81" s="208" t="s">
        <v>156</v>
      </c>
      <c r="F81" s="41" t="s">
        <v>156</v>
      </c>
      <c r="G81" s="207" t="s">
        <v>156</v>
      </c>
      <c r="H81" s="207" t="s">
        <v>156</v>
      </c>
      <c r="I81" s="207">
        <v>89.796216093002045</v>
      </c>
      <c r="J81" s="207">
        <v>89.796216093002045</v>
      </c>
      <c r="K81" s="42">
        <v>0.10206646188215596</v>
      </c>
      <c r="L81" s="42">
        <v>3.7100000000000001E-2</v>
      </c>
      <c r="M81" s="208">
        <v>8.8663636363636306E-2</v>
      </c>
      <c r="N81" s="202" t="e">
        <v>#VALUE!</v>
      </c>
      <c r="O81" s="207">
        <v>0.3</v>
      </c>
      <c r="P81" s="208">
        <v>0</v>
      </c>
      <c r="Q81" s="208" t="s">
        <v>156</v>
      </c>
      <c r="R81" s="208">
        <v>0.3</v>
      </c>
      <c r="S81" s="41" t="s">
        <v>156</v>
      </c>
    </row>
    <row r="82" spans="1:19">
      <c r="A82" s="202" t="s">
        <v>78</v>
      </c>
      <c r="B82" s="207">
        <v>1.0857315995420282</v>
      </c>
      <c r="C82" s="208">
        <v>0.36552324254869101</v>
      </c>
      <c r="D82" s="208">
        <v>4.7679834435448334E-2</v>
      </c>
      <c r="E82" s="208">
        <v>2.3502030377582986E-3</v>
      </c>
      <c r="F82" s="209">
        <v>-5.1114276330304395E-2</v>
      </c>
      <c r="G82" s="208">
        <v>8.5139147691560446E-2</v>
      </c>
      <c r="H82" s="207">
        <v>1.5742031177841291</v>
      </c>
      <c r="I82" s="207">
        <v>9.6274389329451253</v>
      </c>
      <c r="J82" s="207">
        <v>7.4538965850407921</v>
      </c>
      <c r="K82" s="210">
        <v>0.19981248651350558</v>
      </c>
      <c r="L82" s="210">
        <v>5.21E-2</v>
      </c>
      <c r="M82" s="208">
        <v>0.20103205882352901</v>
      </c>
      <c r="N82" s="202">
        <v>179941.9</v>
      </c>
      <c r="O82" s="207">
        <v>15320.1</v>
      </c>
      <c r="P82" s="208">
        <v>8579.6</v>
      </c>
      <c r="Q82" s="208">
        <v>3.7459313256112112E-2</v>
      </c>
      <c r="R82" s="208">
        <v>6740.5</v>
      </c>
      <c r="S82" s="209">
        <v>1.7856426873047695</v>
      </c>
    </row>
    <row r="83" spans="1:19">
      <c r="A83" s="202" t="s">
        <v>79</v>
      </c>
      <c r="B83" s="207">
        <v>1.2220442237366789</v>
      </c>
      <c r="C83" s="208">
        <v>0.34890821104945202</v>
      </c>
      <c r="D83" s="208">
        <v>2.8968558500580905E-2</v>
      </c>
      <c r="E83" s="208">
        <v>0.12909321109643029</v>
      </c>
      <c r="F83" s="41">
        <v>6.2952052532063693E-2</v>
      </c>
      <c r="G83" s="208">
        <v>4.0464040822835272E-2</v>
      </c>
      <c r="H83" s="207">
        <v>0.40193134283094528</v>
      </c>
      <c r="I83" s="207">
        <v>4.2904238653430218</v>
      </c>
      <c r="J83" s="207">
        <v>3.277070355735066</v>
      </c>
      <c r="K83" s="42">
        <v>0.20680580142778415</v>
      </c>
      <c r="L83" s="42">
        <v>5.21E-2</v>
      </c>
      <c r="M83" s="208">
        <v>0.23075006451612901</v>
      </c>
      <c r="N83" s="202">
        <v>561881.59999999998</v>
      </c>
      <c r="O83" s="207">
        <v>22736</v>
      </c>
      <c r="P83" s="208">
        <v>16276.9</v>
      </c>
      <c r="Q83" s="208">
        <v>1.1495482322254369E-2</v>
      </c>
      <c r="R83" s="208">
        <v>6459.1</v>
      </c>
      <c r="S83" s="41">
        <v>1.396826176974731</v>
      </c>
    </row>
    <row r="84" spans="1:19">
      <c r="A84" s="202" t="s">
        <v>80</v>
      </c>
      <c r="B84" s="207">
        <v>0.93198971290475918</v>
      </c>
      <c r="C84" s="208">
        <v>0.56365098159301996</v>
      </c>
      <c r="D84" s="208">
        <v>1.1986923152788861E-2</v>
      </c>
      <c r="E84" s="208">
        <v>0.13876442398213981</v>
      </c>
      <c r="F84" s="41">
        <v>0.12863121228694646</v>
      </c>
      <c r="G84" s="208">
        <v>2.7934557485228589E-2</v>
      </c>
      <c r="H84" s="207">
        <v>0.46536787318551459</v>
      </c>
      <c r="I84" s="207">
        <v>6.9236323012022076</v>
      </c>
      <c r="J84" s="207">
        <v>5.8757579402421163</v>
      </c>
      <c r="K84" s="42">
        <v>0.40075658922037138</v>
      </c>
      <c r="L84" s="42">
        <v>4.2099999999999999E-2</v>
      </c>
      <c r="M84" s="208">
        <v>0.3422925</v>
      </c>
      <c r="N84" s="202">
        <v>178452.8</v>
      </c>
      <c r="O84" s="207">
        <v>4985</v>
      </c>
      <c r="P84" s="208">
        <v>2139.1</v>
      </c>
      <c r="Q84" s="208">
        <v>1.5947634332439727E-2</v>
      </c>
      <c r="R84" s="208">
        <v>2845.9</v>
      </c>
      <c r="S84" s="41">
        <v>2.3304193352344447</v>
      </c>
    </row>
    <row r="85" spans="1:19">
      <c r="A85" s="201" t="s">
        <v>81</v>
      </c>
      <c r="B85" s="193">
        <v>0.8622098173602728</v>
      </c>
      <c r="C85" s="194">
        <v>0.53687304311412198</v>
      </c>
      <c r="D85" s="194">
        <v>2.3421431160344997E-2</v>
      </c>
      <c r="E85" s="194">
        <v>5.8657501780109554E-2</v>
      </c>
      <c r="F85" s="39">
        <v>5.0677029187186737E-2</v>
      </c>
      <c r="G85" s="194">
        <v>5.6803396952129277E-2</v>
      </c>
      <c r="H85" s="193">
        <v>0.723226472900655</v>
      </c>
      <c r="I85" s="193">
        <v>6.2398479207920792</v>
      </c>
      <c r="J85" s="193">
        <v>5.1908962717939939</v>
      </c>
      <c r="K85" s="40">
        <v>0.20851814799636792</v>
      </c>
      <c r="L85" s="40">
        <v>4.2099999999999999E-2</v>
      </c>
      <c r="M85" s="194">
        <v>0.28123749999999997</v>
      </c>
      <c r="N85" s="201">
        <v>272314.7</v>
      </c>
      <c r="O85" s="193">
        <v>15468.4</v>
      </c>
      <c r="P85" s="194">
        <v>6378</v>
      </c>
      <c r="Q85" s="194">
        <v>3.3381965791784284E-2</v>
      </c>
      <c r="R85" s="194">
        <v>9090.4</v>
      </c>
      <c r="S85" s="39">
        <v>2.4252743806835997</v>
      </c>
    </row>
    <row r="86" spans="1:19">
      <c r="A86" s="201" t="s">
        <v>82</v>
      </c>
      <c r="B86" s="193">
        <v>0.86253180225704051</v>
      </c>
      <c r="C86" s="194">
        <v>0.422793669312229</v>
      </c>
      <c r="D86" s="194">
        <v>1.9254215495576092E-2</v>
      </c>
      <c r="E86" s="194">
        <v>4.2412240099873197E-2</v>
      </c>
      <c r="F86" s="39">
        <v>1.531904127349871E-2</v>
      </c>
      <c r="G86" s="194">
        <v>3.8937388905081444E-2</v>
      </c>
      <c r="H86" s="193">
        <v>0.53840296492817008</v>
      </c>
      <c r="I86" s="193">
        <v>7.7636626499011685</v>
      </c>
      <c r="J86" s="193">
        <v>6.076555973601832</v>
      </c>
      <c r="K86" s="40">
        <v>0.23247866758624225</v>
      </c>
      <c r="L86" s="40">
        <v>4.7100000000000003E-2</v>
      </c>
      <c r="M86" s="194">
        <v>0.25684184210526301</v>
      </c>
      <c r="N86" s="201">
        <v>1437903.3</v>
      </c>
      <c r="O86" s="193">
        <v>55988.2</v>
      </c>
      <c r="P86" s="194">
        <v>27685.7</v>
      </c>
      <c r="Q86" s="194">
        <v>1.9683173409505351E-2</v>
      </c>
      <c r="R86" s="194">
        <v>28302.499999999996</v>
      </c>
      <c r="S86" s="39">
        <v>2.0222786492665885</v>
      </c>
    </row>
    <row r="87" spans="1:19">
      <c r="A87" s="201" t="s">
        <v>154</v>
      </c>
      <c r="B87" s="193">
        <v>0.36810573418775283</v>
      </c>
      <c r="C87" s="194">
        <v>0.41885544861478302</v>
      </c>
      <c r="D87" s="194">
        <v>5.8666529635356566E-3</v>
      </c>
      <c r="E87" s="194">
        <v>1.6378013326294907</v>
      </c>
      <c r="F87" s="39">
        <v>1.2038870176848249</v>
      </c>
      <c r="G87" s="194">
        <v>9.7834126713475314E-3</v>
      </c>
      <c r="H87" s="193">
        <v>1.8199302697492481</v>
      </c>
      <c r="I87" s="193">
        <v>5.3611257133113401</v>
      </c>
      <c r="J87" s="193">
        <v>5.2700492175235789</v>
      </c>
      <c r="K87" s="40">
        <v>0.82215031675544914</v>
      </c>
      <c r="L87" s="40">
        <v>5.21E-2</v>
      </c>
      <c r="M87" s="194">
        <v>0.2215659375</v>
      </c>
      <c r="N87" s="201">
        <v>642189</v>
      </c>
      <c r="O87" s="193">
        <v>6282.8</v>
      </c>
      <c r="P87" s="194">
        <v>3767.5</v>
      </c>
      <c r="Q87" s="194">
        <v>3.9167597078118748E-3</v>
      </c>
      <c r="R87" s="194">
        <v>2515.3000000000002</v>
      </c>
      <c r="S87" s="39">
        <v>1.6676310550763107</v>
      </c>
    </row>
    <row r="88" spans="1:19">
      <c r="A88" s="201" t="s">
        <v>83</v>
      </c>
      <c r="B88" s="193">
        <v>2.1134097408255399</v>
      </c>
      <c r="C88" s="194">
        <v>0.36675418625555101</v>
      </c>
      <c r="D88" s="194">
        <v>0.12054653050722645</v>
      </c>
      <c r="E88" s="194">
        <v>0.49403483244758717</v>
      </c>
      <c r="F88" s="39">
        <v>8.972824302863075E-2</v>
      </c>
      <c r="G88" s="194">
        <v>0.13342477664114416</v>
      </c>
      <c r="H88" s="193">
        <v>1.3144811065468323</v>
      </c>
      <c r="I88" s="193">
        <v>4.7407184695669411</v>
      </c>
      <c r="J88" s="193">
        <v>3.3042008183772289</v>
      </c>
      <c r="K88" s="40">
        <v>0.11750475980852992</v>
      </c>
      <c r="L88" s="40">
        <v>6.2100000000000002E-2</v>
      </c>
      <c r="M88" s="194">
        <v>0.104755081967213</v>
      </c>
      <c r="N88" s="201">
        <v>281777.5</v>
      </c>
      <c r="O88" s="193">
        <v>37596.1</v>
      </c>
      <c r="P88" s="194">
        <v>33967.300000000003</v>
      </c>
      <c r="Q88" s="194">
        <v>1.2878246133917703E-2</v>
      </c>
      <c r="R88" s="194">
        <v>3628.7999999999956</v>
      </c>
      <c r="S88" s="39">
        <v>1.1068321591648438</v>
      </c>
    </row>
    <row r="89" spans="1:19">
      <c r="A89" s="201" t="s">
        <v>84</v>
      </c>
      <c r="B89" s="193">
        <v>2.2011565547109448</v>
      </c>
      <c r="C89" s="194">
        <v>0.518283809095201</v>
      </c>
      <c r="D89" s="194">
        <v>4.1808065661747301E-2</v>
      </c>
      <c r="E89" s="194">
        <v>0.45472601478441588</v>
      </c>
      <c r="F89" s="39">
        <v>0.15620533326318189</v>
      </c>
      <c r="G89" s="194">
        <v>3.9780250616017331E-2</v>
      </c>
      <c r="H89" s="193">
        <v>0.80694323871657936</v>
      </c>
      <c r="I89" s="193">
        <v>3.3971970482952685</v>
      </c>
      <c r="J89" s="193">
        <v>2.8887479556641367</v>
      </c>
      <c r="K89" s="40">
        <v>0.11984000444211762</v>
      </c>
      <c r="L89" s="40">
        <v>4.7100000000000003E-2</v>
      </c>
      <c r="M89" s="194">
        <v>0.22028249999999999</v>
      </c>
      <c r="N89" s="201">
        <v>45615.599999999991</v>
      </c>
      <c r="O89" s="193">
        <v>1814.6</v>
      </c>
      <c r="P89" s="194">
        <v>1907.1</v>
      </c>
      <c r="Q89" s="194">
        <v>-2.0278150457299698E-3</v>
      </c>
      <c r="R89" s="194">
        <v>-92.5</v>
      </c>
      <c r="S89" s="39">
        <v>0.95149703738660796</v>
      </c>
    </row>
    <row r="90" spans="1:19">
      <c r="A90" s="201" t="s">
        <v>85</v>
      </c>
      <c r="B90" s="193">
        <v>1.3921858031803633</v>
      </c>
      <c r="C90" s="194">
        <v>0.42087747796187702</v>
      </c>
      <c r="D90" s="194">
        <v>1.7113684336133209E-2</v>
      </c>
      <c r="E90" s="194">
        <v>0.29842763086816515</v>
      </c>
      <c r="F90" s="39">
        <v>0.16150041844917415</v>
      </c>
      <c r="G90" s="194">
        <v>2.3205788305030905E-2</v>
      </c>
      <c r="H90" s="193">
        <v>0.84269213589681169</v>
      </c>
      <c r="I90" s="193">
        <v>6.7328536518399353</v>
      </c>
      <c r="J90" s="193">
        <v>5.9229853368459064</v>
      </c>
      <c r="K90" s="40">
        <v>3.531146914937755E-2</v>
      </c>
      <c r="L90" s="40">
        <v>4.7100000000000003E-2</v>
      </c>
      <c r="M90" s="194">
        <v>0.30347631578947398</v>
      </c>
      <c r="N90" s="201">
        <v>62014.7</v>
      </c>
      <c r="O90" s="193">
        <v>1439.1</v>
      </c>
      <c r="P90" s="194">
        <v>1061.3</v>
      </c>
      <c r="Q90" s="194">
        <v>6.0921039688976962E-3</v>
      </c>
      <c r="R90" s="194">
        <v>377.79999999999995</v>
      </c>
      <c r="S90" s="39">
        <v>1.3559785169132197</v>
      </c>
    </row>
    <row r="91" spans="1:19">
      <c r="A91" s="201" t="s">
        <v>86</v>
      </c>
      <c r="B91" s="193">
        <v>1.5339126967621795</v>
      </c>
      <c r="C91" s="194">
        <v>0.496937957311536</v>
      </c>
      <c r="D91" s="194">
        <v>1.9262816601879125E-2</v>
      </c>
      <c r="E91" s="194">
        <v>0.19810518242194991</v>
      </c>
      <c r="F91" s="39">
        <v>0.1433332752279185</v>
      </c>
      <c r="G91" s="194">
        <v>3.6049470950197844E-2</v>
      </c>
      <c r="H91" s="193">
        <v>0.54970017605940702</v>
      </c>
      <c r="I91" s="193">
        <v>4.3862700642612742</v>
      </c>
      <c r="J91" s="193">
        <v>3.8018976544556899</v>
      </c>
      <c r="K91" s="40">
        <v>0.24343255927963259</v>
      </c>
      <c r="L91" s="40">
        <v>4.7100000000000003E-2</v>
      </c>
      <c r="M91" s="194">
        <v>0.29144999999999999</v>
      </c>
      <c r="N91" s="201">
        <v>114734.00000000001</v>
      </c>
      <c r="O91" s="193">
        <v>4136.1000000000004</v>
      </c>
      <c r="P91" s="194">
        <v>2210.1</v>
      </c>
      <c r="Q91" s="194">
        <v>1.6786654348318723E-2</v>
      </c>
      <c r="R91" s="194">
        <v>1926.0000000000005</v>
      </c>
      <c r="S91" s="39">
        <v>1.8714537803719291</v>
      </c>
    </row>
    <row r="92" spans="1:19">
      <c r="A92" s="201" t="s">
        <v>87</v>
      </c>
      <c r="B92" s="193">
        <v>1.5350404786144949</v>
      </c>
      <c r="C92" s="194">
        <v>0.37947193564663201</v>
      </c>
      <c r="D92" s="194">
        <v>4.431473345744151E-2</v>
      </c>
      <c r="E92" s="194">
        <v>0.23918221239052037</v>
      </c>
      <c r="F92" s="39">
        <v>0.15490000320638689</v>
      </c>
      <c r="G92" s="194">
        <v>5.4960486077292564E-2</v>
      </c>
      <c r="H92" s="193">
        <v>0.59456799691529139</v>
      </c>
      <c r="I92" s="193">
        <v>3.1653586846939117</v>
      </c>
      <c r="J92" s="193">
        <v>2.5611301956062378</v>
      </c>
      <c r="K92" s="40">
        <v>0.39378273482480741</v>
      </c>
      <c r="L92" s="40">
        <v>5.21E-2</v>
      </c>
      <c r="M92" s="194">
        <v>0.29899142857142902</v>
      </c>
      <c r="N92" s="201">
        <v>364896.7</v>
      </c>
      <c r="O92" s="193">
        <v>20054.900000000001</v>
      </c>
      <c r="P92" s="194">
        <v>16170.3</v>
      </c>
      <c r="Q92" s="194">
        <v>1.0645752619851049E-2</v>
      </c>
      <c r="R92" s="194">
        <v>3884.6000000000022</v>
      </c>
      <c r="S92" s="39">
        <v>1.2402305461246854</v>
      </c>
    </row>
    <row r="93" spans="1:19">
      <c r="A93" s="201" t="s">
        <v>88</v>
      </c>
      <c r="B93" s="193">
        <v>1.869976391114617</v>
      </c>
      <c r="C93" s="194">
        <v>0.30385056015127898</v>
      </c>
      <c r="D93" s="194">
        <v>3.7157688618596821E-2</v>
      </c>
      <c r="E93" s="194">
        <v>0.36137774725840188</v>
      </c>
      <c r="F93" s="39">
        <v>2.5166069990216243E-3</v>
      </c>
      <c r="G93" s="194">
        <v>2.6603739076586756E-2</v>
      </c>
      <c r="H93" s="193">
        <v>0.90333606269601574</v>
      </c>
      <c r="I93" s="193">
        <v>6.4676781561007921</v>
      </c>
      <c r="J93" s="193">
        <v>5.108587122159177</v>
      </c>
      <c r="K93" s="40">
        <v>0.11277006514970123</v>
      </c>
      <c r="L93" s="40">
        <v>6.2100000000000002E-2</v>
      </c>
      <c r="M93" s="194">
        <v>0.12077438244514099</v>
      </c>
      <c r="N93" s="201">
        <v>510131.29999999993</v>
      </c>
      <c r="O93" s="193">
        <v>13571.4</v>
      </c>
      <c r="P93" s="194">
        <v>18955.3</v>
      </c>
      <c r="Q93" s="194">
        <v>-1.0553949542010067E-2</v>
      </c>
      <c r="R93" s="194">
        <v>-5383.9</v>
      </c>
      <c r="S93" s="39">
        <v>0.71596862091341207</v>
      </c>
    </row>
    <row r="94" spans="1:19">
      <c r="A94" s="201" t="s">
        <v>89</v>
      </c>
      <c r="B94" s="193">
        <v>1.0563460069453661</v>
      </c>
      <c r="C94" s="194">
        <v>0.33039994529488698</v>
      </c>
      <c r="D94" s="194">
        <v>8.2020779495170906E-2</v>
      </c>
      <c r="E94" s="194">
        <v>-5.8418616785033128E-3</v>
      </c>
      <c r="F94" s="39">
        <v>-0.10847778555067002</v>
      </c>
      <c r="G94" s="194">
        <v>0.15594751487464578</v>
      </c>
      <c r="H94" s="193">
        <v>1.6879320020443727</v>
      </c>
      <c r="I94" s="193">
        <v>4.2415567997520442</v>
      </c>
      <c r="J94" s="193">
        <v>3.51673136167227</v>
      </c>
      <c r="K94" s="40">
        <v>0.3391478118780642</v>
      </c>
      <c r="L94" s="40">
        <v>6.2100000000000002E-2</v>
      </c>
      <c r="M94" s="194">
        <v>0.158962214285714</v>
      </c>
      <c r="N94" s="201">
        <v>1613013.2</v>
      </c>
      <c r="O94" s="193">
        <v>251545.4</v>
      </c>
      <c r="P94" s="194">
        <v>132300.6</v>
      </c>
      <c r="Q94" s="194">
        <v>7.3926735379474875E-2</v>
      </c>
      <c r="R94" s="194">
        <v>119244.79999999999</v>
      </c>
      <c r="S94" s="39">
        <v>1.9013171520008223</v>
      </c>
    </row>
    <row r="95" spans="1:19">
      <c r="A95" s="201" t="s">
        <v>155</v>
      </c>
      <c r="B95" s="193">
        <v>0.69023443377313543</v>
      </c>
      <c r="C95" s="194">
        <v>0.39975211404951899</v>
      </c>
      <c r="D95" s="194" t="s">
        <v>156</v>
      </c>
      <c r="E95" s="194" t="s">
        <v>156</v>
      </c>
      <c r="F95" s="39" t="s">
        <v>156</v>
      </c>
      <c r="G95" s="194" t="s">
        <v>156</v>
      </c>
      <c r="H95" s="193" t="s">
        <v>156</v>
      </c>
      <c r="I95" s="193">
        <v>8.1092477353288697</v>
      </c>
      <c r="J95" s="193">
        <v>8.1092477353288697</v>
      </c>
      <c r="K95" s="40">
        <v>8.8508448987101751E-2</v>
      </c>
      <c r="L95" s="40">
        <v>4.2099999999999999E-2</v>
      </c>
      <c r="M95" s="194">
        <v>0.17044594017094</v>
      </c>
      <c r="N95" s="201" t="e">
        <v>#VALUE!</v>
      </c>
      <c r="O95" s="193">
        <v>0.3</v>
      </c>
      <c r="P95" s="194">
        <v>0</v>
      </c>
      <c r="Q95" s="194" t="s">
        <v>156</v>
      </c>
      <c r="R95" s="194">
        <v>0.3</v>
      </c>
      <c r="S95" s="39" t="s">
        <v>156</v>
      </c>
    </row>
    <row r="96" spans="1:19">
      <c r="A96" s="201" t="s">
        <v>90</v>
      </c>
      <c r="B96" s="193">
        <v>0.68684459041938628</v>
      </c>
      <c r="C96" s="194">
        <v>0.41064833030898501</v>
      </c>
      <c r="D96" s="194">
        <v>6.5321782523243329E-3</v>
      </c>
      <c r="E96" s="194">
        <v>5.4816544932465391E-2</v>
      </c>
      <c r="F96" s="39">
        <v>7.7814638770019933E-3</v>
      </c>
      <c r="G96" s="194">
        <v>2.1636860372729678E-2</v>
      </c>
      <c r="H96" s="193">
        <v>1.471097419885421</v>
      </c>
      <c r="I96" s="193">
        <v>15.203576235858696</v>
      </c>
      <c r="J96" s="193">
        <v>14.24210450851646</v>
      </c>
      <c r="K96" s="40">
        <v>8.1241652188758451E-2</v>
      </c>
      <c r="L96" s="40">
        <v>6.2100000000000002E-2</v>
      </c>
      <c r="M96" s="194">
        <v>0.20249666666666699</v>
      </c>
      <c r="N96" s="201">
        <v>229571.20000000001</v>
      </c>
      <c r="O96" s="193">
        <v>4967.2</v>
      </c>
      <c r="P96" s="194">
        <v>1499.6</v>
      </c>
      <c r="Q96" s="194">
        <v>1.5104682120405347E-2</v>
      </c>
      <c r="R96" s="194">
        <v>3467.6</v>
      </c>
      <c r="S96" s="39">
        <v>3.3123499599893305</v>
      </c>
    </row>
    <row r="97" spans="1:19">
      <c r="A97" s="201" t="s">
        <v>91</v>
      </c>
      <c r="B97" s="193">
        <v>0.79202357528830314</v>
      </c>
      <c r="C97" s="194">
        <v>0.34199229469382503</v>
      </c>
      <c r="D97" s="194">
        <v>2.6125637337129557E-2</v>
      </c>
      <c r="E97" s="194">
        <v>0.16078234221498811</v>
      </c>
      <c r="F97" s="39">
        <v>8.5401930967657358E-2</v>
      </c>
      <c r="G97" s="194">
        <v>3.0713303235590326E-2</v>
      </c>
      <c r="H97" s="193">
        <v>0.9787507279704929</v>
      </c>
      <c r="I97" s="193">
        <v>8.1325589797952524</v>
      </c>
      <c r="J97" s="193">
        <v>6.6820189443352058</v>
      </c>
      <c r="K97" s="40">
        <v>0.27800285836607241</v>
      </c>
      <c r="L97" s="40">
        <v>6.2100000000000002E-2</v>
      </c>
      <c r="M97" s="194">
        <v>0.23277826086956499</v>
      </c>
      <c r="N97" s="201">
        <v>60270.30000000001</v>
      </c>
      <c r="O97" s="193">
        <v>1851.1</v>
      </c>
      <c r="P97" s="194">
        <v>1574.6</v>
      </c>
      <c r="Q97" s="194">
        <v>4.587665898460767E-3</v>
      </c>
      <c r="R97" s="194">
        <v>276.5</v>
      </c>
      <c r="S97" s="39">
        <v>1.1756001524196622</v>
      </c>
    </row>
    <row r="98" spans="1:19">
      <c r="A98" s="201" t="s">
        <v>92</v>
      </c>
      <c r="B98" s="193">
        <v>0.66494970421865096</v>
      </c>
      <c r="C98" s="194">
        <v>0.46031939468424099</v>
      </c>
      <c r="D98" s="194">
        <v>5.0498918076050642E-2</v>
      </c>
      <c r="E98" s="194">
        <v>9.1881759883955416E-2</v>
      </c>
      <c r="F98" s="39">
        <v>5.268160438147089E-2</v>
      </c>
      <c r="G98" s="194">
        <v>0.34476853164038851</v>
      </c>
      <c r="H98" s="193">
        <v>0.74860574383020773</v>
      </c>
      <c r="I98" s="193">
        <v>5.639034018344363</v>
      </c>
      <c r="J98" s="193">
        <v>4.085090276998991</v>
      </c>
      <c r="K98" s="40">
        <v>0.55908615129437267</v>
      </c>
      <c r="L98" s="40">
        <v>4.7100000000000003E-2</v>
      </c>
      <c r="M98" s="194">
        <v>0.33185666666666702</v>
      </c>
      <c r="N98" s="201">
        <v>116782.70000000001</v>
      </c>
      <c r="O98" s="193">
        <v>40263</v>
      </c>
      <c r="P98" s="194">
        <v>5897.4</v>
      </c>
      <c r="Q98" s="194">
        <v>0.29426961356433784</v>
      </c>
      <c r="R98" s="194">
        <v>34365.599999999999</v>
      </c>
      <c r="S98" s="39">
        <v>6.827245904975074</v>
      </c>
    </row>
    <row r="99" spans="1:19">
      <c r="A99" s="201" t="s">
        <v>178</v>
      </c>
      <c r="B99" s="193">
        <v>0.84585600099040348</v>
      </c>
      <c r="C99" s="194">
        <v>0.60156196590783495</v>
      </c>
      <c r="D99" s="194">
        <v>8.6389156570940318E-2</v>
      </c>
      <c r="E99" s="194">
        <v>9.8959155090260764E-2</v>
      </c>
      <c r="F99" s="39">
        <v>4.6214193648612893E-2</v>
      </c>
      <c r="G99" s="194">
        <v>0.12416711774800776</v>
      </c>
      <c r="H99" s="193">
        <v>0.90476196255579855</v>
      </c>
      <c r="I99" s="193">
        <v>5.9163273890304202</v>
      </c>
      <c r="J99" s="193">
        <v>3.7806251045982666</v>
      </c>
      <c r="K99" s="40">
        <v>0.38581934610499724</v>
      </c>
      <c r="L99" s="40">
        <v>4.2099999999999999E-2</v>
      </c>
      <c r="M99" s="194">
        <v>0.150066</v>
      </c>
      <c r="N99" s="201">
        <v>82394.600000000006</v>
      </c>
      <c r="O99" s="193">
        <v>10230.700000000001</v>
      </c>
      <c r="P99" s="194">
        <v>7118</v>
      </c>
      <c r="Q99" s="194">
        <v>3.7777961177067436E-2</v>
      </c>
      <c r="R99" s="194">
        <v>3112.7000000000007</v>
      </c>
      <c r="S99" s="39">
        <v>1.4372998033155382</v>
      </c>
    </row>
    <row r="100" spans="1:19">
      <c r="A100" s="201" t="s">
        <v>93</v>
      </c>
      <c r="B100" s="193">
        <v>0.56589873394747547</v>
      </c>
      <c r="C100" s="194">
        <v>0.55070797121328796</v>
      </c>
      <c r="D100" s="194">
        <v>0.11189006556604185</v>
      </c>
      <c r="E100" s="194">
        <v>5.0261478422573572E-2</v>
      </c>
      <c r="F100" s="39">
        <v>1.6823670126854137E-2</v>
      </c>
      <c r="G100" s="194">
        <v>0.29346696815987289</v>
      </c>
      <c r="H100" s="193">
        <v>3.7971381426738025</v>
      </c>
      <c r="I100" s="193">
        <v>9.3882185334686046</v>
      </c>
      <c r="J100" s="193">
        <v>7.3538373095717162</v>
      </c>
      <c r="K100" s="40">
        <v>0.45293761025439994</v>
      </c>
      <c r="L100" s="40">
        <v>4.2099999999999999E-2</v>
      </c>
      <c r="M100" s="194">
        <v>0.354591875</v>
      </c>
      <c r="N100" s="201">
        <v>11454.1</v>
      </c>
      <c r="O100" s="193">
        <v>3361.4</v>
      </c>
      <c r="P100" s="194">
        <v>1281.5999999999999</v>
      </c>
      <c r="Q100" s="194">
        <v>0.18157690259383105</v>
      </c>
      <c r="R100" s="194">
        <v>2079.8000000000002</v>
      </c>
      <c r="S100" s="39">
        <v>2.6228152309612986</v>
      </c>
    </row>
    <row r="101" spans="1:19">
      <c r="A101" s="201" t="s">
        <v>94</v>
      </c>
      <c r="B101" s="193">
        <v>1.2792216755610821</v>
      </c>
      <c r="C101" s="194">
        <v>0.371414468067092</v>
      </c>
      <c r="D101" s="194">
        <v>7.7468577210283301E-2</v>
      </c>
      <c r="E101" s="194">
        <v>0.28539160918885026</v>
      </c>
      <c r="F101" s="39">
        <v>6.9076697258165662E-2</v>
      </c>
      <c r="G101" s="194">
        <v>6.4268867924528308E-2</v>
      </c>
      <c r="H101" s="193">
        <v>2.3609684062019038</v>
      </c>
      <c r="I101" s="193">
        <v>12.913885471369897</v>
      </c>
      <c r="J101" s="193">
        <v>9.0704402133179194</v>
      </c>
      <c r="K101" s="40">
        <v>0.26671090145663778</v>
      </c>
      <c r="L101" s="40">
        <v>6.2100000000000002E-2</v>
      </c>
      <c r="M101" s="194">
        <v>0.140828596491228</v>
      </c>
      <c r="N101" s="201">
        <v>56137.599999999999</v>
      </c>
      <c r="O101" s="193">
        <v>3607.9</v>
      </c>
      <c r="P101" s="194">
        <v>4348.8999999999996</v>
      </c>
      <c r="Q101" s="194">
        <v>-1.3199709285754995E-2</v>
      </c>
      <c r="R101" s="194">
        <v>-740.99999999999955</v>
      </c>
      <c r="S101" s="39">
        <v>0.82961208581480383</v>
      </c>
    </row>
    <row r="102" spans="1:19">
      <c r="A102" s="201" t="s">
        <v>151</v>
      </c>
      <c r="B102" s="193">
        <v>0.48453900011465267</v>
      </c>
      <c r="C102" s="194">
        <v>0.52445944287651802</v>
      </c>
      <c r="D102" s="194">
        <v>8.5282954496993468E-2</v>
      </c>
      <c r="E102" s="194">
        <v>0.65611326709028095</v>
      </c>
      <c r="F102" s="39">
        <v>0.33107595206618617</v>
      </c>
      <c r="G102" s="194">
        <v>1.3356646338863064E-2</v>
      </c>
      <c r="H102" s="193">
        <v>4.0147383683739184</v>
      </c>
      <c r="I102" s="193">
        <v>7.5343663387072137</v>
      </c>
      <c r="J102" s="193">
        <v>6.4948716084914331</v>
      </c>
      <c r="K102" s="40">
        <v>0.79639438147703401</v>
      </c>
      <c r="L102" s="40">
        <v>5.21E-2</v>
      </c>
      <c r="M102" s="194">
        <v>6.7045999999999994E-2</v>
      </c>
      <c r="N102" s="201">
        <v>11724.5</v>
      </c>
      <c r="O102" s="193">
        <v>156.6</v>
      </c>
      <c r="P102" s="194">
        <v>999.9</v>
      </c>
      <c r="Q102" s="194">
        <v>-7.1926308158130406E-2</v>
      </c>
      <c r="R102" s="194">
        <v>-843.3</v>
      </c>
      <c r="S102" s="39">
        <v>0.15661566156615661</v>
      </c>
    </row>
    <row r="103" spans="1:19">
      <c r="A103" s="201" t="s">
        <v>148</v>
      </c>
      <c r="B103" s="193">
        <v>1.0202910870496951</v>
      </c>
      <c r="C103" s="194">
        <v>0.55641485971335802</v>
      </c>
      <c r="D103" s="194">
        <v>2.2986270022883296E-2</v>
      </c>
      <c r="E103" s="194">
        <v>8.0617848970251718E-2</v>
      </c>
      <c r="F103" s="39">
        <v>9.6338672768878728E-3</v>
      </c>
      <c r="G103" s="194">
        <v>2.6784897025171624E-2</v>
      </c>
      <c r="H103" s="193">
        <v>1.3955263157894737</v>
      </c>
      <c r="I103" s="193">
        <v>6.7034350096180271</v>
      </c>
      <c r="J103" s="193">
        <v>6.0368738863591362</v>
      </c>
      <c r="K103" s="40">
        <v>0.40209716554968666</v>
      </c>
      <c r="L103" s="40">
        <v>3.7100000000000001E-2</v>
      </c>
      <c r="M103" s="194">
        <v>0.33262333333333299</v>
      </c>
      <c r="N103" s="201">
        <v>8740</v>
      </c>
      <c r="O103" s="193">
        <v>234.1</v>
      </c>
      <c r="P103" s="194">
        <v>200.9</v>
      </c>
      <c r="Q103" s="194">
        <v>3.7986270022883281E-3</v>
      </c>
      <c r="R103" s="194">
        <v>33.199999999999989</v>
      </c>
      <c r="S103" s="39">
        <v>1.1652563464410153</v>
      </c>
    </row>
    <row r="104" spans="1:19">
      <c r="A104" s="43" t="s">
        <v>179</v>
      </c>
      <c r="B104" s="44">
        <v>0.93128070418544495</v>
      </c>
      <c r="C104" s="45">
        <v>0.37884375025789802</v>
      </c>
      <c r="D104" s="46">
        <v>4.4882544895195713E-2</v>
      </c>
      <c r="E104" s="45">
        <v>0.22127942913047516</v>
      </c>
      <c r="F104" s="47">
        <v>9.0744655204366587E-2</v>
      </c>
      <c r="G104" s="45">
        <v>7.1318504942134597E-2</v>
      </c>
      <c r="H104" s="44">
        <v>1.2756222725813078</v>
      </c>
      <c r="I104" s="48">
        <v>6.1403497406325362</v>
      </c>
      <c r="J104" s="48">
        <v>5.049434040022998</v>
      </c>
      <c r="K104" s="49">
        <v>0.32798636421608152</v>
      </c>
      <c r="L104" s="49">
        <v>6.2100000000000002E-2</v>
      </c>
      <c r="M104" s="45">
        <v>0.166728956334594</v>
      </c>
      <c r="N104" s="43">
        <v>31187707.899999999</v>
      </c>
      <c r="O104" s="44">
        <v>2224260.7000000002</v>
      </c>
      <c r="P104" s="45">
        <v>1399783.7</v>
      </c>
      <c r="Q104" s="46">
        <v>2.6435960046938885E-2</v>
      </c>
      <c r="R104" s="45">
        <v>824477.00000000023</v>
      </c>
      <c r="S104" s="47">
        <v>1.5890031438428667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2:W101"/>
  <sheetViews>
    <sheetView showGridLines="0" zoomScale="90" zoomScaleNormal="90" workbookViewId="0">
      <selection activeCell="N1" sqref="N1"/>
    </sheetView>
  </sheetViews>
  <sheetFormatPr defaultColWidth="9.140625" defaultRowHeight="12.75"/>
  <cols>
    <col min="2" max="2" width="29.7109375" customWidth="1"/>
    <col min="3" max="3" width="14.85546875" customWidth="1"/>
    <col min="4" max="4" width="12.42578125" style="1" bestFit="1" customWidth="1"/>
    <col min="5" max="5" width="13.7109375" style="1" bestFit="1" customWidth="1"/>
    <col min="6" max="7" width="13.5703125" style="1" bestFit="1" customWidth="1"/>
    <col min="8" max="11" width="12.42578125" style="1" bestFit="1" customWidth="1"/>
    <col min="12" max="12" width="25.140625" customWidth="1"/>
    <col min="13" max="13" width="10.42578125" customWidth="1"/>
    <col min="14" max="14" width="13.85546875" bestFit="1" customWidth="1"/>
    <col min="15" max="15" width="8.7109375" customWidth="1"/>
    <col min="16" max="16" width="9.85546875" customWidth="1"/>
    <col min="17" max="17" width="11.5703125" bestFit="1" customWidth="1"/>
    <col min="18" max="18" width="6.85546875" customWidth="1"/>
    <col min="19" max="19" width="14.85546875" bestFit="1" customWidth="1"/>
    <col min="20" max="20" width="5.28515625" customWidth="1"/>
  </cols>
  <sheetData>
    <row r="2" spans="2:23" s="5" customFormat="1">
      <c r="B2" s="5" t="s">
        <v>227</v>
      </c>
      <c r="D2" s="12"/>
      <c r="E2" s="12"/>
      <c r="F2" s="12"/>
      <c r="G2" s="12"/>
      <c r="H2" s="12"/>
      <c r="I2" s="12"/>
      <c r="J2" s="12"/>
      <c r="K2" s="12"/>
      <c r="M2"/>
      <c r="N2"/>
      <c r="O2"/>
      <c r="P2"/>
      <c r="Q2"/>
      <c r="R2"/>
      <c r="S2"/>
      <c r="T2"/>
      <c r="U2"/>
      <c r="V2"/>
    </row>
    <row r="4" spans="2:23">
      <c r="B4" s="23" t="s">
        <v>183</v>
      </c>
      <c r="C4" s="23"/>
    </row>
    <row r="5" spans="2:23" ht="13.5" thickBot="1">
      <c r="C5" s="187" t="s">
        <v>248</v>
      </c>
      <c r="D5" s="67" t="s">
        <v>249</v>
      </c>
      <c r="E5" s="67" t="s">
        <v>250</v>
      </c>
      <c r="F5" s="67" t="s">
        <v>251</v>
      </c>
      <c r="G5" s="67" t="s">
        <v>252</v>
      </c>
      <c r="H5" s="67" t="s">
        <v>253</v>
      </c>
      <c r="I5" s="68" t="s">
        <v>254</v>
      </c>
      <c r="J5" s="68" t="s">
        <v>255</v>
      </c>
      <c r="K5" s="187" t="s">
        <v>256</v>
      </c>
      <c r="L5" s="187" t="s">
        <v>245</v>
      </c>
    </row>
    <row r="6" spans="2:23" ht="13.5" thickBot="1">
      <c r="B6" s="169" t="s">
        <v>257</v>
      </c>
      <c r="C6" s="217"/>
      <c r="D6" s="170">
        <f>'Modelo de Negocio'!C15</f>
        <v>60318.881118881116</v>
      </c>
      <c r="E6" s="170">
        <f>'Modelo de Negocio'!D15</f>
        <v>119196.72472981561</v>
      </c>
      <c r="F6" s="170">
        <f>'Modelo de Negocio'!E15</f>
        <v>219064.20459804652</v>
      </c>
      <c r="G6" s="170">
        <f>'Modelo de Negocio'!F15</f>
        <v>342502.26362125314</v>
      </c>
      <c r="H6" s="170">
        <f>'Modelo de Negocio'!G15</f>
        <v>476736.27908315376</v>
      </c>
      <c r="I6" s="170">
        <f>'Modelo de Negocio'!H15</f>
        <v>666518.51404307259</v>
      </c>
      <c r="J6" s="170">
        <f>'Modelo de Negocio'!I15</f>
        <v>847665.99035323749</v>
      </c>
      <c r="K6" s="171">
        <f>'Modelo de Negocio'!J15</f>
        <v>1069308.7981631465</v>
      </c>
    </row>
    <row r="7" spans="2:23" ht="15.75" thickBot="1">
      <c r="B7" s="192" t="s">
        <v>211</v>
      </c>
      <c r="C7" s="10"/>
      <c r="D7" s="165"/>
      <c r="E7" s="167">
        <f>+(E6-D6)/D6</f>
        <v>0.97610967774573754</v>
      </c>
      <c r="F7" s="167">
        <f t="shared" ref="F7:K7" si="0">+(F6-E6)/E6</f>
        <v>0.83783744976719365</v>
      </c>
      <c r="G7" s="167">
        <f t="shared" si="0"/>
        <v>0.56347890907005516</v>
      </c>
      <c r="H7" s="167">
        <f t="shared" si="0"/>
        <v>0.39192154248165695</v>
      </c>
      <c r="I7" s="167">
        <f t="shared" si="0"/>
        <v>0.3980864123135392</v>
      </c>
      <c r="J7" s="167">
        <f t="shared" si="0"/>
        <v>0.27178161220358621</v>
      </c>
      <c r="K7" s="167">
        <f t="shared" si="0"/>
        <v>0.26147422490967992</v>
      </c>
      <c r="L7" s="184"/>
    </row>
    <row r="8" spans="2:23" ht="13.5" thickBot="1">
      <c r="B8" s="172" t="s">
        <v>220</v>
      </c>
      <c r="C8" s="218"/>
      <c r="D8" s="174">
        <f>-'Costo variable'!C13-'Costo variable'!C22</f>
        <v>-12451.46853146853</v>
      </c>
      <c r="E8" s="174">
        <f>-'Costo variable'!D13-'Costo variable'!D22</f>
        <v>-18922.851112523836</v>
      </c>
      <c r="F8" s="174">
        <f>-'Costo variable'!E13-'Costo variable'!E22</f>
        <v>-29546.251702941678</v>
      </c>
      <c r="G8" s="174">
        <f>-'Costo variable'!F13-'Costo variable'!F22</f>
        <v>-42237.322661768565</v>
      </c>
      <c r="H8" s="174">
        <f>-'Costo variable'!G13-'Costo variable'!G22</f>
        <v>-56023.774039760596</v>
      </c>
      <c r="I8" s="174">
        <f>-'Costo variable'!H13-'Costo variable'!H22</f>
        <v>-75381.54963263635</v>
      </c>
      <c r="J8" s="174">
        <f>-'Costo variable'!I13-'Costo variable'!I22</f>
        <v>-93496.297263652828</v>
      </c>
      <c r="K8" s="174">
        <f>-'Costo variable'!J13-'Costo variable'!J22</f>
        <v>-115660.57804464374</v>
      </c>
    </row>
    <row r="9" spans="2:23">
      <c r="B9" s="191" t="s">
        <v>212</v>
      </c>
      <c r="C9" s="159"/>
      <c r="D9" s="160">
        <f>-D8/D$6</f>
        <v>0.20642737896494157</v>
      </c>
      <c r="E9" s="161">
        <f t="shared" ref="E9:K9" si="1">-E8/E6</f>
        <v>0.15875311301897305</v>
      </c>
      <c r="F9" s="161">
        <f t="shared" si="1"/>
        <v>0.13487484985123468</v>
      </c>
      <c r="G9" s="161">
        <f t="shared" si="1"/>
        <v>0.1233198350726101</v>
      </c>
      <c r="H9" s="161">
        <f t="shared" si="1"/>
        <v>0.1175152311619833</v>
      </c>
      <c r="I9" s="161">
        <f t="shared" si="1"/>
        <v>0.11309745797663612</v>
      </c>
      <c r="J9" s="161">
        <f t="shared" si="1"/>
        <v>0.11029851182856971</v>
      </c>
      <c r="K9" s="161">
        <f t="shared" si="1"/>
        <v>0.10816387019664005</v>
      </c>
      <c r="W9" s="11"/>
    </row>
    <row r="10" spans="2:23">
      <c r="B10" s="10" t="s">
        <v>122</v>
      </c>
      <c r="C10" s="10"/>
      <c r="D10" s="63">
        <f>+D$6+D$8</f>
        <v>47867.412587412589</v>
      </c>
      <c r="E10" s="58">
        <f t="shared" ref="E10:K10" si="2">+E6+E8</f>
        <v>100273.87361729177</v>
      </c>
      <c r="F10" s="58">
        <f t="shared" si="2"/>
        <v>189517.95289510483</v>
      </c>
      <c r="G10" s="58">
        <f t="shared" si="2"/>
        <v>300264.94095948455</v>
      </c>
      <c r="H10" s="58">
        <f t="shared" si="2"/>
        <v>420712.50504339318</v>
      </c>
      <c r="I10" s="58">
        <f t="shared" si="2"/>
        <v>591136.96441043622</v>
      </c>
      <c r="J10" s="58">
        <f t="shared" si="2"/>
        <v>754169.6930895847</v>
      </c>
      <c r="K10" s="58">
        <f t="shared" si="2"/>
        <v>953648.22011850274</v>
      </c>
      <c r="W10" s="11"/>
    </row>
    <row r="11" spans="2:23" ht="13.5" thickBot="1">
      <c r="B11" s="191" t="s">
        <v>212</v>
      </c>
      <c r="C11" s="157"/>
      <c r="D11" s="164">
        <f t="shared" ref="D11:K11" si="3">+D10/D6</f>
        <v>0.79357262103505855</v>
      </c>
      <c r="E11" s="158">
        <f t="shared" si="3"/>
        <v>0.8412468869810269</v>
      </c>
      <c r="F11" s="158">
        <f t="shared" si="3"/>
        <v>0.86512515014876523</v>
      </c>
      <c r="G11" s="158">
        <f t="shared" si="3"/>
        <v>0.87668016492738987</v>
      </c>
      <c r="H11" s="158">
        <f t="shared" si="3"/>
        <v>0.88248476883801674</v>
      </c>
      <c r="I11" s="158">
        <f t="shared" si="3"/>
        <v>0.88690254202336383</v>
      </c>
      <c r="J11" s="158">
        <f t="shared" si="3"/>
        <v>0.88970148817143035</v>
      </c>
      <c r="K11" s="158">
        <f t="shared" si="3"/>
        <v>0.89183612980335991</v>
      </c>
      <c r="W11" s="11"/>
    </row>
    <row r="12" spans="2:23" s="3" customFormat="1" ht="13.5" thickBot="1">
      <c r="B12" s="176" t="s">
        <v>205</v>
      </c>
      <c r="C12" s="177"/>
      <c r="D12" s="178">
        <f>-'Costos de Ocupacion'!C19</f>
        <v>-18083.916083916083</v>
      </c>
      <c r="E12" s="178">
        <f>-'Costos de Ocupacion'!D19</f>
        <v>-40958.041958041955</v>
      </c>
      <c r="F12" s="178">
        <f>-'Costos de Ocupacion'!E19</f>
        <v>-21490.839738773619</v>
      </c>
      <c r="G12" s="178">
        <f>-'Costos de Ocupacion'!F19</f>
        <v>-22458.238981154071</v>
      </c>
      <c r="H12" s="178">
        <f>-'Costos de Ocupacion'!G19</f>
        <v>-23470.470653586544</v>
      </c>
      <c r="I12" s="178">
        <f>-'Costos de Ocupacion'!H19</f>
        <v>-24529.4944358719</v>
      </c>
      <c r="J12" s="178">
        <f>-'Costos de Ocupacion'!I19</f>
        <v>-24524.757591703616</v>
      </c>
      <c r="K12" s="175">
        <f>-'Costos de Ocupacion'!J19</f>
        <v>-24520.451369732447</v>
      </c>
    </row>
    <row r="13" spans="2:23" s="3" customFormat="1">
      <c r="B13" s="191" t="s">
        <v>212</v>
      </c>
      <c r="D13" s="166">
        <f t="shared" ref="D13:K13" si="4">-D12/D$6</f>
        <v>0.2998052309404563</v>
      </c>
      <c r="E13" s="166">
        <f t="shared" si="4"/>
        <v>0.34361717615045173</v>
      </c>
      <c r="F13" s="166">
        <f t="shared" si="4"/>
        <v>9.8102927304834817E-2</v>
      </c>
      <c r="G13" s="166">
        <f t="shared" si="4"/>
        <v>6.5571067308299327E-2</v>
      </c>
      <c r="H13" s="166">
        <f t="shared" si="4"/>
        <v>4.9231559844206352E-2</v>
      </c>
      <c r="I13" s="166">
        <f t="shared" si="4"/>
        <v>3.6802420216472377E-2</v>
      </c>
      <c r="J13" s="166">
        <f t="shared" si="4"/>
        <v>2.89321004626878E-2</v>
      </c>
      <c r="K13" s="166">
        <f t="shared" si="4"/>
        <v>2.2931122807418738E-2</v>
      </c>
      <c r="W13" s="20"/>
    </row>
    <row r="14" spans="2:23" s="3" customFormat="1" ht="13.5" thickBot="1">
      <c r="B14" s="3" t="s">
        <v>122</v>
      </c>
      <c r="D14" s="168">
        <f>+D10+D12</f>
        <v>29783.496503496506</v>
      </c>
      <c r="E14" s="168">
        <f t="shared" ref="E14:K14" si="5">+E10+E12</f>
        <v>59315.831659249816</v>
      </c>
      <c r="F14" s="168">
        <f t="shared" si="5"/>
        <v>168027.11315633121</v>
      </c>
      <c r="G14" s="168">
        <f t="shared" si="5"/>
        <v>277806.7019783305</v>
      </c>
      <c r="H14" s="168">
        <f t="shared" si="5"/>
        <v>397242.03438980662</v>
      </c>
      <c r="I14" s="168">
        <f t="shared" si="5"/>
        <v>566607.46997456427</v>
      </c>
      <c r="J14" s="168">
        <f t="shared" si="5"/>
        <v>729644.93549788115</v>
      </c>
      <c r="K14" s="168">
        <f t="shared" si="5"/>
        <v>929127.76874877024</v>
      </c>
      <c r="W14" s="20"/>
    </row>
    <row r="15" spans="2:23" ht="13.5" thickBot="1">
      <c r="B15" s="172" t="s">
        <v>258</v>
      </c>
      <c r="C15" s="173"/>
      <c r="D15" s="174">
        <f>-'Gs Admin'!C45-'Gs Gerenciales'!C23</f>
        <v>-93336.76923076922</v>
      </c>
      <c r="E15" s="174">
        <f>-'Gs Admin'!D45-'Gs Gerenciales'!D23</f>
        <v>-101821.83089637634</v>
      </c>
      <c r="F15" s="174">
        <f>-'Gs Admin'!E45-'Gs Gerenciales'!E23</f>
        <v>-175685.96428365019</v>
      </c>
      <c r="G15" s="174">
        <f>-'Gs Admin'!F45-'Gs Gerenciales'!F23</f>
        <v>-183671.44404806307</v>
      </c>
      <c r="H15" s="174">
        <f>-'Gs Admin'!G45-'Gs Gerenciales'!G23</f>
        <v>-192019.92251857137</v>
      </c>
      <c r="I15" s="174">
        <f>-'Gs Admin'!H45-'Gs Gerenciales'!H23</f>
        <v>-250197.16861439825</v>
      </c>
      <c r="J15" s="174">
        <f>-'Gs Admin'!I45-'Gs Gerenciales'!I23</f>
        <v>-250197.04545644991</v>
      </c>
      <c r="K15" s="174">
        <f>-'Gs Admin'!J45-'Gs Gerenciales'!J23</f>
        <v>-250196.93349467864</v>
      </c>
    </row>
    <row r="16" spans="2:23" ht="13.5" thickBot="1">
      <c r="B16" s="159" t="s">
        <v>212</v>
      </c>
      <c r="C16" s="159"/>
      <c r="D16" s="160">
        <f t="shared" ref="D16:K16" si="6">-D15/D6</f>
        <v>1.5473889352624743</v>
      </c>
      <c r="E16" s="161">
        <f t="shared" si="6"/>
        <v>0.85423346259871558</v>
      </c>
      <c r="F16" s="161">
        <f t="shared" si="6"/>
        <v>0.80198389602724196</v>
      </c>
      <c r="G16" s="161">
        <f t="shared" si="6"/>
        <v>0.53626344569556239</v>
      </c>
      <c r="H16" s="161">
        <f t="shared" si="6"/>
        <v>0.4027801762598367</v>
      </c>
      <c r="I16" s="161">
        <f t="shared" si="6"/>
        <v>0.3753791730355891</v>
      </c>
      <c r="J16" s="161">
        <f t="shared" si="6"/>
        <v>0.2951599430716671</v>
      </c>
      <c r="K16" s="161">
        <f t="shared" si="6"/>
        <v>0.23398005695311377</v>
      </c>
    </row>
    <row r="17" spans="2:11" ht="13.5" thickBot="1">
      <c r="B17" s="172" t="s">
        <v>259</v>
      </c>
      <c r="C17" s="173"/>
      <c r="D17" s="174">
        <f>-'Gs Mktg'!C16</f>
        <v>-7552.447552447552</v>
      </c>
      <c r="E17" s="174">
        <f>-'Gs Mktg'!D16</f>
        <v>-8200.8900190718359</v>
      </c>
      <c r="F17" s="174">
        <f>-'Gs Mktg'!E16</f>
        <v>-8906.5479974570862</v>
      </c>
      <c r="G17" s="174">
        <f>-'Gs Mktg'!F16</f>
        <v>-9311.3910882505879</v>
      </c>
      <c r="H17" s="174">
        <f>-'Gs Mktg'!G16</f>
        <v>-9734.6361377165194</v>
      </c>
      <c r="I17" s="174">
        <f>-'Gs Mktg'!H16</f>
        <v>-10177.119598521815</v>
      </c>
      <c r="J17" s="174">
        <f>-'Gs Mktg'!I16</f>
        <v>-10224.757026341538</v>
      </c>
      <c r="K17" s="174">
        <f>-'Gs Mktg'!J16</f>
        <v>-10274.55979178943</v>
      </c>
    </row>
    <row r="18" spans="2:11" ht="13.5" thickBot="1">
      <c r="B18" s="10" t="s">
        <v>212</v>
      </c>
      <c r="C18" s="159"/>
      <c r="D18" s="160">
        <f t="shared" ref="D18:J18" si="7">-D17/D6</f>
        <v>0.12520868113522537</v>
      </c>
      <c r="E18" s="160">
        <f t="shared" si="7"/>
        <v>6.8801303371891082E-2</v>
      </c>
      <c r="F18" s="160">
        <f t="shared" si="7"/>
        <v>4.0657249384030626E-2</v>
      </c>
      <c r="G18" s="160">
        <f t="shared" si="7"/>
        <v>2.718636364560597E-2</v>
      </c>
      <c r="H18" s="160">
        <f t="shared" si="7"/>
        <v>2.0419331535745312E-2</v>
      </c>
      <c r="I18" s="160">
        <f t="shared" si="7"/>
        <v>1.5269072627537149E-2</v>
      </c>
      <c r="J18" s="160">
        <f t="shared" si="7"/>
        <v>1.2062247562958968E-2</v>
      </c>
      <c r="K18" s="160">
        <f>-K17/K6</f>
        <v>9.6085993208313812E-3</v>
      </c>
    </row>
    <row r="19" spans="2:11" ht="13.5" thickBot="1">
      <c r="B19" s="172" t="s">
        <v>263</v>
      </c>
      <c r="C19" s="173"/>
      <c r="D19" s="174">
        <f>-'Operaciones (Gs Generales)'!C24</f>
        <v>-7376.2237762237755</v>
      </c>
      <c r="E19" s="174">
        <f>-'Operaciones (Gs Generales)'!D24</f>
        <v>-6942.1487603305777</v>
      </c>
      <c r="F19" s="174">
        <f>-'Operaciones (Gs Generales)'!E24</f>
        <v>-5492.6891290527637</v>
      </c>
      <c r="G19" s="174">
        <f>-'Operaciones (Gs Generales)'!F24</f>
        <v>-5742.3568167369785</v>
      </c>
      <c r="H19" s="174">
        <f>-'Operaciones (Gs Generales)'!G24</f>
        <v>-6003.3730356795668</v>
      </c>
      <c r="I19" s="174">
        <f>-'Operaciones (Gs Generales)'!H24</f>
        <v>-6276.2536282104566</v>
      </c>
      <c r="J19" s="174">
        <f>-'Operaciones (Gs Generales)'!I24</f>
        <v>-6276.2536282104566</v>
      </c>
      <c r="K19" s="174">
        <f>-'Operaciones (Gs Generales)'!J24</f>
        <v>-6276.2536282104556</v>
      </c>
    </row>
    <row r="20" spans="2:11">
      <c r="B20" s="10" t="s">
        <v>212</v>
      </c>
      <c r="C20" s="159"/>
      <c r="D20" s="160">
        <f t="shared" ref="D20:J20" si="8">-D19/D6</f>
        <v>0.12228714524207011</v>
      </c>
      <c r="E20" s="160">
        <f t="shared" si="8"/>
        <v>5.8241103319461286E-2</v>
      </c>
      <c r="F20" s="160">
        <f t="shared" si="8"/>
        <v>2.5073421461671991E-2</v>
      </c>
      <c r="G20" s="160">
        <f t="shared" si="8"/>
        <v>1.6765894496647789E-2</v>
      </c>
      <c r="H20" s="160">
        <f t="shared" si="8"/>
        <v>1.2592649855020663E-2</v>
      </c>
      <c r="I20" s="160">
        <f t="shared" si="8"/>
        <v>9.4164730550978584E-3</v>
      </c>
      <c r="J20" s="160">
        <f t="shared" si="8"/>
        <v>7.4041588309978435E-3</v>
      </c>
      <c r="K20" s="160">
        <f>-K19/K6</f>
        <v>5.869449160983033E-3</v>
      </c>
    </row>
    <row r="21" spans="2:11">
      <c r="B21" s="232" t="s">
        <v>123</v>
      </c>
      <c r="C21" s="232"/>
      <c r="D21" s="233">
        <f>+D14+D15+D17+D19</f>
        <v>-78481.944055944041</v>
      </c>
      <c r="E21" s="233">
        <f>+E14+E15+E17+E19</f>
        <v>-57649.038016528939</v>
      </c>
      <c r="F21" s="233">
        <f t="shared" ref="F21:K21" si="9">+F14+F15+F17+F19</f>
        <v>-22058.088253828828</v>
      </c>
      <c r="G21" s="233">
        <f t="shared" si="9"/>
        <v>79081.510025279858</v>
      </c>
      <c r="H21" s="233">
        <f t="shared" si="9"/>
        <v>189484.10269783915</v>
      </c>
      <c r="I21" s="233">
        <f t="shared" si="9"/>
        <v>299956.9281334338</v>
      </c>
      <c r="J21" s="233">
        <f t="shared" si="9"/>
        <v>462946.87938687927</v>
      </c>
      <c r="K21" s="233">
        <f t="shared" si="9"/>
        <v>662380.02183409175</v>
      </c>
    </row>
    <row r="22" spans="2:11">
      <c r="B22" s="10" t="s">
        <v>212</v>
      </c>
      <c r="C22" s="10"/>
      <c r="D22" s="62">
        <f t="shared" ref="D22:K22" si="10">+D21/D6</f>
        <v>-1.3011173715451676</v>
      </c>
      <c r="E22" s="57">
        <f t="shared" si="10"/>
        <v>-0.48364615845949271</v>
      </c>
      <c r="F22" s="57">
        <f t="shared" si="10"/>
        <v>-0.10069234402901407</v>
      </c>
      <c r="G22" s="57">
        <f t="shared" si="10"/>
        <v>0.23089339378127441</v>
      </c>
      <c r="H22" s="57">
        <f t="shared" si="10"/>
        <v>0.39746105134320764</v>
      </c>
      <c r="I22" s="57">
        <f t="shared" si="10"/>
        <v>0.45003540308866741</v>
      </c>
      <c r="J22" s="57">
        <f t="shared" si="10"/>
        <v>0.54614303824311872</v>
      </c>
      <c r="K22" s="57">
        <f t="shared" si="10"/>
        <v>0.61944690156101301</v>
      </c>
    </row>
    <row r="23" spans="2:11">
      <c r="B23" s="185" t="s">
        <v>224</v>
      </c>
      <c r="C23" s="10"/>
      <c r="D23" s="61">
        <f>-'Costos de Ocupacion'!C25</f>
        <v>0</v>
      </c>
      <c r="E23" s="61">
        <f>-'Costos de Ocupacion'!D25</f>
        <v>-304.08984954439495</v>
      </c>
      <c r="F23" s="61">
        <f>-'Costos de Ocupacion'!E25</f>
        <v>-304.08984954439495</v>
      </c>
      <c r="G23" s="61">
        <f>-'Costos de Ocupacion'!F25</f>
        <v>-304.08984954439495</v>
      </c>
      <c r="H23" s="61">
        <f>-'Costos de Ocupacion'!G25</f>
        <v>-304.08984954439495</v>
      </c>
      <c r="I23" s="61">
        <f>-'Costos de Ocupacion'!H25</f>
        <v>-304.08984954439495</v>
      </c>
      <c r="J23" s="61">
        <f>-'Costos de Ocupacion'!I25</f>
        <v>-304.08984954439495</v>
      </c>
      <c r="K23" s="61">
        <f>-'Costos de Ocupacion'!J25</f>
        <v>-304.08984954439495</v>
      </c>
    </row>
    <row r="24" spans="2:11">
      <c r="B24" s="10" t="s">
        <v>212</v>
      </c>
      <c r="C24" s="10"/>
      <c r="D24" s="78">
        <f t="shared" ref="D24:K24" si="11">-D23/D$6</f>
        <v>0</v>
      </c>
      <c r="E24" s="79">
        <f t="shared" si="11"/>
        <v>2.5511594402755477E-3</v>
      </c>
      <c r="F24" s="79">
        <f t="shared" si="11"/>
        <v>1.3881311650269796E-3</v>
      </c>
      <c r="G24" s="79">
        <f t="shared" si="11"/>
        <v>8.8784770742614564E-4</v>
      </c>
      <c r="H24" s="79">
        <f t="shared" si="11"/>
        <v>6.3785758056679107E-4</v>
      </c>
      <c r="I24" s="79">
        <f t="shared" si="11"/>
        <v>4.5623616319342584E-4</v>
      </c>
      <c r="J24" s="79">
        <f t="shared" si="11"/>
        <v>3.5873782009075922E-4</v>
      </c>
      <c r="K24" s="79">
        <f t="shared" si="11"/>
        <v>2.8437982560955172E-4</v>
      </c>
    </row>
    <row r="25" spans="2:11">
      <c r="B25" s="232" t="s">
        <v>126</v>
      </c>
      <c r="C25" s="232"/>
      <c r="D25" s="233">
        <f t="shared" ref="D25:J25" si="12">+D21+D23</f>
        <v>-78481.944055944041</v>
      </c>
      <c r="E25" s="234">
        <f t="shared" si="12"/>
        <v>-57953.127866073337</v>
      </c>
      <c r="F25" s="234">
        <f t="shared" si="12"/>
        <v>-22362.178103373222</v>
      </c>
      <c r="G25" s="234">
        <f t="shared" si="12"/>
        <v>78777.42017573546</v>
      </c>
      <c r="H25" s="234">
        <f t="shared" si="12"/>
        <v>189180.01284829475</v>
      </c>
      <c r="I25" s="234">
        <f t="shared" si="12"/>
        <v>299652.8382838894</v>
      </c>
      <c r="J25" s="234">
        <f t="shared" si="12"/>
        <v>462642.78953733487</v>
      </c>
      <c r="K25" s="234">
        <f>+K21+K23</f>
        <v>662075.93198454741</v>
      </c>
    </row>
    <row r="26" spans="2:11">
      <c r="B26" s="10" t="s">
        <v>10</v>
      </c>
      <c r="C26" s="10"/>
      <c r="D26" s="66">
        <v>0.35</v>
      </c>
      <c r="E26" s="60">
        <v>0.35</v>
      </c>
      <c r="F26" s="60">
        <v>0.35</v>
      </c>
      <c r="G26" s="60">
        <v>0.35</v>
      </c>
      <c r="H26" s="60">
        <v>0.35</v>
      </c>
      <c r="I26" s="60">
        <v>0.35</v>
      </c>
      <c r="J26" s="60">
        <v>0.35</v>
      </c>
      <c r="K26" s="60">
        <v>0.35</v>
      </c>
    </row>
    <row r="27" spans="2:11">
      <c r="B27" s="10" t="s">
        <v>125</v>
      </c>
      <c r="C27" s="10"/>
      <c r="D27" s="61">
        <f t="shared" ref="D27:J27" si="13">-D25*D26</f>
        <v>27468.680419580414</v>
      </c>
      <c r="E27" s="56">
        <f t="shared" si="13"/>
        <v>20283.594753125668</v>
      </c>
      <c r="F27" s="56">
        <f t="shared" si="13"/>
        <v>7826.7623361806272</v>
      </c>
      <c r="G27" s="56">
        <f t="shared" si="13"/>
        <v>-27572.097061507411</v>
      </c>
      <c r="H27" s="56">
        <f t="shared" si="13"/>
        <v>-66213.004496903159</v>
      </c>
      <c r="I27" s="56">
        <f t="shared" si="13"/>
        <v>-104878.49339936128</v>
      </c>
      <c r="J27" s="56">
        <f t="shared" si="13"/>
        <v>-161924.97633806721</v>
      </c>
      <c r="K27" s="56">
        <f>-K25*K26</f>
        <v>-231726.57619459159</v>
      </c>
    </row>
    <row r="28" spans="2:11">
      <c r="B28" s="232" t="s">
        <v>127</v>
      </c>
      <c r="C28" s="232"/>
      <c r="D28" s="235">
        <f t="shared" ref="D28:J28" si="14">+D25+D27</f>
        <v>-51013.263636363627</v>
      </c>
      <c r="E28" s="236">
        <f t="shared" si="14"/>
        <v>-37669.533112947669</v>
      </c>
      <c r="F28" s="236">
        <f t="shared" si="14"/>
        <v>-14535.415767192595</v>
      </c>
      <c r="G28" s="236">
        <f t="shared" si="14"/>
        <v>51205.323114228049</v>
      </c>
      <c r="H28" s="236">
        <f t="shared" si="14"/>
        <v>122967.00835139159</v>
      </c>
      <c r="I28" s="236">
        <f t="shared" si="14"/>
        <v>194774.34488452814</v>
      </c>
      <c r="J28" s="236">
        <f t="shared" si="14"/>
        <v>300717.81319926766</v>
      </c>
      <c r="K28" s="236">
        <f>+K25+K27</f>
        <v>430349.35578995582</v>
      </c>
    </row>
    <row r="29" spans="2:11">
      <c r="B29" s="185" t="s">
        <v>225</v>
      </c>
      <c r="C29" s="10"/>
      <c r="D29" s="65">
        <f t="shared" ref="D29:J29" si="15">-D23</f>
        <v>0</v>
      </c>
      <c r="E29" s="59">
        <f t="shared" si="15"/>
        <v>304.08984954439495</v>
      </c>
      <c r="F29" s="59">
        <f t="shared" si="15"/>
        <v>304.08984954439495</v>
      </c>
      <c r="G29" s="59">
        <f t="shared" si="15"/>
        <v>304.08984954439495</v>
      </c>
      <c r="H29" s="59">
        <f t="shared" si="15"/>
        <v>304.08984954439495</v>
      </c>
      <c r="I29" s="59">
        <f t="shared" si="15"/>
        <v>304.08984954439495</v>
      </c>
      <c r="J29" s="59">
        <f t="shared" si="15"/>
        <v>304.08984954439495</v>
      </c>
      <c r="K29" s="59">
        <f>-K23</f>
        <v>304.08984954439495</v>
      </c>
    </row>
    <row r="30" spans="2:11">
      <c r="B30" s="10" t="s">
        <v>130</v>
      </c>
      <c r="C30" s="10"/>
      <c r="D30" s="64"/>
      <c r="E30" s="35"/>
      <c r="F30" s="35"/>
      <c r="G30" s="35"/>
      <c r="H30" s="35"/>
      <c r="I30" s="35"/>
      <c r="J30" s="35"/>
      <c r="K30" s="35"/>
    </row>
    <row r="31" spans="2:11">
      <c r="B31" s="10" t="s">
        <v>124</v>
      </c>
      <c r="C31" s="10"/>
      <c r="D31" s="65">
        <v>0</v>
      </c>
      <c r="E31" s="59">
        <f>-'Costos de Ocupacion'!D23</f>
        <v>-18245.390972663696</v>
      </c>
      <c r="F31" s="59">
        <f>+SUM('Costos de Ocupacion'!E11:E15)</f>
        <v>0</v>
      </c>
      <c r="G31" s="59">
        <f>+SUM('Costos de Ocupacion'!F11:F15)</f>
        <v>0</v>
      </c>
      <c r="H31" s="59">
        <f>+SUM('Costos de Ocupacion'!G11:G15)</f>
        <v>0</v>
      </c>
      <c r="I31" s="59">
        <f>+SUM('Costos de Ocupacion'!H11:H15)</f>
        <v>0</v>
      </c>
      <c r="J31" s="59">
        <f>+SUM('Costos de Ocupacion'!I11:I15)</f>
        <v>0</v>
      </c>
      <c r="K31" s="59">
        <f>+SUM('Costos de Ocupacion'!J11:J15)</f>
        <v>0</v>
      </c>
    </row>
    <row r="32" spans="2:11">
      <c r="B32" s="10"/>
      <c r="C32" s="10"/>
      <c r="D32" s="55"/>
      <c r="E32" s="55"/>
      <c r="F32" s="55"/>
      <c r="G32" s="55"/>
      <c r="H32" s="55"/>
      <c r="I32" s="55"/>
      <c r="J32" s="55"/>
      <c r="K32" s="55"/>
    </row>
    <row r="33" spans="2:12">
      <c r="B33" s="232" t="s">
        <v>131</v>
      </c>
      <c r="C33" s="236">
        <f>-D40</f>
        <v>-78245</v>
      </c>
      <c r="D33" s="233">
        <f t="shared" ref="D33:K33" si="16">+D28+D29+D30+D31</f>
        <v>-51013.263636363627</v>
      </c>
      <c r="E33" s="234">
        <f t="shared" si="16"/>
        <v>-55610.834236066963</v>
      </c>
      <c r="F33" s="234">
        <f t="shared" si="16"/>
        <v>-14231.325917648201</v>
      </c>
      <c r="G33" s="234">
        <f t="shared" si="16"/>
        <v>51509.412963772447</v>
      </c>
      <c r="H33" s="234">
        <f t="shared" si="16"/>
        <v>123271.09820093599</v>
      </c>
      <c r="I33" s="234">
        <f t="shared" si="16"/>
        <v>195078.43473407254</v>
      </c>
      <c r="J33" s="234">
        <f t="shared" si="16"/>
        <v>301021.90304881206</v>
      </c>
      <c r="K33" s="234">
        <f t="shared" si="16"/>
        <v>430653.44563950022</v>
      </c>
      <c r="L33" s="234">
        <f>+K33/(C37-C36)</f>
        <v>1538048.0201410723</v>
      </c>
    </row>
    <row r="34" spans="2:12">
      <c r="B34" s="50" t="s">
        <v>182</v>
      </c>
      <c r="C34" s="29">
        <f>IRR(C33:L33)</f>
        <v>0.45904317689010138</v>
      </c>
      <c r="D34" s="69"/>
      <c r="E34" s="69"/>
      <c r="F34" s="69"/>
      <c r="G34" s="69"/>
      <c r="H34" s="69"/>
      <c r="I34" s="69"/>
      <c r="J34" s="69"/>
      <c r="K34" s="69"/>
      <c r="L34" s="69"/>
    </row>
    <row r="35" spans="2:12">
      <c r="B35" s="219" t="s">
        <v>228</v>
      </c>
      <c r="C35" s="52">
        <f>C33+NPV(0.3,D33:L33)</f>
        <v>180585.20738715673</v>
      </c>
      <c r="D35" s="69"/>
      <c r="E35" s="69"/>
      <c r="F35" s="69"/>
      <c r="G35" s="69"/>
      <c r="H35" s="69"/>
      <c r="I35" s="69"/>
      <c r="J35" s="69"/>
      <c r="K35" s="69"/>
      <c r="L35" s="69"/>
    </row>
    <row r="36" spans="2:12">
      <c r="B36" s="228" t="s">
        <v>246</v>
      </c>
      <c r="C36" s="229">
        <v>0.02</v>
      </c>
      <c r="D36" s="69"/>
      <c r="E36" s="69"/>
      <c r="F36" s="69"/>
      <c r="G36" s="69"/>
      <c r="H36" s="69"/>
      <c r="I36" s="69"/>
      <c r="J36" s="69"/>
      <c r="K36" s="69"/>
      <c r="L36" s="69"/>
    </row>
    <row r="37" spans="2:12">
      <c r="B37" s="230" t="s">
        <v>247</v>
      </c>
      <c r="C37" s="231">
        <v>0.3</v>
      </c>
    </row>
    <row r="38" spans="2:12">
      <c r="B38" s="230"/>
      <c r="C38" s="231"/>
      <c r="D38" s="27"/>
      <c r="E38" s="27"/>
    </row>
    <row r="39" spans="2:12">
      <c r="B39" s="230"/>
      <c r="C39" s="231"/>
      <c r="D39" s="27" t="s">
        <v>128</v>
      </c>
      <c r="E39" s="27" t="s">
        <v>129</v>
      </c>
    </row>
    <row r="40" spans="2:12">
      <c r="B40" s="7" t="s">
        <v>213</v>
      </c>
      <c r="C40" s="7"/>
      <c r="D40" s="33">
        <v>78245</v>
      </c>
      <c r="E40" s="31">
        <v>1</v>
      </c>
    </row>
    <row r="41" spans="2:12">
      <c r="B41" s="25" t="s">
        <v>216</v>
      </c>
      <c r="D41" s="9">
        <v>0</v>
      </c>
      <c r="E41" s="32">
        <f>+D41/D40</f>
        <v>0</v>
      </c>
    </row>
    <row r="42" spans="2:12">
      <c r="B42" s="25" t="s">
        <v>217</v>
      </c>
      <c r="D42" s="33">
        <f>D40-D41</f>
        <v>78245</v>
      </c>
      <c r="E42" s="32">
        <f>+D42/D40</f>
        <v>1</v>
      </c>
    </row>
    <row r="43" spans="2:12">
      <c r="D43" s="19"/>
    </row>
    <row r="44" spans="2:12">
      <c r="B44" s="5" t="s">
        <v>226</v>
      </c>
      <c r="D44" s="19"/>
    </row>
    <row r="45" spans="2:12">
      <c r="D45" s="19"/>
    </row>
    <row r="46" spans="2:12">
      <c r="D46" s="19"/>
    </row>
    <row r="47" spans="2:12">
      <c r="D47" s="19"/>
    </row>
    <row r="48" spans="2:12">
      <c r="D48" s="19"/>
    </row>
    <row r="49" spans="4:4">
      <c r="D49" s="19"/>
    </row>
    <row r="50" spans="4:4">
      <c r="D50" s="19"/>
    </row>
    <row r="51" spans="4:4">
      <c r="D51" s="19"/>
    </row>
    <row r="52" spans="4:4">
      <c r="D52" s="19"/>
    </row>
    <row r="53" spans="4:4">
      <c r="D53" s="19"/>
    </row>
    <row r="54" spans="4:4">
      <c r="D54" s="19"/>
    </row>
    <row r="55" spans="4:4">
      <c r="D55" s="19"/>
    </row>
    <row r="56" spans="4:4">
      <c r="D56" s="19"/>
    </row>
    <row r="57" spans="4:4">
      <c r="D57" s="19"/>
    </row>
    <row r="58" spans="4:4">
      <c r="D58" s="19"/>
    </row>
    <row r="59" spans="4:4">
      <c r="D59" s="19"/>
    </row>
    <row r="60" spans="4:4">
      <c r="D60" s="19"/>
    </row>
    <row r="61" spans="4:4">
      <c r="D61" s="19"/>
    </row>
    <row r="62" spans="4:4">
      <c r="D62" s="19"/>
    </row>
    <row r="63" spans="4:4">
      <c r="D63" s="19"/>
    </row>
    <row r="64" spans="4:4">
      <c r="D64" s="19"/>
    </row>
    <row r="65" spans="4:4">
      <c r="D65" s="19"/>
    </row>
    <row r="66" spans="4:4">
      <c r="D66" s="19"/>
    </row>
    <row r="67" spans="4:4">
      <c r="D67" s="19"/>
    </row>
    <row r="68" spans="4:4">
      <c r="D68" s="19"/>
    </row>
    <row r="69" spans="4:4">
      <c r="D69" s="19"/>
    </row>
    <row r="70" spans="4:4">
      <c r="D70" s="19"/>
    </row>
    <row r="71" spans="4:4">
      <c r="D71" s="19"/>
    </row>
    <row r="72" spans="4:4">
      <c r="D72" s="19"/>
    </row>
    <row r="73" spans="4:4">
      <c r="D73" s="19"/>
    </row>
    <row r="74" spans="4:4">
      <c r="D74" s="19"/>
    </row>
    <row r="75" spans="4:4">
      <c r="D75" s="19"/>
    </row>
    <row r="76" spans="4:4">
      <c r="D76" s="19"/>
    </row>
    <row r="77" spans="4:4">
      <c r="D77" s="19"/>
    </row>
    <row r="78" spans="4:4">
      <c r="D78" s="19"/>
    </row>
    <row r="79" spans="4:4">
      <c r="D79" s="19"/>
    </row>
    <row r="80" spans="4:4">
      <c r="D80" s="19"/>
    </row>
    <row r="81" spans="4:4">
      <c r="D81" s="19"/>
    </row>
    <row r="82" spans="4:4">
      <c r="D82" s="19"/>
    </row>
    <row r="83" spans="4:4">
      <c r="D83" s="19"/>
    </row>
    <row r="84" spans="4:4">
      <c r="D84" s="19"/>
    </row>
    <row r="85" spans="4:4">
      <c r="D85" s="19"/>
    </row>
    <row r="86" spans="4:4">
      <c r="D86" s="19"/>
    </row>
    <row r="87" spans="4:4">
      <c r="D87" s="19"/>
    </row>
    <row r="88" spans="4:4">
      <c r="D88" s="19"/>
    </row>
    <row r="89" spans="4:4">
      <c r="D89" s="19"/>
    </row>
    <row r="90" spans="4:4">
      <c r="D90" s="19"/>
    </row>
    <row r="91" spans="4:4">
      <c r="D91" s="19"/>
    </row>
    <row r="92" spans="4:4">
      <c r="D92" s="19"/>
    </row>
    <row r="93" spans="4:4">
      <c r="D93" s="19"/>
    </row>
    <row r="94" spans="4:4">
      <c r="D94" s="19"/>
    </row>
    <row r="95" spans="4:4">
      <c r="D95" s="19"/>
    </row>
    <row r="96" spans="4:4">
      <c r="D96" s="19"/>
    </row>
    <row r="97" spans="4:4">
      <c r="D97" s="19"/>
    </row>
    <row r="98" spans="4:4">
      <c r="D98" s="19"/>
    </row>
    <row r="99" spans="4:4">
      <c r="D99" s="19"/>
    </row>
    <row r="100" spans="4:4">
      <c r="D100" s="19"/>
    </row>
    <row r="101" spans="4:4">
      <c r="D101" s="19"/>
    </row>
  </sheetData>
  <phoneticPr fontId="2" type="noConversion"/>
  <pageMargins left="0.75" right="0.75" top="1" bottom="1" header="0.5" footer="0.5"/>
  <pageSetup scale="5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B2:J22"/>
  <sheetViews>
    <sheetView showGridLines="0" workbookViewId="0">
      <selection activeCell="C31" sqref="C31"/>
    </sheetView>
  </sheetViews>
  <sheetFormatPr defaultColWidth="9.140625" defaultRowHeight="12.75"/>
  <cols>
    <col min="2" max="2" width="30.85546875" bestFit="1" customWidth="1"/>
    <col min="3" max="10" width="13.5703125" customWidth="1"/>
  </cols>
  <sheetData>
    <row r="2" spans="2:10">
      <c r="B2" s="18" t="s">
        <v>220</v>
      </c>
    </row>
    <row r="3" spans="2:10">
      <c r="B3" s="18"/>
    </row>
    <row r="4" spans="2:10">
      <c r="B4" s="50" t="s">
        <v>198</v>
      </c>
      <c r="C4" s="82">
        <v>14.3</v>
      </c>
      <c r="D4" s="82">
        <f>C4*(1.1)</f>
        <v>15.730000000000002</v>
      </c>
      <c r="E4" s="82">
        <f>D4*(1.1)</f>
        <v>17.303000000000004</v>
      </c>
      <c r="F4" s="82">
        <f t="shared" ref="F4:J4" si="0">E4*(1.1)</f>
        <v>19.033300000000008</v>
      </c>
      <c r="G4" s="82">
        <f t="shared" si="0"/>
        <v>20.936630000000012</v>
      </c>
      <c r="H4" s="82">
        <f t="shared" si="0"/>
        <v>23.030293000000015</v>
      </c>
      <c r="I4" s="82">
        <f t="shared" si="0"/>
        <v>25.333322300000017</v>
      </c>
      <c r="J4" s="82">
        <f t="shared" si="0"/>
        <v>27.866654530000019</v>
      </c>
    </row>
    <row r="5" spans="2:10" ht="13.5" thickBot="1">
      <c r="B5" s="10"/>
      <c r="C5" s="135" t="s">
        <v>249</v>
      </c>
      <c r="D5" s="135" t="s">
        <v>250</v>
      </c>
      <c r="E5" s="135" t="s">
        <v>251</v>
      </c>
      <c r="F5" s="135" t="s">
        <v>252</v>
      </c>
      <c r="G5" s="135" t="s">
        <v>253</v>
      </c>
      <c r="H5" s="136" t="s">
        <v>254</v>
      </c>
      <c r="I5" s="136" t="s">
        <v>255</v>
      </c>
      <c r="J5" s="188" t="s">
        <v>256</v>
      </c>
    </row>
    <row r="6" spans="2:10" ht="13.5" thickBot="1">
      <c r="B6" s="8" t="s">
        <v>5</v>
      </c>
      <c r="C6" s="139">
        <f>+'Demanda Estimada'!C14</f>
        <v>0</v>
      </c>
      <c r="D6" s="140">
        <f>+'Demanda Estimada'!D14</f>
        <v>0.2</v>
      </c>
      <c r="E6" s="140">
        <f>+'Demanda Estimada'!E14</f>
        <v>0.2</v>
      </c>
      <c r="F6" s="140">
        <f>+'Demanda Estimada'!F14</f>
        <v>0.15</v>
      </c>
      <c r="G6" s="140">
        <f>+'Demanda Estimada'!G14</f>
        <v>0.15</v>
      </c>
      <c r="H6" s="140">
        <f>+'Demanda Estimada'!H14</f>
        <v>0.15</v>
      </c>
      <c r="I6" s="140">
        <f>+'Demanda Estimada'!I14</f>
        <v>0.1</v>
      </c>
      <c r="J6" s="141">
        <f>+'Demanda Estimada'!J14</f>
        <v>0.1</v>
      </c>
    </row>
    <row r="7" spans="2:10">
      <c r="B7" s="10"/>
      <c r="C7" s="137"/>
      <c r="D7" s="137"/>
      <c r="E7" s="137"/>
      <c r="F7" s="137"/>
      <c r="G7" s="137"/>
      <c r="H7" s="137"/>
      <c r="I7" s="137"/>
      <c r="J7" s="138"/>
    </row>
    <row r="8" spans="2:10">
      <c r="B8" s="85" t="s">
        <v>196</v>
      </c>
      <c r="C8" s="162">
        <f>4000*12</f>
        <v>48000</v>
      </c>
      <c r="D8" s="162">
        <f t="shared" ref="D8:J8" si="1">+C8*(1+D6)</f>
        <v>57600</v>
      </c>
      <c r="E8" s="162">
        <f t="shared" si="1"/>
        <v>69120</v>
      </c>
      <c r="F8" s="162">
        <f t="shared" si="1"/>
        <v>79488</v>
      </c>
      <c r="G8" s="162">
        <f t="shared" si="1"/>
        <v>91411.199999999997</v>
      </c>
      <c r="H8" s="162">
        <f t="shared" si="1"/>
        <v>105122.87999999999</v>
      </c>
      <c r="I8" s="162">
        <f t="shared" si="1"/>
        <v>115635.16800000001</v>
      </c>
      <c r="J8" s="162">
        <f t="shared" si="1"/>
        <v>127198.68480000002</v>
      </c>
    </row>
    <row r="9" spans="2:10">
      <c r="B9" s="85" t="s">
        <v>194</v>
      </c>
      <c r="C9" s="162">
        <f>3000*12</f>
        <v>36000</v>
      </c>
      <c r="D9" s="162">
        <f t="shared" ref="D9:J9" si="2">+C9*(1+D6)</f>
        <v>43200</v>
      </c>
      <c r="E9" s="162">
        <f t="shared" si="2"/>
        <v>51840</v>
      </c>
      <c r="F9" s="162">
        <f t="shared" si="2"/>
        <v>59615.999999999993</v>
      </c>
      <c r="G9" s="162">
        <f t="shared" si="2"/>
        <v>68558.39999999998</v>
      </c>
      <c r="H9" s="162">
        <f t="shared" si="2"/>
        <v>78842.159999999974</v>
      </c>
      <c r="I9" s="162">
        <f t="shared" si="2"/>
        <v>86726.375999999975</v>
      </c>
      <c r="J9" s="162">
        <f t="shared" si="2"/>
        <v>95399.013599999977</v>
      </c>
    </row>
    <row r="10" spans="2:10" ht="13.5" thickBot="1">
      <c r="B10" s="8" t="s">
        <v>197</v>
      </c>
      <c r="C10" s="163">
        <f>650*12</f>
        <v>7800</v>
      </c>
      <c r="D10" s="163">
        <f t="shared" ref="D10:J10" si="3">+C10*(1+D6)</f>
        <v>9360</v>
      </c>
      <c r="E10" s="163">
        <f t="shared" si="3"/>
        <v>11232</v>
      </c>
      <c r="F10" s="163">
        <f t="shared" si="3"/>
        <v>12916.8</v>
      </c>
      <c r="G10" s="163">
        <f t="shared" si="3"/>
        <v>14854.319999999998</v>
      </c>
      <c r="H10" s="163">
        <f t="shared" si="3"/>
        <v>17082.467999999997</v>
      </c>
      <c r="I10" s="163">
        <f t="shared" si="3"/>
        <v>18790.714799999998</v>
      </c>
      <c r="J10" s="163">
        <f t="shared" si="3"/>
        <v>20669.78628</v>
      </c>
    </row>
    <row r="11" spans="2:10" ht="13.5" thickBot="1">
      <c r="B11" s="8" t="s">
        <v>121</v>
      </c>
      <c r="C11" s="129">
        <f>SUM(C8:C10)</f>
        <v>91800</v>
      </c>
      <c r="D11" s="130">
        <f t="shared" ref="D11:J11" si="4">SUM(D8:D10)</f>
        <v>110160</v>
      </c>
      <c r="E11" s="130">
        <f t="shared" si="4"/>
        <v>132192</v>
      </c>
      <c r="F11" s="130">
        <f t="shared" si="4"/>
        <v>152020.79999999999</v>
      </c>
      <c r="G11" s="130">
        <f t="shared" si="4"/>
        <v>174823.91999999998</v>
      </c>
      <c r="H11" s="130">
        <f t="shared" si="4"/>
        <v>201047.50799999997</v>
      </c>
      <c r="I11" s="130">
        <f t="shared" si="4"/>
        <v>221152.25879999998</v>
      </c>
      <c r="J11" s="131">
        <f t="shared" si="4"/>
        <v>243267.48467999999</v>
      </c>
    </row>
    <row r="12" spans="2:10" ht="13.5" thickBot="1">
      <c r="B12" s="50" t="s">
        <v>198</v>
      </c>
      <c r="C12" s="111">
        <v>14.3</v>
      </c>
      <c r="D12" s="111">
        <f>C12*(1.1)</f>
        <v>15.730000000000002</v>
      </c>
      <c r="E12" s="111">
        <f>D12*(1.1)</f>
        <v>17.303000000000004</v>
      </c>
      <c r="F12" s="111">
        <f t="shared" ref="F12:J12" si="5">E12*(1.1)</f>
        <v>19.033300000000008</v>
      </c>
      <c r="G12" s="111">
        <f t="shared" si="5"/>
        <v>20.936630000000012</v>
      </c>
      <c r="H12" s="111">
        <f t="shared" si="5"/>
        <v>23.030293000000015</v>
      </c>
      <c r="I12" s="111">
        <f t="shared" si="5"/>
        <v>25.333322300000017</v>
      </c>
      <c r="J12" s="111">
        <f t="shared" si="5"/>
        <v>27.866654530000019</v>
      </c>
    </row>
    <row r="13" spans="2:10" ht="13.5" thickBot="1">
      <c r="B13" s="212" t="s">
        <v>269</v>
      </c>
      <c r="C13" s="132">
        <f t="shared" ref="C13:J13" si="6">+C11/C4</f>
        <v>6419.5804195804194</v>
      </c>
      <c r="D13" s="133">
        <f t="shared" si="6"/>
        <v>7003.1786395422751</v>
      </c>
      <c r="E13" s="133">
        <f t="shared" si="6"/>
        <v>7639.8312431370259</v>
      </c>
      <c r="F13" s="133">
        <f t="shared" si="6"/>
        <v>7987.0962996432527</v>
      </c>
      <c r="G13" s="133">
        <f t="shared" si="6"/>
        <v>8350.1461314452172</v>
      </c>
      <c r="H13" s="133">
        <f t="shared" si="6"/>
        <v>8729.6982283290909</v>
      </c>
      <c r="I13" s="133">
        <f t="shared" si="6"/>
        <v>8729.6982283290909</v>
      </c>
      <c r="J13" s="134">
        <f t="shared" si="6"/>
        <v>8729.6982283290909</v>
      </c>
    </row>
    <row r="16" spans="2:10">
      <c r="B16" s="18" t="s">
        <v>222</v>
      </c>
      <c r="C16" s="30"/>
      <c r="D16" s="1"/>
      <c r="E16" s="1"/>
      <c r="F16" s="1"/>
      <c r="G16" s="1"/>
      <c r="H16" s="1"/>
      <c r="I16" s="1"/>
      <c r="J16" s="1"/>
    </row>
    <row r="17" spans="2:10">
      <c r="C17" s="1"/>
      <c r="D17" s="1"/>
      <c r="E17" s="1"/>
      <c r="F17" s="1"/>
      <c r="G17" s="1"/>
      <c r="H17" s="1"/>
      <c r="I17" s="1"/>
      <c r="J17" s="1"/>
    </row>
    <row r="18" spans="2:10" ht="13.5" thickBot="1">
      <c r="C18" s="67" t="s">
        <v>249</v>
      </c>
      <c r="D18" s="67" t="s">
        <v>250</v>
      </c>
      <c r="E18" s="67" t="s">
        <v>251</v>
      </c>
      <c r="F18" s="67" t="s">
        <v>252</v>
      </c>
      <c r="G18" s="67" t="s">
        <v>253</v>
      </c>
      <c r="H18" s="68" t="s">
        <v>254</v>
      </c>
      <c r="I18" s="68" t="s">
        <v>255</v>
      </c>
      <c r="J18" s="187" t="s">
        <v>256</v>
      </c>
    </row>
    <row r="19" spans="2:10" ht="13.5" thickBot="1">
      <c r="B19" t="s">
        <v>5</v>
      </c>
      <c r="C19" s="139">
        <f>+'Demanda Estimada'!C14</f>
        <v>0</v>
      </c>
      <c r="D19" s="140">
        <f>+'Demanda Estimada'!D14</f>
        <v>0.2</v>
      </c>
      <c r="E19" s="140">
        <f>+'Demanda Estimada'!E14</f>
        <v>0.2</v>
      </c>
      <c r="F19" s="140">
        <f>+'Demanda Estimada'!F14</f>
        <v>0.15</v>
      </c>
      <c r="G19" s="140">
        <f>+'Demanda Estimada'!G14</f>
        <v>0.15</v>
      </c>
      <c r="H19" s="140">
        <f>+'Demanda Estimada'!H14</f>
        <v>0.15</v>
      </c>
      <c r="I19" s="140">
        <f>+'Demanda Estimada'!I14</f>
        <v>0.1</v>
      </c>
      <c r="J19" s="140">
        <f>+'Demanda Estimada'!J14</f>
        <v>0.1</v>
      </c>
    </row>
    <row r="20" spans="2:10">
      <c r="B20" s="185" t="s">
        <v>271</v>
      </c>
      <c r="C20" s="102">
        <f>+'Modelo de Negocio'!C13*0.1</f>
        <v>86256</v>
      </c>
      <c r="D20" s="102">
        <f>+'Modelo de Negocio'!D13*0.1</f>
        <v>187496.448</v>
      </c>
      <c r="E20" s="102">
        <f>+'Modelo de Negocio'!E13*0.1</f>
        <v>379046.79321600002</v>
      </c>
      <c r="F20" s="102">
        <f>+'Modelo de Negocio'!F13*0.1</f>
        <v>651894.83341824007</v>
      </c>
      <c r="G20" s="102">
        <f>+'Modelo de Negocio'!G13*0.1</f>
        <v>998125.10827407357</v>
      </c>
      <c r="H20" s="102">
        <f>+'Modelo de Negocio'!H13*0.1</f>
        <v>1535011.6668336587</v>
      </c>
      <c r="I20" s="102">
        <f>+'Modelo de Negocio'!I13*0.1</f>
        <v>2147419.5736367269</v>
      </c>
      <c r="J20" s="102">
        <f>+'Modelo de Negocio'!J13*0.1</f>
        <v>2979805.8864301923</v>
      </c>
    </row>
    <row r="21" spans="2:10" ht="13.5" thickBot="1">
      <c r="B21" s="50" t="s">
        <v>198</v>
      </c>
      <c r="C21" s="116">
        <v>14.3</v>
      </c>
      <c r="D21" s="116">
        <f>C21*(1.1)</f>
        <v>15.730000000000002</v>
      </c>
      <c r="E21" s="116">
        <f>D21*(1.1)</f>
        <v>17.303000000000004</v>
      </c>
      <c r="F21" s="116">
        <f t="shared" ref="F21:J21" si="7">E21*(1.1)</f>
        <v>19.033300000000008</v>
      </c>
      <c r="G21" s="116">
        <f t="shared" si="7"/>
        <v>20.936630000000012</v>
      </c>
      <c r="H21" s="116">
        <f t="shared" si="7"/>
        <v>23.030293000000015</v>
      </c>
      <c r="I21" s="116">
        <f t="shared" si="7"/>
        <v>25.333322300000017</v>
      </c>
      <c r="J21" s="116">
        <f t="shared" si="7"/>
        <v>27.866654530000019</v>
      </c>
    </row>
    <row r="22" spans="2:10" ht="13.5" thickBot="1">
      <c r="B22" s="212" t="s">
        <v>270</v>
      </c>
      <c r="C22" s="117">
        <f>C20/C21</f>
        <v>6031.8881118881118</v>
      </c>
      <c r="D22" s="117">
        <f t="shared" ref="D22:J22" si="8">D20/D21</f>
        <v>11919.672472981563</v>
      </c>
      <c r="E22" s="117">
        <f t="shared" si="8"/>
        <v>21906.420459804653</v>
      </c>
      <c r="F22" s="117">
        <f t="shared" si="8"/>
        <v>34250.226362125315</v>
      </c>
      <c r="G22" s="117">
        <f t="shared" si="8"/>
        <v>47673.627908315379</v>
      </c>
      <c r="H22" s="117">
        <f t="shared" si="8"/>
        <v>66651.851404307265</v>
      </c>
      <c r="I22" s="117">
        <f t="shared" si="8"/>
        <v>84766.599035323743</v>
      </c>
      <c r="J22" s="117">
        <f t="shared" si="8"/>
        <v>106930.87981631466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B1:M25"/>
  <sheetViews>
    <sheetView showGridLines="0" workbookViewId="0">
      <selection activeCell="B6" sqref="B6"/>
    </sheetView>
  </sheetViews>
  <sheetFormatPr defaultColWidth="9.140625" defaultRowHeight="12.75"/>
  <cols>
    <col min="2" max="2" width="30.85546875" bestFit="1" customWidth="1"/>
    <col min="3" max="10" width="13.5703125" customWidth="1"/>
  </cols>
  <sheetData>
    <row r="1" spans="2:13" ht="13.5" thickBot="1"/>
    <row r="2" spans="2:13" ht="13.5" thickBot="1">
      <c r="B2" s="18" t="s">
        <v>205</v>
      </c>
      <c r="L2" s="83" t="s">
        <v>200</v>
      </c>
      <c r="M2" s="84">
        <v>60</v>
      </c>
    </row>
    <row r="3" spans="2:13">
      <c r="B3" s="18"/>
    </row>
    <row r="4" spans="2:13">
      <c r="B4" s="50" t="s">
        <v>198</v>
      </c>
      <c r="C4" s="82">
        <v>14.3</v>
      </c>
      <c r="D4" s="82">
        <f>C4*(1.1)</f>
        <v>15.730000000000002</v>
      </c>
      <c r="E4" s="82">
        <f>D4*(1.1)</f>
        <v>17.303000000000004</v>
      </c>
      <c r="F4" s="82">
        <f t="shared" ref="F4:J4" si="0">E4*(1.1)</f>
        <v>19.033300000000008</v>
      </c>
      <c r="G4" s="82">
        <f t="shared" si="0"/>
        <v>20.936630000000012</v>
      </c>
      <c r="H4" s="82">
        <f t="shared" si="0"/>
        <v>23.030293000000015</v>
      </c>
      <c r="I4" s="82">
        <f t="shared" si="0"/>
        <v>25.333322300000017</v>
      </c>
      <c r="J4" s="82">
        <f t="shared" si="0"/>
        <v>27.866654530000019</v>
      </c>
    </row>
    <row r="5" spans="2:13" ht="13.5" thickBot="1">
      <c r="B5" s="10"/>
      <c r="C5" s="135" t="s">
        <v>249</v>
      </c>
      <c r="D5" s="135" t="s">
        <v>250</v>
      </c>
      <c r="E5" s="135" t="s">
        <v>251</v>
      </c>
      <c r="F5" s="135" t="s">
        <v>252</v>
      </c>
      <c r="G5" s="135" t="s">
        <v>253</v>
      </c>
      <c r="H5" s="136" t="s">
        <v>254</v>
      </c>
      <c r="I5" s="136" t="s">
        <v>255</v>
      </c>
      <c r="J5" s="188" t="s">
        <v>256</v>
      </c>
    </row>
    <row r="6" spans="2:13" ht="13.5" thickBot="1">
      <c r="B6" s="8" t="s">
        <v>5</v>
      </c>
      <c r="C6" s="139">
        <f>+'Demanda Estimada'!C14</f>
        <v>0</v>
      </c>
      <c r="D6" s="140">
        <f>+'Demanda Estimada'!D14</f>
        <v>0.2</v>
      </c>
      <c r="E6" s="140">
        <f>+'Demanda Estimada'!E14</f>
        <v>0.2</v>
      </c>
      <c r="F6" s="140">
        <f>+'Demanda Estimada'!F14</f>
        <v>0.15</v>
      </c>
      <c r="G6" s="140">
        <f>+'Demanda Estimada'!G14</f>
        <v>0.15</v>
      </c>
      <c r="H6" s="140">
        <f>+'Demanda Estimada'!H14</f>
        <v>0.15</v>
      </c>
      <c r="I6" s="140">
        <f>+'Demanda Estimada'!I14</f>
        <v>0.1</v>
      </c>
      <c r="J6" s="141">
        <f>+'Demanda Estimada'!J14</f>
        <v>0.1</v>
      </c>
    </row>
    <row r="7" spans="2:13">
      <c r="B7" s="10"/>
      <c r="C7" s="137"/>
      <c r="D7" s="137"/>
      <c r="E7" s="137"/>
      <c r="F7" s="137"/>
      <c r="G7" s="137"/>
      <c r="H7" s="137"/>
      <c r="I7" s="137"/>
      <c r="J7" s="138"/>
    </row>
    <row r="8" spans="2:13">
      <c r="B8" s="85" t="s">
        <v>206</v>
      </c>
      <c r="C8" s="162">
        <f>+M2*25*C18*12</f>
        <v>257400</v>
      </c>
      <c r="D8" s="162">
        <f t="shared" ref="D8:J9" si="1">+C8*(1+D6)</f>
        <v>308880</v>
      </c>
      <c r="E8" s="162">
        <f t="shared" si="1"/>
        <v>370656</v>
      </c>
      <c r="F8" s="162">
        <f t="shared" si="1"/>
        <v>426254.39999999997</v>
      </c>
      <c r="G8" s="162">
        <f t="shared" si="1"/>
        <v>490192.55999999994</v>
      </c>
      <c r="H8" s="162">
        <f t="shared" si="1"/>
        <v>563721.4439999999</v>
      </c>
      <c r="I8" s="162">
        <f t="shared" si="1"/>
        <v>620093.58839999989</v>
      </c>
      <c r="J8" s="162">
        <f t="shared" si="1"/>
        <v>682102.94723999989</v>
      </c>
    </row>
    <row r="9" spans="2:13">
      <c r="B9" s="8" t="s">
        <v>118</v>
      </c>
      <c r="C9" s="162">
        <f>100*12</f>
        <v>1200</v>
      </c>
      <c r="D9" s="162">
        <f t="shared" si="1"/>
        <v>1200</v>
      </c>
      <c r="E9" s="162">
        <f t="shared" si="1"/>
        <v>1200</v>
      </c>
      <c r="F9" s="162">
        <f t="shared" si="1"/>
        <v>1200</v>
      </c>
      <c r="G9" s="162">
        <f t="shared" si="1"/>
        <v>1200</v>
      </c>
      <c r="H9" s="162">
        <f t="shared" si="1"/>
        <v>1200</v>
      </c>
      <c r="I9" s="162">
        <f t="shared" si="1"/>
        <v>1200</v>
      </c>
      <c r="J9" s="162">
        <f t="shared" si="1"/>
        <v>1200</v>
      </c>
    </row>
    <row r="10" spans="2:13">
      <c r="B10" s="10" t="s">
        <v>99</v>
      </c>
      <c r="C10" s="73"/>
      <c r="D10" s="73">
        <f>$M$2*25*2*D4</f>
        <v>47190.000000000007</v>
      </c>
      <c r="E10" s="73"/>
      <c r="F10" s="73"/>
      <c r="G10" s="73"/>
      <c r="H10" s="73"/>
      <c r="I10" s="73"/>
      <c r="J10" s="73"/>
    </row>
    <row r="11" spans="2:13">
      <c r="B11" s="10" t="s">
        <v>116</v>
      </c>
      <c r="C11" s="73"/>
      <c r="D11" s="73">
        <v>150000</v>
      </c>
      <c r="E11" s="73"/>
      <c r="F11" s="73"/>
      <c r="G11" s="73"/>
      <c r="H11" s="73"/>
      <c r="I11" s="73"/>
      <c r="J11" s="73"/>
    </row>
    <row r="12" spans="2:13">
      <c r="B12" s="185" t="s">
        <v>264</v>
      </c>
      <c r="C12" s="73"/>
      <c r="D12" s="73">
        <v>80000</v>
      </c>
      <c r="E12" s="73"/>
      <c r="F12" s="73"/>
      <c r="G12" s="73"/>
      <c r="H12" s="73"/>
      <c r="I12" s="73"/>
      <c r="J12" s="73"/>
    </row>
    <row r="13" spans="2:13">
      <c r="B13" s="185" t="s">
        <v>265</v>
      </c>
      <c r="C13" s="73"/>
      <c r="D13" s="73">
        <v>4000</v>
      </c>
      <c r="E13" s="73"/>
      <c r="F13" s="73"/>
      <c r="G13" s="73"/>
      <c r="H13" s="73"/>
      <c r="I13" s="73"/>
      <c r="J13" s="73"/>
    </row>
    <row r="14" spans="2:13">
      <c r="B14" s="185" t="s">
        <v>266</v>
      </c>
      <c r="C14" s="73"/>
      <c r="D14" s="73">
        <v>50000</v>
      </c>
      <c r="E14" s="73"/>
      <c r="F14" s="73"/>
      <c r="G14" s="73"/>
      <c r="H14" s="73"/>
      <c r="I14" s="73"/>
      <c r="J14" s="73"/>
    </row>
    <row r="15" spans="2:13">
      <c r="B15" s="185" t="s">
        <v>267</v>
      </c>
      <c r="C15" s="73"/>
      <c r="D15" s="73">
        <v>3000</v>
      </c>
      <c r="E15" s="73"/>
      <c r="F15" s="73"/>
      <c r="G15" s="73"/>
      <c r="H15" s="73"/>
      <c r="I15" s="73"/>
      <c r="J15" s="73"/>
    </row>
    <row r="16" spans="2:13" ht="13.5" thickBot="1">
      <c r="B16" s="10"/>
      <c r="C16" s="96"/>
      <c r="D16" s="96"/>
      <c r="E16" s="96"/>
      <c r="F16" s="96"/>
      <c r="G16" s="96"/>
      <c r="H16" s="96"/>
      <c r="I16" s="96"/>
      <c r="J16" s="96"/>
    </row>
    <row r="17" spans="2:10" ht="13.5" thickBot="1">
      <c r="B17" s="212" t="s">
        <v>268</v>
      </c>
      <c r="C17" s="129">
        <f t="shared" ref="C17:J17" si="2">+SUM(C8:C16)</f>
        <v>258600</v>
      </c>
      <c r="D17" s="129">
        <f t="shared" si="2"/>
        <v>644270</v>
      </c>
      <c r="E17" s="129">
        <f t="shared" si="2"/>
        <v>371856</v>
      </c>
      <c r="F17" s="129">
        <f t="shared" si="2"/>
        <v>427454.39999999997</v>
      </c>
      <c r="G17" s="129">
        <f t="shared" si="2"/>
        <v>491392.55999999994</v>
      </c>
      <c r="H17" s="129">
        <f t="shared" si="2"/>
        <v>564921.4439999999</v>
      </c>
      <c r="I17" s="129">
        <f t="shared" si="2"/>
        <v>621293.58839999989</v>
      </c>
      <c r="J17" s="129">
        <f t="shared" si="2"/>
        <v>683302.94723999989</v>
      </c>
    </row>
    <row r="18" spans="2:10" ht="13.5" thickBot="1">
      <c r="B18" s="50" t="s">
        <v>198</v>
      </c>
      <c r="C18" s="82">
        <v>14.3</v>
      </c>
      <c r="D18" s="82">
        <f>C18*(1.1)</f>
        <v>15.730000000000002</v>
      </c>
      <c r="E18" s="82">
        <f>D18*(1.1)</f>
        <v>17.303000000000004</v>
      </c>
      <c r="F18" s="82">
        <f t="shared" ref="F18:J18" si="3">E18*(1.1)</f>
        <v>19.033300000000008</v>
      </c>
      <c r="G18" s="82">
        <f t="shared" si="3"/>
        <v>20.936630000000012</v>
      </c>
      <c r="H18" s="82">
        <f t="shared" si="3"/>
        <v>23.030293000000015</v>
      </c>
      <c r="I18" s="82">
        <f t="shared" si="3"/>
        <v>25.333322300000017</v>
      </c>
      <c r="J18" s="82">
        <f t="shared" si="3"/>
        <v>27.866654530000019</v>
      </c>
    </row>
    <row r="19" spans="2:10" ht="13.5" thickBot="1">
      <c r="B19" s="212" t="s">
        <v>272</v>
      </c>
      <c r="C19" s="179">
        <f t="shared" ref="C19:J19" si="4">+C17/C4</f>
        <v>18083.916083916083</v>
      </c>
      <c r="D19" s="180">
        <f t="shared" si="4"/>
        <v>40958.041958041955</v>
      </c>
      <c r="E19" s="180">
        <f t="shared" si="4"/>
        <v>21490.839738773619</v>
      </c>
      <c r="F19" s="180">
        <f t="shared" si="4"/>
        <v>22458.238981154071</v>
      </c>
      <c r="G19" s="180">
        <f t="shared" si="4"/>
        <v>23470.470653586544</v>
      </c>
      <c r="H19" s="180">
        <f t="shared" si="4"/>
        <v>24529.4944358719</v>
      </c>
      <c r="I19" s="180">
        <f t="shared" si="4"/>
        <v>24524.757591703616</v>
      </c>
      <c r="J19" s="181">
        <f t="shared" si="4"/>
        <v>24520.451369732447</v>
      </c>
    </row>
    <row r="21" spans="2:10">
      <c r="B21" s="6" t="s">
        <v>207</v>
      </c>
      <c r="D21" s="182">
        <f>SUM(D11:D15)</f>
        <v>287000</v>
      </c>
    </row>
    <row r="22" spans="2:10">
      <c r="D22" s="182"/>
    </row>
    <row r="23" spans="2:10">
      <c r="B23" s="6" t="s">
        <v>208</v>
      </c>
      <c r="D23" s="182">
        <f>D21/D18</f>
        <v>18245.390972663696</v>
      </c>
    </row>
    <row r="25" spans="2:10">
      <c r="B25" s="6" t="s">
        <v>209</v>
      </c>
      <c r="D25" s="34">
        <f t="shared" ref="D25:J25" si="5">+$D$23/60</f>
        <v>304.08984954439495</v>
      </c>
      <c r="E25" s="34">
        <f t="shared" si="5"/>
        <v>304.08984954439495</v>
      </c>
      <c r="F25" s="34">
        <f t="shared" si="5"/>
        <v>304.08984954439495</v>
      </c>
      <c r="G25" s="34">
        <f t="shared" si="5"/>
        <v>304.08984954439495</v>
      </c>
      <c r="H25" s="34">
        <f t="shared" si="5"/>
        <v>304.08984954439495</v>
      </c>
      <c r="I25" s="34">
        <f t="shared" si="5"/>
        <v>304.08984954439495</v>
      </c>
      <c r="J25" s="34">
        <f t="shared" si="5"/>
        <v>304.08984954439495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2:J23"/>
  <sheetViews>
    <sheetView showGridLines="0" workbookViewId="0">
      <selection activeCell="C24" sqref="C24"/>
    </sheetView>
  </sheetViews>
  <sheetFormatPr defaultColWidth="9.140625" defaultRowHeight="12.75"/>
  <cols>
    <col min="2" max="2" width="29" bestFit="1" customWidth="1"/>
    <col min="3" max="10" width="13.5703125" customWidth="1"/>
  </cols>
  <sheetData>
    <row r="2" spans="2:10">
      <c r="B2" s="5" t="s">
        <v>242</v>
      </c>
    </row>
    <row r="4" spans="2:10">
      <c r="B4" s="75"/>
      <c r="C4" s="54" t="s">
        <v>249</v>
      </c>
      <c r="D4" s="54" t="s">
        <v>250</v>
      </c>
      <c r="E4" s="54" t="s">
        <v>251</v>
      </c>
      <c r="F4" s="54" t="s">
        <v>252</v>
      </c>
      <c r="G4" s="54" t="s">
        <v>253</v>
      </c>
      <c r="H4" s="71" t="s">
        <v>254</v>
      </c>
      <c r="I4" s="71" t="s">
        <v>255</v>
      </c>
      <c r="J4" s="190" t="s">
        <v>256</v>
      </c>
    </row>
    <row r="5" spans="2:10">
      <c r="B5" s="75" t="s">
        <v>5</v>
      </c>
      <c r="C5" s="60">
        <f>+'Gs Admin'!C6</f>
        <v>0</v>
      </c>
      <c r="D5" s="60">
        <f>+'Gs Admin'!D6</f>
        <v>0.2</v>
      </c>
      <c r="E5" s="60">
        <f>+'Gs Admin'!E6</f>
        <v>0.2</v>
      </c>
      <c r="F5" s="60">
        <f>+'Gs Admin'!F6</f>
        <v>0.15</v>
      </c>
      <c r="G5" s="60">
        <f>+'Gs Admin'!G6</f>
        <v>0.15</v>
      </c>
      <c r="H5" s="60">
        <f>+'Gs Admin'!H6</f>
        <v>0.15</v>
      </c>
      <c r="I5" s="60">
        <f>+'Gs Admin'!I6</f>
        <v>0.1</v>
      </c>
      <c r="J5" s="60">
        <v>0.1</v>
      </c>
    </row>
    <row r="6" spans="2:10">
      <c r="B6" s="75"/>
      <c r="C6" s="75"/>
      <c r="D6" s="75"/>
      <c r="E6" s="75"/>
      <c r="F6" s="75"/>
      <c r="G6" s="75"/>
      <c r="H6" s="75"/>
      <c r="I6" s="75"/>
      <c r="J6" s="75"/>
    </row>
    <row r="7" spans="2:10">
      <c r="B7" s="221" t="s">
        <v>243</v>
      </c>
      <c r="C7" s="59">
        <f>C20</f>
        <v>520000</v>
      </c>
      <c r="D7" s="59">
        <f t="shared" ref="D7:I7" si="0">D20</f>
        <v>624000</v>
      </c>
      <c r="E7" s="59">
        <f t="shared" si="0"/>
        <v>748800</v>
      </c>
      <c r="F7" s="59">
        <f t="shared" si="0"/>
        <v>861120</v>
      </c>
      <c r="G7" s="59">
        <f t="shared" si="0"/>
        <v>990288</v>
      </c>
      <c r="H7" s="59">
        <f t="shared" si="0"/>
        <v>1138831.2</v>
      </c>
      <c r="I7" s="59">
        <f t="shared" si="0"/>
        <v>1252714.32</v>
      </c>
      <c r="J7" s="59">
        <f>J20</f>
        <v>1377985.7520000001</v>
      </c>
    </row>
    <row r="8" spans="2:10">
      <c r="B8" s="76" t="s">
        <v>244</v>
      </c>
      <c r="C8" s="54">
        <v>2</v>
      </c>
      <c r="D8" s="54">
        <v>2</v>
      </c>
      <c r="E8" s="54">
        <v>3</v>
      </c>
      <c r="F8" s="54">
        <v>3</v>
      </c>
      <c r="G8" s="54">
        <v>3</v>
      </c>
      <c r="H8" s="54">
        <v>4</v>
      </c>
      <c r="I8" s="54">
        <v>4</v>
      </c>
      <c r="J8" s="54">
        <v>4</v>
      </c>
    </row>
    <row r="9" spans="2:10" ht="13.5" thickBot="1">
      <c r="B9" s="221" t="s">
        <v>236</v>
      </c>
      <c r="C9" s="143"/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</row>
    <row r="10" spans="2:10" ht="13.5" thickBot="1">
      <c r="B10" s="142" t="s">
        <v>100</v>
      </c>
      <c r="C10" s="146">
        <v>40000</v>
      </c>
      <c r="D10" s="146">
        <f>+C10*(1+D5)</f>
        <v>48000</v>
      </c>
      <c r="E10" s="146">
        <f t="shared" ref="E10:J10" si="1">+D10*(1+E5)</f>
        <v>57600</v>
      </c>
      <c r="F10" s="146">
        <f t="shared" si="1"/>
        <v>66240</v>
      </c>
      <c r="G10" s="146">
        <f t="shared" si="1"/>
        <v>76176</v>
      </c>
      <c r="H10" s="146">
        <f t="shared" si="1"/>
        <v>87602.4</v>
      </c>
      <c r="I10" s="146">
        <f t="shared" si="1"/>
        <v>96362.64</v>
      </c>
      <c r="J10" s="147">
        <f t="shared" si="1"/>
        <v>105998.90400000001</v>
      </c>
    </row>
    <row r="11" spans="2:10">
      <c r="B11" s="70" t="s">
        <v>101</v>
      </c>
      <c r="C11" s="145"/>
      <c r="D11" s="145"/>
      <c r="E11" s="145"/>
      <c r="F11" s="145"/>
      <c r="G11" s="145"/>
      <c r="H11" s="145"/>
      <c r="I11" s="145"/>
      <c r="J11" s="145"/>
    </row>
    <row r="12" spans="2:10">
      <c r="B12" s="70" t="s">
        <v>102</v>
      </c>
      <c r="C12" s="72"/>
      <c r="D12" s="72"/>
      <c r="E12" s="72"/>
      <c r="F12" s="72"/>
      <c r="G12" s="72"/>
      <c r="H12" s="72"/>
      <c r="I12" s="72"/>
      <c r="J12" s="72"/>
    </row>
    <row r="13" spans="2:10">
      <c r="B13" s="70" t="s">
        <v>103</v>
      </c>
      <c r="C13" s="72"/>
      <c r="D13" s="72"/>
      <c r="E13" s="72"/>
      <c r="F13" s="72"/>
      <c r="G13" s="72"/>
      <c r="H13" s="72"/>
      <c r="I13" s="72"/>
      <c r="J13" s="72"/>
    </row>
    <row r="14" spans="2:10">
      <c r="B14" s="70" t="s">
        <v>104</v>
      </c>
      <c r="C14" s="72"/>
      <c r="D14" s="72"/>
      <c r="E14" s="72"/>
      <c r="F14" s="72"/>
      <c r="G14" s="72"/>
      <c r="H14" s="72"/>
      <c r="I14" s="72"/>
      <c r="J14" s="72"/>
    </row>
    <row r="15" spans="2:10">
      <c r="B15" s="70" t="s">
        <v>106</v>
      </c>
      <c r="C15" s="72"/>
      <c r="D15" s="72"/>
      <c r="E15" s="72"/>
      <c r="F15" s="72"/>
      <c r="G15" s="72"/>
      <c r="H15" s="72"/>
      <c r="I15" s="72"/>
      <c r="J15" s="72"/>
    </row>
    <row r="16" spans="2:10">
      <c r="B16" s="70" t="s">
        <v>105</v>
      </c>
      <c r="C16" s="72"/>
      <c r="D16" s="72"/>
      <c r="E16" s="72"/>
      <c r="F16" s="72"/>
      <c r="G16" s="72"/>
      <c r="H16" s="72"/>
      <c r="I16" s="72"/>
      <c r="J16" s="72"/>
    </row>
    <row r="17" spans="2:10">
      <c r="B17" s="70" t="s">
        <v>107</v>
      </c>
      <c r="C17" s="72"/>
      <c r="D17" s="72"/>
      <c r="E17" s="72"/>
      <c r="F17" s="72"/>
      <c r="G17" s="72"/>
      <c r="H17" s="72"/>
      <c r="I17" s="72"/>
      <c r="J17" s="72"/>
    </row>
    <row r="18" spans="2:10">
      <c r="B18" s="70" t="s">
        <v>108</v>
      </c>
      <c r="C18" s="72"/>
      <c r="D18" s="72"/>
      <c r="E18" s="72"/>
      <c r="F18" s="72"/>
      <c r="G18" s="72"/>
      <c r="H18" s="72"/>
      <c r="I18" s="72"/>
      <c r="J18" s="72"/>
    </row>
    <row r="19" spans="2:10">
      <c r="B19" s="70" t="s">
        <v>109</v>
      </c>
      <c r="C19" s="72"/>
      <c r="D19" s="72"/>
      <c r="E19" s="72"/>
      <c r="F19" s="72"/>
      <c r="G19" s="72"/>
      <c r="H19" s="72"/>
      <c r="I19" s="72"/>
      <c r="J19" s="72"/>
    </row>
    <row r="20" spans="2:10" ht="13.5" thickBot="1">
      <c r="B20" s="70" t="s">
        <v>117</v>
      </c>
      <c r="C20" s="101">
        <f>+SUM(C9:C18)*13</f>
        <v>520000</v>
      </c>
      <c r="D20" s="101">
        <f t="shared" ref="D20:J20" si="2">+SUM(D9:D18)*13</f>
        <v>624000</v>
      </c>
      <c r="E20" s="101">
        <f t="shared" si="2"/>
        <v>748800</v>
      </c>
      <c r="F20" s="101">
        <f t="shared" si="2"/>
        <v>861120</v>
      </c>
      <c r="G20" s="101">
        <f t="shared" si="2"/>
        <v>990288</v>
      </c>
      <c r="H20" s="101">
        <f t="shared" si="2"/>
        <v>1138831.2</v>
      </c>
      <c r="I20" s="101">
        <f t="shared" si="2"/>
        <v>1252714.32</v>
      </c>
      <c r="J20" s="101">
        <f t="shared" si="2"/>
        <v>1377985.7520000001</v>
      </c>
    </row>
    <row r="21" spans="2:10" ht="13.5" thickBot="1">
      <c r="B21" s="186" t="s">
        <v>274</v>
      </c>
      <c r="C21" s="129">
        <f>C7*C8</f>
        <v>1040000</v>
      </c>
      <c r="D21" s="130">
        <f>D7*D8</f>
        <v>1248000</v>
      </c>
      <c r="E21" s="130">
        <f t="shared" ref="E21:J21" si="3">E7*E8</f>
        <v>2246400</v>
      </c>
      <c r="F21" s="130">
        <f t="shared" si="3"/>
        <v>2583360</v>
      </c>
      <c r="G21" s="130">
        <f t="shared" si="3"/>
        <v>2970864</v>
      </c>
      <c r="H21" s="130">
        <f t="shared" si="3"/>
        <v>4555324.8</v>
      </c>
      <c r="I21" s="130">
        <f t="shared" si="3"/>
        <v>5010857.28</v>
      </c>
      <c r="J21" s="131">
        <f t="shared" si="3"/>
        <v>5511943.0080000004</v>
      </c>
    </row>
    <row r="22" spans="2:10" ht="13.5" thickBot="1">
      <c r="B22" s="50" t="s">
        <v>198</v>
      </c>
      <c r="C22" s="116">
        <v>14.3</v>
      </c>
      <c r="D22" s="116">
        <f>C22*(1.1)</f>
        <v>15.730000000000002</v>
      </c>
      <c r="E22" s="116">
        <f>D22*(1.1)</f>
        <v>17.303000000000004</v>
      </c>
      <c r="F22" s="116">
        <f t="shared" ref="F22:J22" si="4">E22*(1.1)</f>
        <v>19.033300000000008</v>
      </c>
      <c r="G22" s="116">
        <f t="shared" si="4"/>
        <v>20.936630000000012</v>
      </c>
      <c r="H22" s="116">
        <f t="shared" si="4"/>
        <v>23.030293000000015</v>
      </c>
      <c r="I22" s="116">
        <f t="shared" si="4"/>
        <v>25.333322300000017</v>
      </c>
      <c r="J22" s="116">
        <f t="shared" si="4"/>
        <v>27.866654530000019</v>
      </c>
    </row>
    <row r="23" spans="2:10" ht="13.5" thickBot="1">
      <c r="B23" s="186" t="s">
        <v>273</v>
      </c>
      <c r="C23" s="148">
        <f t="shared" ref="C23:H23" si="5">+C21/C22</f>
        <v>72727.272727272721</v>
      </c>
      <c r="D23" s="149">
        <f t="shared" si="5"/>
        <v>79338.8429752066</v>
      </c>
      <c r="E23" s="149">
        <f t="shared" si="5"/>
        <v>129827.1975957926</v>
      </c>
      <c r="F23" s="149">
        <f t="shared" si="5"/>
        <v>135728.4338501468</v>
      </c>
      <c r="G23" s="149">
        <f t="shared" si="5"/>
        <v>141897.90811606252</v>
      </c>
      <c r="H23" s="149">
        <f t="shared" si="5"/>
        <v>197797.08404057199</v>
      </c>
      <c r="I23" s="149">
        <f>+I21/I22</f>
        <v>197797.08404057199</v>
      </c>
      <c r="J23" s="150">
        <f>+J21/J22</f>
        <v>197797.08404057199</v>
      </c>
    </row>
  </sheetData>
  <phoneticPr fontId="2" type="noConversion"/>
  <pageMargins left="0.75" right="0.75" top="0.42" bottom="0.5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2:M45"/>
  <sheetViews>
    <sheetView showGridLines="0" zoomScaleNormal="100" workbookViewId="0">
      <selection activeCell="F48" sqref="F48"/>
    </sheetView>
  </sheetViews>
  <sheetFormatPr defaultColWidth="9.140625" defaultRowHeight="12.75" outlineLevelRow="1"/>
  <cols>
    <col min="2" max="2" width="30.85546875" bestFit="1" customWidth="1"/>
    <col min="3" max="10" width="13.5703125" customWidth="1"/>
  </cols>
  <sheetData>
    <row r="2" spans="2:13">
      <c r="B2" s="18" t="s">
        <v>229</v>
      </c>
      <c r="L2" s="220"/>
      <c r="M2" s="220"/>
    </row>
    <row r="3" spans="2:13">
      <c r="B3" s="18"/>
    </row>
    <row r="4" spans="2:13">
      <c r="B4" s="50" t="s">
        <v>198</v>
      </c>
      <c r="C4" s="82">
        <v>14.3</v>
      </c>
      <c r="D4" s="82">
        <f>C4*(1.1)</f>
        <v>15.730000000000002</v>
      </c>
      <c r="E4" s="82">
        <f>D4*(1.1)</f>
        <v>17.303000000000004</v>
      </c>
      <c r="F4" s="82">
        <f t="shared" ref="F4:J4" si="0">E4*(1.1)</f>
        <v>19.033300000000008</v>
      </c>
      <c r="G4" s="82">
        <f t="shared" si="0"/>
        <v>20.936630000000012</v>
      </c>
      <c r="H4" s="82">
        <f t="shared" si="0"/>
        <v>23.030293000000015</v>
      </c>
      <c r="I4" s="82">
        <f t="shared" si="0"/>
        <v>25.333322300000017</v>
      </c>
      <c r="J4" s="82">
        <f t="shared" si="0"/>
        <v>27.866654530000019</v>
      </c>
    </row>
    <row r="5" spans="2:13" ht="13.5" thickBot="1">
      <c r="B5" s="10"/>
      <c r="C5" s="135" t="s">
        <v>249</v>
      </c>
      <c r="D5" s="135" t="s">
        <v>250</v>
      </c>
      <c r="E5" s="135" t="s">
        <v>251</v>
      </c>
      <c r="F5" s="135" t="s">
        <v>252</v>
      </c>
      <c r="G5" s="135" t="s">
        <v>253</v>
      </c>
      <c r="H5" s="136" t="s">
        <v>254</v>
      </c>
      <c r="I5" s="136" t="s">
        <v>255</v>
      </c>
      <c r="J5" s="188" t="s">
        <v>256</v>
      </c>
    </row>
    <row r="6" spans="2:13" ht="13.5" thickBot="1">
      <c r="B6" s="8" t="s">
        <v>5</v>
      </c>
      <c r="C6" s="139">
        <f>+'Demanda Estimada'!C14</f>
        <v>0</v>
      </c>
      <c r="D6" s="140">
        <f>+'Demanda Estimada'!D14</f>
        <v>0.2</v>
      </c>
      <c r="E6" s="140">
        <f>+'Demanda Estimada'!E14</f>
        <v>0.2</v>
      </c>
      <c r="F6" s="140">
        <f>+'Demanda Estimada'!F14</f>
        <v>0.15</v>
      </c>
      <c r="G6" s="140">
        <f>+'Demanda Estimada'!G14</f>
        <v>0.15</v>
      </c>
      <c r="H6" s="140">
        <f>+'Demanda Estimada'!H14</f>
        <v>0.15</v>
      </c>
      <c r="I6" s="140">
        <f>+'Demanda Estimada'!I14</f>
        <v>0.1</v>
      </c>
      <c r="J6" s="141">
        <f>+'Demanda Estimada'!J14</f>
        <v>0.1</v>
      </c>
    </row>
    <row r="7" spans="2:13">
      <c r="B7" s="10"/>
      <c r="C7" s="137"/>
      <c r="D7" s="137"/>
      <c r="E7" s="137"/>
      <c r="F7" s="137"/>
      <c r="G7" s="137"/>
      <c r="H7" s="137"/>
      <c r="I7" s="137"/>
      <c r="J7" s="138"/>
    </row>
    <row r="8" spans="2:13">
      <c r="B8" s="50" t="s">
        <v>185</v>
      </c>
      <c r="C8" s="72">
        <f t="shared" ref="C8:J8" si="1">+C23+C38</f>
        <v>256315.8</v>
      </c>
      <c r="D8" s="72">
        <f t="shared" si="1"/>
        <v>307577.39999999997</v>
      </c>
      <c r="E8" s="72">
        <f t="shared" si="1"/>
        <v>738198.24</v>
      </c>
      <c r="F8" s="72">
        <f t="shared" si="1"/>
        <v>848923.29599999997</v>
      </c>
      <c r="G8" s="72">
        <f t="shared" si="1"/>
        <v>976257.11039999989</v>
      </c>
      <c r="H8" s="72">
        <f t="shared" si="1"/>
        <v>1122690.9969599997</v>
      </c>
      <c r="I8" s="72">
        <f t="shared" si="1"/>
        <v>1234956.9766559999</v>
      </c>
      <c r="J8" s="72">
        <f t="shared" si="1"/>
        <v>1358449.5543215999</v>
      </c>
    </row>
    <row r="9" spans="2:13">
      <c r="B9" s="10"/>
      <c r="C9" s="72"/>
      <c r="D9" s="72"/>
      <c r="E9" s="72"/>
      <c r="F9" s="72"/>
      <c r="G9" s="72"/>
      <c r="H9" s="72"/>
      <c r="I9" s="72"/>
      <c r="J9" s="73"/>
    </row>
    <row r="10" spans="2:13" outlineLevel="1">
      <c r="B10" s="185" t="s">
        <v>277</v>
      </c>
      <c r="C10" s="72"/>
      <c r="D10" s="74"/>
      <c r="E10" s="72"/>
      <c r="F10" s="72"/>
      <c r="G10" s="72"/>
      <c r="H10" s="72"/>
      <c r="I10" s="72"/>
      <c r="J10" s="72"/>
    </row>
    <row r="11" spans="2:13" outlineLevel="1">
      <c r="B11" s="50" t="s">
        <v>184</v>
      </c>
      <c r="C11" s="72">
        <v>1</v>
      </c>
      <c r="D11" s="108">
        <v>1</v>
      </c>
      <c r="E11" s="108">
        <v>2</v>
      </c>
      <c r="F11" s="108">
        <v>2</v>
      </c>
      <c r="G11" s="108">
        <v>2</v>
      </c>
      <c r="H11" s="108">
        <v>2</v>
      </c>
      <c r="I11" s="108">
        <v>2</v>
      </c>
      <c r="J11" s="108">
        <v>2</v>
      </c>
    </row>
    <row r="12" spans="2:13" outlineLevel="1">
      <c r="B12" s="10" t="s">
        <v>136</v>
      </c>
      <c r="C12" s="72">
        <v>0</v>
      </c>
      <c r="D12" s="72">
        <v>0</v>
      </c>
      <c r="E12" s="72">
        <v>0</v>
      </c>
      <c r="F12" s="72">
        <v>0</v>
      </c>
      <c r="G12" s="72">
        <v>0</v>
      </c>
      <c r="H12" s="72">
        <v>0</v>
      </c>
      <c r="I12" s="72">
        <v>0</v>
      </c>
      <c r="J12" s="72">
        <v>0</v>
      </c>
    </row>
    <row r="13" spans="2:13" outlineLevel="1">
      <c r="B13" s="10" t="s">
        <v>100</v>
      </c>
      <c r="C13" s="72">
        <v>15000</v>
      </c>
      <c r="D13" s="72">
        <f t="shared" ref="D13:J13" si="2">+C13*(1+D6)</f>
        <v>18000</v>
      </c>
      <c r="E13" s="72">
        <f t="shared" si="2"/>
        <v>21600</v>
      </c>
      <c r="F13" s="72">
        <f t="shared" si="2"/>
        <v>24839.999999999996</v>
      </c>
      <c r="G13" s="72">
        <f t="shared" si="2"/>
        <v>28565.999999999993</v>
      </c>
      <c r="H13" s="72">
        <f t="shared" si="2"/>
        <v>32850.899999999987</v>
      </c>
      <c r="I13" s="72">
        <f t="shared" si="2"/>
        <v>36135.989999999991</v>
      </c>
      <c r="J13" s="72">
        <f t="shared" si="2"/>
        <v>39749.588999999993</v>
      </c>
    </row>
    <row r="14" spans="2:13" outlineLevel="1">
      <c r="B14" s="10" t="s">
        <v>101</v>
      </c>
      <c r="C14" s="72">
        <f t="shared" ref="C14:D14" si="3">+C13*0.105</f>
        <v>1575</v>
      </c>
      <c r="D14" s="72">
        <f t="shared" si="3"/>
        <v>1890</v>
      </c>
      <c r="E14" s="72">
        <f t="shared" ref="E14:I14" si="4">+E13*0.105</f>
        <v>2268</v>
      </c>
      <c r="F14" s="72">
        <f t="shared" si="4"/>
        <v>2608.1999999999994</v>
      </c>
      <c r="G14" s="72">
        <f t="shared" si="4"/>
        <v>2999.4299999999989</v>
      </c>
      <c r="H14" s="72">
        <f t="shared" si="4"/>
        <v>3449.3444999999983</v>
      </c>
      <c r="I14" s="72">
        <f t="shared" si="4"/>
        <v>3794.278949999999</v>
      </c>
      <c r="J14" s="72">
        <f>+J13*0.105</f>
        <v>4173.7068449999988</v>
      </c>
    </row>
    <row r="15" spans="2:13" outlineLevel="1">
      <c r="B15" s="10" t="s">
        <v>102</v>
      </c>
      <c r="C15" s="72">
        <f t="shared" ref="C15:D15" si="5">+C13*0.06</f>
        <v>900</v>
      </c>
      <c r="D15" s="72">
        <f t="shared" si="5"/>
        <v>1080</v>
      </c>
      <c r="E15" s="72">
        <f t="shared" ref="E15:I15" si="6">+E13*0.06</f>
        <v>1296</v>
      </c>
      <c r="F15" s="72">
        <f t="shared" si="6"/>
        <v>1490.3999999999996</v>
      </c>
      <c r="G15" s="72">
        <f t="shared" si="6"/>
        <v>1713.9599999999996</v>
      </c>
      <c r="H15" s="72">
        <f t="shared" si="6"/>
        <v>1971.0539999999992</v>
      </c>
      <c r="I15" s="72">
        <f t="shared" si="6"/>
        <v>2168.1593999999996</v>
      </c>
      <c r="J15" s="72">
        <f>+J13*0.06</f>
        <v>2384.9753399999995</v>
      </c>
    </row>
    <row r="16" spans="2:13" outlineLevel="1">
      <c r="B16" s="10" t="s">
        <v>103</v>
      </c>
      <c r="C16" s="72">
        <v>0</v>
      </c>
      <c r="D16" s="72">
        <v>0</v>
      </c>
      <c r="E16" s="72">
        <v>0</v>
      </c>
      <c r="F16" s="72">
        <v>0</v>
      </c>
      <c r="G16" s="72">
        <v>0</v>
      </c>
      <c r="H16" s="72">
        <v>0</v>
      </c>
      <c r="I16" s="72">
        <v>0</v>
      </c>
      <c r="J16" s="72">
        <v>0</v>
      </c>
    </row>
    <row r="17" spans="2:10" outlineLevel="1">
      <c r="B17" s="10" t="s">
        <v>104</v>
      </c>
      <c r="C17" s="72">
        <f t="shared" ref="C17:D17" si="7">+C13*0.0444</f>
        <v>666</v>
      </c>
      <c r="D17" s="72">
        <f t="shared" si="7"/>
        <v>799.2</v>
      </c>
      <c r="E17" s="72">
        <f t="shared" ref="E17:I17" si="8">+E13*0.0444</f>
        <v>959.04000000000008</v>
      </c>
      <c r="F17" s="72">
        <f t="shared" si="8"/>
        <v>1102.896</v>
      </c>
      <c r="G17" s="72">
        <f t="shared" si="8"/>
        <v>1268.3303999999998</v>
      </c>
      <c r="H17" s="72">
        <f t="shared" si="8"/>
        <v>1458.5799599999996</v>
      </c>
      <c r="I17" s="72">
        <f t="shared" si="8"/>
        <v>1604.4379559999998</v>
      </c>
      <c r="J17" s="72">
        <f>+J13*0.0444</f>
        <v>1764.8817515999997</v>
      </c>
    </row>
    <row r="18" spans="2:10" outlineLevel="1">
      <c r="B18" s="10" t="s">
        <v>106</v>
      </c>
      <c r="C18" s="72">
        <f t="shared" ref="C18:D18" si="9">+C13*0.005+0.6*C11</f>
        <v>75.599999999999994</v>
      </c>
      <c r="D18" s="72">
        <f t="shared" si="9"/>
        <v>90.6</v>
      </c>
      <c r="E18" s="72">
        <f t="shared" ref="E18:I18" si="10">+E13*0.005+0.6*E11</f>
        <v>109.2</v>
      </c>
      <c r="F18" s="72">
        <f t="shared" si="10"/>
        <v>125.39999999999999</v>
      </c>
      <c r="G18" s="72">
        <f t="shared" si="10"/>
        <v>144.02999999999994</v>
      </c>
      <c r="H18" s="72">
        <f t="shared" si="10"/>
        <v>165.45449999999994</v>
      </c>
      <c r="I18" s="72">
        <f t="shared" si="10"/>
        <v>181.87994999999995</v>
      </c>
      <c r="J18" s="72">
        <f>+J13*0.005+0.6*J11</f>
        <v>199.94794499999995</v>
      </c>
    </row>
    <row r="19" spans="2:10" outlineLevel="1">
      <c r="B19" s="10" t="s">
        <v>105</v>
      </c>
      <c r="C19" s="72">
        <f t="shared" ref="C19:D19" si="11">+C13*0.03</f>
        <v>450</v>
      </c>
      <c r="D19" s="72">
        <f t="shared" si="11"/>
        <v>540</v>
      </c>
      <c r="E19" s="72">
        <f t="shared" ref="E19:I19" si="12">+E13*0.03</f>
        <v>648</v>
      </c>
      <c r="F19" s="72">
        <f t="shared" si="12"/>
        <v>745.19999999999982</v>
      </c>
      <c r="G19" s="72">
        <f t="shared" si="12"/>
        <v>856.97999999999979</v>
      </c>
      <c r="H19" s="72">
        <f t="shared" si="12"/>
        <v>985.52699999999959</v>
      </c>
      <c r="I19" s="72">
        <f t="shared" si="12"/>
        <v>1084.0796999999998</v>
      </c>
      <c r="J19" s="72">
        <f>+J13*0.03</f>
        <v>1192.4876699999998</v>
      </c>
    </row>
    <row r="20" spans="2:10" outlineLevel="1">
      <c r="B20" s="10" t="s">
        <v>107</v>
      </c>
      <c r="C20" s="72">
        <f t="shared" ref="C20:D20" si="13">+C13*0.04</f>
        <v>600</v>
      </c>
      <c r="D20" s="72">
        <f t="shared" si="13"/>
        <v>720</v>
      </c>
      <c r="E20" s="72">
        <f t="shared" ref="E20:I20" si="14">+E13*0.04</f>
        <v>864</v>
      </c>
      <c r="F20" s="72">
        <f t="shared" si="14"/>
        <v>993.59999999999991</v>
      </c>
      <c r="G20" s="72">
        <f t="shared" si="14"/>
        <v>1142.6399999999996</v>
      </c>
      <c r="H20" s="72">
        <f t="shared" si="14"/>
        <v>1314.0359999999996</v>
      </c>
      <c r="I20" s="72">
        <f t="shared" si="14"/>
        <v>1445.4395999999997</v>
      </c>
      <c r="J20" s="72">
        <f>+J13*0.04</f>
        <v>1589.9835599999997</v>
      </c>
    </row>
    <row r="21" spans="2:10" outlineLevel="1">
      <c r="B21" s="10" t="s">
        <v>108</v>
      </c>
      <c r="C21" s="72">
        <f t="shared" ref="C21:D21" si="15">+C13*0.03</f>
        <v>450</v>
      </c>
      <c r="D21" s="72">
        <f t="shared" si="15"/>
        <v>540</v>
      </c>
      <c r="E21" s="72">
        <f t="shared" ref="E21:I21" si="16">+E13*0.03</f>
        <v>648</v>
      </c>
      <c r="F21" s="72">
        <f t="shared" si="16"/>
        <v>745.19999999999982</v>
      </c>
      <c r="G21" s="72">
        <f t="shared" si="16"/>
        <v>856.97999999999979</v>
      </c>
      <c r="H21" s="72">
        <f t="shared" si="16"/>
        <v>985.52699999999959</v>
      </c>
      <c r="I21" s="72">
        <f t="shared" si="16"/>
        <v>1084.0796999999998</v>
      </c>
      <c r="J21" s="72">
        <f>+J13*0.03</f>
        <v>1192.4876699999998</v>
      </c>
    </row>
    <row r="22" spans="2:10" outlineLevel="1">
      <c r="B22" s="10" t="s">
        <v>109</v>
      </c>
      <c r="C22" s="72">
        <f t="shared" ref="C22:D22" si="17">+C13*0.77</f>
        <v>11550</v>
      </c>
      <c r="D22" s="72">
        <f t="shared" si="17"/>
        <v>13860</v>
      </c>
      <c r="E22" s="72">
        <f t="shared" ref="E22:I22" si="18">+E13*0.77</f>
        <v>16632</v>
      </c>
      <c r="F22" s="72">
        <f t="shared" si="18"/>
        <v>19126.8</v>
      </c>
      <c r="G22" s="72">
        <f t="shared" si="18"/>
        <v>21995.819999999996</v>
      </c>
      <c r="H22" s="72">
        <f t="shared" si="18"/>
        <v>25295.192999999992</v>
      </c>
      <c r="I22" s="72">
        <f t="shared" si="18"/>
        <v>27824.712299999992</v>
      </c>
      <c r="J22" s="72">
        <f>+J13*0.77</f>
        <v>30607.183529999995</v>
      </c>
    </row>
    <row r="23" spans="2:10" outlineLevel="1">
      <c r="B23" s="10" t="s">
        <v>117</v>
      </c>
      <c r="C23" s="72">
        <f t="shared" ref="C23:D23" si="19">+SUM(C12:C21)*C11*13</f>
        <v>256315.8</v>
      </c>
      <c r="D23" s="72">
        <f t="shared" si="19"/>
        <v>307577.39999999997</v>
      </c>
      <c r="E23" s="72">
        <f t="shared" ref="E23:I23" si="20">+SUM(E12:E21)*E11*13</f>
        <v>738198.24</v>
      </c>
      <c r="F23" s="72">
        <f t="shared" si="20"/>
        <v>848923.29599999997</v>
      </c>
      <c r="G23" s="72">
        <f t="shared" si="20"/>
        <v>976257.11039999989</v>
      </c>
      <c r="H23" s="72">
        <f t="shared" si="20"/>
        <v>1122690.9969599997</v>
      </c>
      <c r="I23" s="72">
        <f t="shared" si="20"/>
        <v>1234956.9766559999</v>
      </c>
      <c r="J23" s="72">
        <f>+SUM(J12:J21)*J11*13</f>
        <v>1358449.5543215999</v>
      </c>
    </row>
    <row r="24" spans="2:10">
      <c r="B24" s="10"/>
      <c r="C24" s="72"/>
      <c r="D24" s="72"/>
      <c r="E24" s="72"/>
      <c r="F24" s="72"/>
      <c r="G24" s="72"/>
      <c r="H24" s="72"/>
      <c r="I24" s="72"/>
      <c r="J24" s="72"/>
    </row>
    <row r="25" spans="2:10" hidden="1" outlineLevel="1">
      <c r="B25" s="50" t="s">
        <v>137</v>
      </c>
      <c r="C25" s="72"/>
      <c r="D25" s="74"/>
      <c r="E25" s="72"/>
      <c r="F25" s="72"/>
      <c r="G25" s="72"/>
      <c r="H25" s="72"/>
      <c r="I25" s="72"/>
      <c r="J25" s="72"/>
    </row>
    <row r="26" spans="2:10" hidden="1" outlineLevel="1">
      <c r="B26" s="10" t="s">
        <v>120</v>
      </c>
      <c r="C26" s="72"/>
      <c r="D26" s="72"/>
      <c r="E26" s="72"/>
      <c r="F26" s="72"/>
      <c r="G26" s="72"/>
      <c r="H26" s="72"/>
      <c r="I26" s="72"/>
      <c r="J26" s="72"/>
    </row>
    <row r="27" spans="2:10" hidden="1" outlineLevel="1">
      <c r="B27" s="10" t="s">
        <v>136</v>
      </c>
      <c r="C27" s="72">
        <v>0</v>
      </c>
      <c r="D27" s="72"/>
      <c r="E27" s="72"/>
      <c r="F27" s="72"/>
      <c r="G27" s="72"/>
      <c r="H27" s="72"/>
      <c r="I27" s="72"/>
      <c r="J27" s="72"/>
    </row>
    <row r="28" spans="2:10" hidden="1" outlineLevel="1">
      <c r="B28" s="10" t="s">
        <v>100</v>
      </c>
      <c r="C28" s="72"/>
      <c r="D28" s="72">
        <f t="shared" ref="D28:J28" si="21">+C28*(1+D$6)</f>
        <v>0</v>
      </c>
      <c r="E28" s="72">
        <f t="shared" si="21"/>
        <v>0</v>
      </c>
      <c r="F28" s="72">
        <f t="shared" si="21"/>
        <v>0</v>
      </c>
      <c r="G28" s="72">
        <f t="shared" si="21"/>
        <v>0</v>
      </c>
      <c r="H28" s="72">
        <f t="shared" si="21"/>
        <v>0</v>
      </c>
      <c r="I28" s="72">
        <f t="shared" si="21"/>
        <v>0</v>
      </c>
      <c r="J28" s="72">
        <f t="shared" si="21"/>
        <v>0</v>
      </c>
    </row>
    <row r="29" spans="2:10" hidden="1" outlineLevel="1">
      <c r="B29" s="10" t="s">
        <v>101</v>
      </c>
      <c r="C29" s="72">
        <f t="shared" ref="C29:I29" si="22">+C28*0.105</f>
        <v>0</v>
      </c>
      <c r="D29" s="72">
        <f t="shared" si="22"/>
        <v>0</v>
      </c>
      <c r="E29" s="72">
        <f t="shared" si="22"/>
        <v>0</v>
      </c>
      <c r="F29" s="72">
        <f t="shared" si="22"/>
        <v>0</v>
      </c>
      <c r="G29" s="72">
        <f t="shared" si="22"/>
        <v>0</v>
      </c>
      <c r="H29" s="72">
        <f t="shared" si="22"/>
        <v>0</v>
      </c>
      <c r="I29" s="72">
        <f t="shared" si="22"/>
        <v>0</v>
      </c>
      <c r="J29" s="72">
        <f>+J28*0.105</f>
        <v>0</v>
      </c>
    </row>
    <row r="30" spans="2:10" hidden="1" outlineLevel="1">
      <c r="B30" s="10" t="s">
        <v>102</v>
      </c>
      <c r="C30" s="72">
        <f t="shared" ref="C30:I30" si="23">+C28*0.06</f>
        <v>0</v>
      </c>
      <c r="D30" s="72">
        <f t="shared" si="23"/>
        <v>0</v>
      </c>
      <c r="E30" s="72">
        <f t="shared" si="23"/>
        <v>0</v>
      </c>
      <c r="F30" s="72">
        <f t="shared" si="23"/>
        <v>0</v>
      </c>
      <c r="G30" s="72">
        <f t="shared" si="23"/>
        <v>0</v>
      </c>
      <c r="H30" s="72">
        <f t="shared" si="23"/>
        <v>0</v>
      </c>
      <c r="I30" s="72">
        <f t="shared" si="23"/>
        <v>0</v>
      </c>
      <c r="J30" s="72">
        <f>+J28*0.06</f>
        <v>0</v>
      </c>
    </row>
    <row r="31" spans="2:10" hidden="1" outlineLevel="1">
      <c r="B31" s="10" t="s">
        <v>103</v>
      </c>
      <c r="C31" s="72"/>
      <c r="D31" s="72">
        <v>0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72">
        <v>0</v>
      </c>
    </row>
    <row r="32" spans="2:10" hidden="1" outlineLevel="1">
      <c r="B32" s="10" t="s">
        <v>104</v>
      </c>
      <c r="C32" s="72">
        <f t="shared" ref="C32:I32" si="24">+C28*0.0444</f>
        <v>0</v>
      </c>
      <c r="D32" s="72">
        <f t="shared" si="24"/>
        <v>0</v>
      </c>
      <c r="E32" s="72">
        <f t="shared" si="24"/>
        <v>0</v>
      </c>
      <c r="F32" s="72">
        <f t="shared" si="24"/>
        <v>0</v>
      </c>
      <c r="G32" s="72">
        <f t="shared" si="24"/>
        <v>0</v>
      </c>
      <c r="H32" s="72">
        <f t="shared" si="24"/>
        <v>0</v>
      </c>
      <c r="I32" s="72">
        <f t="shared" si="24"/>
        <v>0</v>
      </c>
      <c r="J32" s="72">
        <f>+J28*0.0444</f>
        <v>0</v>
      </c>
    </row>
    <row r="33" spans="2:10" hidden="1" outlineLevel="1">
      <c r="B33" s="10" t="s">
        <v>106</v>
      </c>
      <c r="C33" s="72">
        <f t="shared" ref="C33:I33" si="25">+C28*0.005+0.6*C26</f>
        <v>0</v>
      </c>
      <c r="D33" s="72">
        <f t="shared" si="25"/>
        <v>0</v>
      </c>
      <c r="E33" s="72">
        <f t="shared" si="25"/>
        <v>0</v>
      </c>
      <c r="F33" s="72">
        <f t="shared" si="25"/>
        <v>0</v>
      </c>
      <c r="G33" s="72">
        <f t="shared" si="25"/>
        <v>0</v>
      </c>
      <c r="H33" s="72">
        <f t="shared" si="25"/>
        <v>0</v>
      </c>
      <c r="I33" s="72">
        <f t="shared" si="25"/>
        <v>0</v>
      </c>
      <c r="J33" s="72">
        <f>+J28*0.005+0.6*J26</f>
        <v>0</v>
      </c>
    </row>
    <row r="34" spans="2:10" hidden="1" outlineLevel="1">
      <c r="B34" s="10" t="s">
        <v>105</v>
      </c>
      <c r="C34" s="72">
        <f t="shared" ref="C34:I34" si="26">+C28*0.03</f>
        <v>0</v>
      </c>
      <c r="D34" s="72">
        <f t="shared" si="26"/>
        <v>0</v>
      </c>
      <c r="E34" s="72">
        <f t="shared" si="26"/>
        <v>0</v>
      </c>
      <c r="F34" s="72">
        <f t="shared" si="26"/>
        <v>0</v>
      </c>
      <c r="G34" s="72">
        <f t="shared" si="26"/>
        <v>0</v>
      </c>
      <c r="H34" s="72">
        <f t="shared" si="26"/>
        <v>0</v>
      </c>
      <c r="I34" s="72">
        <f t="shared" si="26"/>
        <v>0</v>
      </c>
      <c r="J34" s="72">
        <f>+J28*0.03</f>
        <v>0</v>
      </c>
    </row>
    <row r="35" spans="2:10" hidden="1" outlineLevel="1">
      <c r="B35" s="10" t="s">
        <v>107</v>
      </c>
      <c r="C35" s="72">
        <f t="shared" ref="C35:I35" si="27">+C28*0.04</f>
        <v>0</v>
      </c>
      <c r="D35" s="72">
        <f t="shared" si="27"/>
        <v>0</v>
      </c>
      <c r="E35" s="72">
        <f t="shared" si="27"/>
        <v>0</v>
      </c>
      <c r="F35" s="72">
        <f t="shared" si="27"/>
        <v>0</v>
      </c>
      <c r="G35" s="72">
        <f t="shared" si="27"/>
        <v>0</v>
      </c>
      <c r="H35" s="72">
        <f t="shared" si="27"/>
        <v>0</v>
      </c>
      <c r="I35" s="72">
        <f t="shared" si="27"/>
        <v>0</v>
      </c>
      <c r="J35" s="72">
        <f>+J28*0.04</f>
        <v>0</v>
      </c>
    </row>
    <row r="36" spans="2:10" hidden="1" outlineLevel="1">
      <c r="B36" s="10" t="s">
        <v>108</v>
      </c>
      <c r="C36" s="72">
        <f t="shared" ref="C36:I36" si="28">+C28*0.03</f>
        <v>0</v>
      </c>
      <c r="D36" s="72">
        <f t="shared" si="28"/>
        <v>0</v>
      </c>
      <c r="E36" s="72">
        <f t="shared" si="28"/>
        <v>0</v>
      </c>
      <c r="F36" s="72">
        <f t="shared" si="28"/>
        <v>0</v>
      </c>
      <c r="G36" s="72">
        <f t="shared" si="28"/>
        <v>0</v>
      </c>
      <c r="H36" s="72">
        <f t="shared" si="28"/>
        <v>0</v>
      </c>
      <c r="I36" s="72">
        <f t="shared" si="28"/>
        <v>0</v>
      </c>
      <c r="J36" s="72">
        <f>+J28*0.03</f>
        <v>0</v>
      </c>
    </row>
    <row r="37" spans="2:10" hidden="1" outlineLevel="1">
      <c r="B37" s="10" t="s">
        <v>109</v>
      </c>
      <c r="C37" s="72">
        <f>+C28-SUM(C29:C36)</f>
        <v>0</v>
      </c>
      <c r="D37" s="72">
        <f t="shared" ref="D37:I37" si="29">+D28*0.8</f>
        <v>0</v>
      </c>
      <c r="E37" s="72">
        <f t="shared" si="29"/>
        <v>0</v>
      </c>
      <c r="F37" s="72">
        <f t="shared" si="29"/>
        <v>0</v>
      </c>
      <c r="G37" s="72">
        <f t="shared" si="29"/>
        <v>0</v>
      </c>
      <c r="H37" s="72">
        <f t="shared" si="29"/>
        <v>0</v>
      </c>
      <c r="I37" s="72">
        <f t="shared" si="29"/>
        <v>0</v>
      </c>
      <c r="J37" s="72">
        <f>+J28*0.8</f>
        <v>0</v>
      </c>
    </row>
    <row r="38" spans="2:10" hidden="1" outlineLevel="1">
      <c r="B38" s="10" t="s">
        <v>117</v>
      </c>
      <c r="C38" s="72">
        <f>+C37*C26*(+C27+13)</f>
        <v>0</v>
      </c>
      <c r="D38" s="72">
        <f t="shared" ref="D38:I38" si="30">+SUM(D27:D36)*D26*13</f>
        <v>0</v>
      </c>
      <c r="E38" s="72">
        <f t="shared" si="30"/>
        <v>0</v>
      </c>
      <c r="F38" s="72">
        <f t="shared" si="30"/>
        <v>0</v>
      </c>
      <c r="G38" s="72">
        <f t="shared" si="30"/>
        <v>0</v>
      </c>
      <c r="H38" s="72">
        <f t="shared" si="30"/>
        <v>0</v>
      </c>
      <c r="I38" s="72">
        <f t="shared" si="30"/>
        <v>0</v>
      </c>
      <c r="J38" s="72">
        <f>+SUM(J27:J36)*J26*13</f>
        <v>0</v>
      </c>
    </row>
    <row r="39" spans="2:10" ht="13.5" collapsed="1" thickBot="1">
      <c r="B39" s="10"/>
      <c r="C39" s="101"/>
      <c r="D39" s="101"/>
      <c r="E39" s="101"/>
      <c r="F39" s="101"/>
      <c r="G39" s="101"/>
      <c r="H39" s="101"/>
      <c r="I39" s="101"/>
      <c r="J39" s="101"/>
    </row>
    <row r="40" spans="2:10" ht="13.5" thickBot="1">
      <c r="B40" s="8" t="s">
        <v>98</v>
      </c>
      <c r="C40" s="98">
        <f>3000*12</f>
        <v>36000</v>
      </c>
      <c r="D40" s="99">
        <f t="shared" ref="D40:J40" si="31">+C40*(1+D6)</f>
        <v>43200</v>
      </c>
      <c r="E40" s="99">
        <f t="shared" si="31"/>
        <v>51840</v>
      </c>
      <c r="F40" s="99">
        <f t="shared" si="31"/>
        <v>59615.999999999993</v>
      </c>
      <c r="G40" s="99">
        <f t="shared" si="31"/>
        <v>68558.39999999998</v>
      </c>
      <c r="H40" s="99">
        <f t="shared" si="31"/>
        <v>78842.159999999974</v>
      </c>
      <c r="I40" s="99">
        <f t="shared" si="31"/>
        <v>86726.375999999975</v>
      </c>
      <c r="J40" s="100">
        <f t="shared" si="31"/>
        <v>95399.013599999977</v>
      </c>
    </row>
    <row r="41" spans="2:10" ht="13.5" thickBot="1">
      <c r="B41" s="8" t="s">
        <v>97</v>
      </c>
      <c r="C41" s="98">
        <f>200*12</f>
        <v>2400</v>
      </c>
      <c r="D41" s="99">
        <f t="shared" ref="D41:J41" si="32">+C41*(1+D6)</f>
        <v>2880</v>
      </c>
      <c r="E41" s="99">
        <f t="shared" si="32"/>
        <v>3456</v>
      </c>
      <c r="F41" s="99">
        <f t="shared" si="32"/>
        <v>3974.3999999999996</v>
      </c>
      <c r="G41" s="99">
        <f t="shared" si="32"/>
        <v>4570.5599999999995</v>
      </c>
      <c r="H41" s="99">
        <f t="shared" si="32"/>
        <v>5256.1439999999993</v>
      </c>
      <c r="I41" s="99">
        <f t="shared" si="32"/>
        <v>5781.7583999999997</v>
      </c>
      <c r="J41" s="100">
        <f t="shared" si="32"/>
        <v>6359.9342400000005</v>
      </c>
    </row>
    <row r="42" spans="2:10" ht="13.5" thickBot="1">
      <c r="B42" s="10"/>
      <c r="C42" s="97"/>
      <c r="D42" s="97"/>
      <c r="E42" s="97"/>
      <c r="F42" s="97"/>
      <c r="G42" s="97"/>
      <c r="H42" s="97"/>
      <c r="I42" s="97"/>
      <c r="J42" s="97"/>
    </row>
    <row r="43" spans="2:10" ht="13.5" thickBot="1">
      <c r="B43" s="212" t="s">
        <v>276</v>
      </c>
      <c r="C43" s="129">
        <f t="shared" ref="C43:J43" si="33">+SUM(C40:C41)+C8</f>
        <v>294715.8</v>
      </c>
      <c r="D43" s="129">
        <f t="shared" si="33"/>
        <v>353657.39999999997</v>
      </c>
      <c r="E43" s="129">
        <f t="shared" si="33"/>
        <v>793494.24</v>
      </c>
      <c r="F43" s="129">
        <f t="shared" si="33"/>
        <v>912513.696</v>
      </c>
      <c r="G43" s="129">
        <f t="shared" si="33"/>
        <v>1049386.0703999999</v>
      </c>
      <c r="H43" s="129">
        <f t="shared" si="33"/>
        <v>1206789.3009599997</v>
      </c>
      <c r="I43" s="129">
        <f t="shared" si="33"/>
        <v>1327465.111056</v>
      </c>
      <c r="J43" s="129">
        <f t="shared" si="33"/>
        <v>1460208.5021615999</v>
      </c>
    </row>
    <row r="44" spans="2:10" ht="13.5" thickBot="1">
      <c r="B44" s="50" t="s">
        <v>198</v>
      </c>
      <c r="C44" s="82">
        <v>14.3</v>
      </c>
      <c r="D44" s="82">
        <f>C44*(1.1)</f>
        <v>15.730000000000002</v>
      </c>
      <c r="E44" s="82">
        <f>D44*(1.1)</f>
        <v>17.303000000000004</v>
      </c>
      <c r="F44" s="82">
        <f t="shared" ref="F44:J44" si="34">E44*(1.1)</f>
        <v>19.033300000000008</v>
      </c>
      <c r="G44" s="82">
        <f t="shared" si="34"/>
        <v>20.936630000000012</v>
      </c>
      <c r="H44" s="82">
        <f t="shared" si="34"/>
        <v>23.030293000000015</v>
      </c>
      <c r="I44" s="82">
        <f t="shared" si="34"/>
        <v>25.333322300000017</v>
      </c>
      <c r="J44" s="82">
        <f t="shared" si="34"/>
        <v>27.866654530000019</v>
      </c>
    </row>
    <row r="45" spans="2:10" ht="13.5" thickBot="1">
      <c r="B45" s="212" t="s">
        <v>275</v>
      </c>
      <c r="C45" s="132">
        <f t="shared" ref="C45:J45" si="35">+C43/C4</f>
        <v>20609.496503496503</v>
      </c>
      <c r="D45" s="133">
        <f t="shared" si="35"/>
        <v>22482.987921169733</v>
      </c>
      <c r="E45" s="133">
        <f t="shared" si="35"/>
        <v>45858.766687857584</v>
      </c>
      <c r="F45" s="133">
        <f t="shared" si="35"/>
        <v>47943.010197916265</v>
      </c>
      <c r="G45" s="133">
        <f t="shared" si="35"/>
        <v>50122.014402508867</v>
      </c>
      <c r="H45" s="133">
        <f t="shared" si="35"/>
        <v>52400.084573826258</v>
      </c>
      <c r="I45" s="133">
        <f t="shared" si="35"/>
        <v>52399.9614158779</v>
      </c>
      <c r="J45" s="134">
        <f t="shared" si="35"/>
        <v>52399.849454106639</v>
      </c>
    </row>
  </sheetData>
  <phoneticPr fontId="2" type="noConversion"/>
  <pageMargins left="0.75" right="0.75" top="0.42" bottom="0.5" header="0.5" footer="0.5"/>
  <pageSetup scale="7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2:K16"/>
  <sheetViews>
    <sheetView showGridLines="0" workbookViewId="0">
      <selection activeCell="C3" sqref="C3"/>
    </sheetView>
  </sheetViews>
  <sheetFormatPr defaultColWidth="9.140625" defaultRowHeight="12.75"/>
  <cols>
    <col min="2" max="2" width="27.85546875" bestFit="1" customWidth="1"/>
    <col min="3" max="10" width="15.7109375" style="1" customWidth="1"/>
  </cols>
  <sheetData>
    <row r="2" spans="2:11">
      <c r="B2" s="18" t="s">
        <v>230</v>
      </c>
      <c r="C2" s="30"/>
    </row>
    <row r="4" spans="2:11">
      <c r="C4" s="67" t="s">
        <v>249</v>
      </c>
      <c r="D4" s="67" t="s">
        <v>250</v>
      </c>
      <c r="E4" s="67" t="s">
        <v>251</v>
      </c>
      <c r="F4" s="67" t="s">
        <v>252</v>
      </c>
      <c r="G4" s="67" t="s">
        <v>253</v>
      </c>
      <c r="H4" s="68" t="s">
        <v>254</v>
      </c>
      <c r="I4" s="68" t="s">
        <v>255</v>
      </c>
      <c r="J4" s="187" t="s">
        <v>256</v>
      </c>
    </row>
    <row r="5" spans="2:11">
      <c r="B5" t="s">
        <v>5</v>
      </c>
      <c r="C5" s="24">
        <f>+'Gs Admin'!C6</f>
        <v>0</v>
      </c>
      <c r="D5" s="24">
        <f>+'Gs Admin'!D6</f>
        <v>0.2</v>
      </c>
      <c r="E5" s="24">
        <f>+'Gs Admin'!E6</f>
        <v>0.2</v>
      </c>
      <c r="F5" s="24">
        <f>+'Gs Admin'!F6</f>
        <v>0.15</v>
      </c>
      <c r="G5" s="24">
        <f>+'Gs Admin'!G6</f>
        <v>0.15</v>
      </c>
      <c r="H5" s="24">
        <f>+'Gs Admin'!H6</f>
        <v>0.15</v>
      </c>
      <c r="I5" s="24">
        <f>+'Gs Admin'!I6</f>
        <v>0.1</v>
      </c>
      <c r="J5" s="24">
        <f>+'Gs Admin'!J6</f>
        <v>0.1</v>
      </c>
    </row>
    <row r="6" spans="2:11">
      <c r="C6" s="16"/>
      <c r="D6" s="17"/>
      <c r="E6" s="17"/>
      <c r="F6" s="17"/>
      <c r="G6" s="17"/>
      <c r="H6" s="17"/>
      <c r="I6" s="17"/>
      <c r="J6" s="17"/>
    </row>
    <row r="8" spans="2:11">
      <c r="B8" s="10" t="s">
        <v>96</v>
      </c>
      <c r="C8" s="53">
        <f>1000*12</f>
        <v>12000</v>
      </c>
      <c r="D8" s="53">
        <f t="shared" ref="D8:J8" si="0">+C8*1.15</f>
        <v>13799.999999999998</v>
      </c>
      <c r="E8" s="53">
        <f t="shared" si="0"/>
        <v>15869.999999999996</v>
      </c>
      <c r="F8" s="53">
        <f t="shared" si="0"/>
        <v>18250.499999999993</v>
      </c>
      <c r="G8" s="53">
        <f t="shared" si="0"/>
        <v>20988.07499999999</v>
      </c>
      <c r="H8" s="53">
        <f t="shared" si="0"/>
        <v>24136.286249999986</v>
      </c>
      <c r="I8" s="53">
        <f t="shared" si="0"/>
        <v>27756.729187499983</v>
      </c>
      <c r="J8" s="53">
        <f t="shared" si="0"/>
        <v>31920.238565624979</v>
      </c>
    </row>
    <row r="9" spans="2:11">
      <c r="B9" s="50" t="s">
        <v>195</v>
      </c>
      <c r="C9" s="53">
        <f>1200*12</f>
        <v>14400</v>
      </c>
      <c r="D9" s="102">
        <f>+C9*(1+'Demanda Estimada'!D$14)</f>
        <v>17280</v>
      </c>
      <c r="E9" s="102">
        <f>+D9*(1+'Demanda Estimada'!E$14)</f>
        <v>20736</v>
      </c>
      <c r="F9" s="102">
        <f>+E9*(1+'Demanda Estimada'!F$14)</f>
        <v>23846.399999999998</v>
      </c>
      <c r="G9" s="102">
        <f>+F9*(1+'Demanda Estimada'!G$14)</f>
        <v>27423.359999999997</v>
      </c>
      <c r="H9" s="102">
        <f>+G9*(1+'Demanda Estimada'!H$14)</f>
        <v>31536.863999999994</v>
      </c>
      <c r="I9" s="102">
        <f>+H9*(1+'Demanda Estimada'!I$14)</f>
        <v>34690.550399999993</v>
      </c>
      <c r="J9" s="102">
        <f>+I9*(1+'Demanda Estimada'!J$14)</f>
        <v>38159.605439999992</v>
      </c>
    </row>
    <row r="10" spans="2:11">
      <c r="B10" s="185" t="s">
        <v>221</v>
      </c>
      <c r="C10" s="53">
        <f>5000*12</f>
        <v>60000</v>
      </c>
      <c r="D10" s="102">
        <f>+C10*(1+'Demanda Estimada'!D$14)</f>
        <v>72000</v>
      </c>
      <c r="E10" s="102">
        <f>+D10*(1+'Demanda Estimada'!E$14)</f>
        <v>86400</v>
      </c>
      <c r="F10" s="102">
        <f>+E10*(1+'Demanda Estimada'!F$14)</f>
        <v>99359.999999999985</v>
      </c>
      <c r="G10" s="102">
        <f>+F10*(1+'Demanda Estimada'!G$14)</f>
        <v>114263.99999999997</v>
      </c>
      <c r="H10" s="102">
        <f>+G10*(1+'Demanda Estimada'!H$14)</f>
        <v>131403.59999999995</v>
      </c>
      <c r="I10" s="102">
        <f>+H10*(1+'Demanda Estimada'!I$14)</f>
        <v>144543.95999999996</v>
      </c>
      <c r="J10" s="102">
        <f>+I10*(1+'Demanda Estimada'!J$14)</f>
        <v>158998.35599999997</v>
      </c>
    </row>
    <row r="11" spans="2:11">
      <c r="B11" s="185" t="s">
        <v>238</v>
      </c>
      <c r="C11" s="53">
        <v>0</v>
      </c>
      <c r="D11" s="53">
        <v>0</v>
      </c>
      <c r="E11" s="53">
        <v>0</v>
      </c>
      <c r="F11" s="53">
        <v>0</v>
      </c>
      <c r="G11" s="53">
        <v>0</v>
      </c>
      <c r="H11" s="53">
        <v>0</v>
      </c>
      <c r="I11" s="53">
        <v>0</v>
      </c>
      <c r="J11" s="53">
        <v>0</v>
      </c>
    </row>
    <row r="12" spans="2:11">
      <c r="B12" s="185" t="s">
        <v>239</v>
      </c>
      <c r="C12" s="102">
        <f>1000*12</f>
        <v>12000</v>
      </c>
      <c r="D12" s="102">
        <f>+C12*(1+'Demanda Estimada'!D$14)</f>
        <v>14400</v>
      </c>
      <c r="E12" s="102">
        <f>+D12*(1+'Demanda Estimada'!E$14)</f>
        <v>17280</v>
      </c>
      <c r="F12" s="102">
        <f>+E12*(1+'Demanda Estimada'!F$14)</f>
        <v>19872</v>
      </c>
      <c r="G12" s="102">
        <f>+F12*(1+'Demanda Estimada'!G$14)</f>
        <v>22852.799999999999</v>
      </c>
      <c r="H12" s="102">
        <f>+G12*(1+'Demanda Estimada'!H$14)</f>
        <v>26280.719999999998</v>
      </c>
      <c r="I12" s="102">
        <f>+H12*(1+'Demanda Estimada'!I$14)</f>
        <v>28908.792000000001</v>
      </c>
      <c r="J12" s="102">
        <f>+I12*(1+'Demanda Estimada'!J$14)</f>
        <v>31799.671200000004</v>
      </c>
      <c r="K12" s="6"/>
    </row>
    <row r="13" spans="2:11" ht="13.5" thickBot="1">
      <c r="B13" s="50" t="s">
        <v>188</v>
      </c>
      <c r="C13" s="109">
        <f>800*12</f>
        <v>9600</v>
      </c>
      <c r="D13" s="110">
        <f>+C13*(1+'Demanda Estimada'!D$14)</f>
        <v>11520</v>
      </c>
      <c r="E13" s="110">
        <f>+D13*(1+'Demanda Estimada'!E$14)</f>
        <v>13824</v>
      </c>
      <c r="F13" s="110">
        <f>+E13*(1+'Demanda Estimada'!F$14)</f>
        <v>15897.599999999999</v>
      </c>
      <c r="G13" s="110">
        <f>+F13*(1+'Demanda Estimada'!G$14)</f>
        <v>18282.239999999998</v>
      </c>
      <c r="H13" s="110">
        <f>+G13*(1+'Demanda Estimada'!H$14)</f>
        <v>21024.575999999997</v>
      </c>
      <c r="I13" s="110">
        <f>+H13*(1+'Demanda Estimada'!I$14)</f>
        <v>23127.033599999999</v>
      </c>
      <c r="J13" s="110">
        <f>+I13*(1+'Demanda Estimada'!J$14)</f>
        <v>25439.736960000002</v>
      </c>
    </row>
    <row r="14" spans="2:11" ht="13.5" thickBot="1">
      <c r="B14" s="212" t="s">
        <v>262</v>
      </c>
      <c r="C14" s="120">
        <f t="shared" ref="C14:J14" si="1">+SUM(C8:C13)</f>
        <v>108000</v>
      </c>
      <c r="D14" s="121">
        <f t="shared" si="1"/>
        <v>129000</v>
      </c>
      <c r="E14" s="121">
        <f t="shared" si="1"/>
        <v>154110</v>
      </c>
      <c r="F14" s="121">
        <f t="shared" si="1"/>
        <v>177226.49999999997</v>
      </c>
      <c r="G14" s="121">
        <f t="shared" si="1"/>
        <v>203810.47499999992</v>
      </c>
      <c r="H14" s="121">
        <f t="shared" si="1"/>
        <v>234382.04624999993</v>
      </c>
      <c r="I14" s="121">
        <f t="shared" si="1"/>
        <v>259027.06518749995</v>
      </c>
      <c r="J14" s="122">
        <f t="shared" si="1"/>
        <v>286317.60816562496</v>
      </c>
    </row>
    <row r="15" spans="2:11" ht="13.5" thickBot="1">
      <c r="B15" s="50" t="s">
        <v>198</v>
      </c>
      <c r="C15" s="116">
        <v>14.3</v>
      </c>
      <c r="D15" s="116">
        <f>C15*(1.1)</f>
        <v>15.730000000000002</v>
      </c>
      <c r="E15" s="116">
        <f>D15*(1.1)</f>
        <v>17.303000000000004</v>
      </c>
      <c r="F15" s="116">
        <f t="shared" ref="F15:J15" si="2">E15*(1.1)</f>
        <v>19.033300000000008</v>
      </c>
      <c r="G15" s="116">
        <f t="shared" si="2"/>
        <v>20.936630000000012</v>
      </c>
      <c r="H15" s="116">
        <f t="shared" si="2"/>
        <v>23.030293000000015</v>
      </c>
      <c r="I15" s="116">
        <f t="shared" si="2"/>
        <v>25.333322300000017</v>
      </c>
      <c r="J15" s="116">
        <f t="shared" si="2"/>
        <v>27.866654530000019</v>
      </c>
    </row>
    <row r="16" spans="2:11" ht="13.5" thickBot="1">
      <c r="B16" s="212" t="s">
        <v>261</v>
      </c>
      <c r="C16" s="117">
        <f t="shared" ref="C16:H16" si="3">+C14/C15</f>
        <v>7552.447552447552</v>
      </c>
      <c r="D16" s="118">
        <f t="shared" si="3"/>
        <v>8200.8900190718359</v>
      </c>
      <c r="E16" s="118">
        <f t="shared" si="3"/>
        <v>8906.5479974570862</v>
      </c>
      <c r="F16" s="118">
        <f t="shared" si="3"/>
        <v>9311.3910882505879</v>
      </c>
      <c r="G16" s="118">
        <f t="shared" si="3"/>
        <v>9734.6361377165194</v>
      </c>
      <c r="H16" s="118">
        <f t="shared" si="3"/>
        <v>10177.119598521815</v>
      </c>
      <c r="I16" s="118">
        <f>+I14/I15</f>
        <v>10224.757026341538</v>
      </c>
      <c r="J16" s="119">
        <f>+J14/J15</f>
        <v>10274.55979178943</v>
      </c>
    </row>
  </sheetData>
  <phoneticPr fontId="2" type="noConversion"/>
  <pageMargins left="0.75" right="0.75" top="0.42" bottom="0.5" header="0.5" footer="0.5"/>
  <pageSetup scale="6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2:J24"/>
  <sheetViews>
    <sheetView showGridLines="0" workbookViewId="0">
      <selection sqref="A1:XFD1"/>
    </sheetView>
  </sheetViews>
  <sheetFormatPr defaultColWidth="9.140625" defaultRowHeight="12.75"/>
  <cols>
    <col min="2" max="2" width="32.42578125" customWidth="1"/>
    <col min="3" max="3" width="9.28515625" bestFit="1" customWidth="1"/>
  </cols>
  <sheetData>
    <row r="2" spans="2:10">
      <c r="B2" s="18" t="s">
        <v>231</v>
      </c>
    </row>
    <row r="4" spans="2:10">
      <c r="C4" s="1" t="s">
        <v>249</v>
      </c>
      <c r="D4" s="1" t="s">
        <v>250</v>
      </c>
      <c r="E4" s="1" t="s">
        <v>251</v>
      </c>
      <c r="F4" s="1" t="s">
        <v>252</v>
      </c>
      <c r="G4" s="1" t="s">
        <v>253</v>
      </c>
      <c r="H4" s="30" t="s">
        <v>254</v>
      </c>
      <c r="I4" s="30" t="s">
        <v>255</v>
      </c>
      <c r="J4" s="189" t="s">
        <v>256</v>
      </c>
    </row>
    <row r="5" spans="2:10">
      <c r="B5" t="s">
        <v>5</v>
      </c>
      <c r="C5" s="115">
        <f>+'Gs Gerenciales'!C5</f>
        <v>0</v>
      </c>
      <c r="D5" s="115">
        <f>+'Gs Gerenciales'!D5</f>
        <v>0.2</v>
      </c>
      <c r="E5" s="115">
        <f>+'Gs Gerenciales'!E5</f>
        <v>0.2</v>
      </c>
      <c r="F5" s="115">
        <f>+'Gs Gerenciales'!F5</f>
        <v>0.15</v>
      </c>
      <c r="G5" s="115">
        <f>+'Gs Gerenciales'!G5</f>
        <v>0.15</v>
      </c>
      <c r="H5" s="115">
        <f>+'Gs Gerenciales'!H5</f>
        <v>0.15</v>
      </c>
      <c r="I5" s="115">
        <f>+'Gs Gerenciales'!I5</f>
        <v>0.1</v>
      </c>
      <c r="J5" s="115">
        <f>+'Gs Gerenciales'!J5</f>
        <v>0.1</v>
      </c>
    </row>
    <row r="6" spans="2:10">
      <c r="C6" s="10"/>
      <c r="D6" s="10"/>
      <c r="E6" s="10"/>
      <c r="F6" s="10"/>
      <c r="G6" s="10"/>
      <c r="H6" s="10"/>
      <c r="I6" s="10"/>
      <c r="J6" s="10"/>
    </row>
    <row r="7" spans="2:10">
      <c r="B7" t="s">
        <v>115</v>
      </c>
      <c r="C7" s="123">
        <v>2000</v>
      </c>
      <c r="D7" s="51"/>
      <c r="E7" s="51"/>
      <c r="F7" s="51"/>
      <c r="G7" s="51"/>
      <c r="H7" s="51"/>
      <c r="I7" s="51"/>
      <c r="J7" s="51"/>
    </row>
    <row r="8" spans="2:10">
      <c r="B8" t="s">
        <v>232</v>
      </c>
      <c r="C8" s="123">
        <v>1000</v>
      </c>
      <c r="D8" s="51"/>
      <c r="E8" s="51"/>
      <c r="F8" s="51"/>
      <c r="G8" s="51"/>
      <c r="H8" s="51"/>
      <c r="I8" s="51"/>
      <c r="J8" s="51"/>
    </row>
    <row r="9" spans="2:10">
      <c r="B9" t="s">
        <v>110</v>
      </c>
      <c r="C9" s="94">
        <v>480</v>
      </c>
      <c r="D9" s="94"/>
      <c r="E9" s="94"/>
      <c r="F9" s="51"/>
      <c r="G9" s="51"/>
      <c r="H9" s="51"/>
      <c r="I9" s="51"/>
      <c r="J9" s="51"/>
    </row>
    <row r="10" spans="2:10">
      <c r="B10" t="s">
        <v>180</v>
      </c>
      <c r="C10" s="94">
        <v>12000</v>
      </c>
      <c r="D10" s="94"/>
      <c r="E10" s="94"/>
      <c r="F10" s="51"/>
      <c r="G10" s="51"/>
      <c r="H10" s="51"/>
      <c r="I10" s="51"/>
      <c r="J10" s="51"/>
    </row>
    <row r="11" spans="2:10">
      <c r="B11" t="s">
        <v>111</v>
      </c>
      <c r="C11" s="94">
        <v>1000</v>
      </c>
      <c r="D11" s="94"/>
      <c r="E11" s="94"/>
      <c r="F11" s="51"/>
      <c r="G11" s="51"/>
      <c r="H11" s="51"/>
      <c r="I11" s="51"/>
      <c r="J11" s="51"/>
    </row>
    <row r="12" spans="2:10">
      <c r="B12" t="s">
        <v>112</v>
      </c>
      <c r="C12" s="94">
        <v>2500</v>
      </c>
      <c r="D12" s="94"/>
      <c r="E12" s="94"/>
      <c r="F12" s="51"/>
      <c r="G12" s="51"/>
      <c r="H12" s="51"/>
      <c r="I12" s="51"/>
      <c r="J12" s="51"/>
    </row>
    <row r="13" spans="2:10">
      <c r="B13" t="s">
        <v>113</v>
      </c>
      <c r="C13" s="94">
        <v>500</v>
      </c>
      <c r="D13" s="94"/>
      <c r="E13" s="94"/>
      <c r="F13" s="51"/>
      <c r="G13" s="51"/>
      <c r="H13" s="51"/>
      <c r="I13" s="51"/>
      <c r="J13" s="51"/>
    </row>
    <row r="14" spans="2:10">
      <c r="B14" t="s">
        <v>114</v>
      </c>
      <c r="C14" s="94">
        <v>1000</v>
      </c>
      <c r="D14" s="94"/>
      <c r="E14" s="94"/>
      <c r="F14" s="51"/>
      <c r="G14" s="51"/>
      <c r="H14" s="51"/>
      <c r="I14" s="51"/>
      <c r="J14" s="51"/>
    </row>
    <row r="15" spans="2:10">
      <c r="B15" s="25" t="s">
        <v>234</v>
      </c>
      <c r="C15" s="94">
        <v>5000</v>
      </c>
      <c r="D15" s="94"/>
      <c r="E15" s="94"/>
      <c r="F15" s="51"/>
      <c r="G15" s="51"/>
      <c r="H15" s="51"/>
      <c r="I15" s="51"/>
      <c r="J15" s="51"/>
    </row>
    <row r="16" spans="2:10">
      <c r="B16" s="25" t="s">
        <v>233</v>
      </c>
      <c r="C16" s="94">
        <v>6000</v>
      </c>
      <c r="D16" s="94"/>
      <c r="E16" s="94"/>
      <c r="F16" s="51"/>
      <c r="G16" s="51"/>
      <c r="H16" s="51"/>
      <c r="I16" s="51"/>
      <c r="J16" s="51"/>
    </row>
    <row r="17" spans="2:10">
      <c r="B17" s="6" t="s">
        <v>203</v>
      </c>
      <c r="C17" s="94">
        <v>0</v>
      </c>
      <c r="D17" s="94">
        <v>30000</v>
      </c>
      <c r="E17" s="94"/>
      <c r="F17" s="51"/>
      <c r="G17" s="51"/>
      <c r="H17" s="51"/>
      <c r="I17" s="51"/>
      <c r="J17" s="51"/>
    </row>
    <row r="18" spans="2:10">
      <c r="B18" s="25" t="s">
        <v>235</v>
      </c>
      <c r="C18" s="94">
        <v>2000</v>
      </c>
      <c r="D18" s="94"/>
      <c r="E18" s="94"/>
      <c r="F18" s="94"/>
      <c r="G18" s="94"/>
      <c r="H18" s="94"/>
      <c r="I18" s="94"/>
      <c r="J18" s="94"/>
    </row>
    <row r="19" spans="2:10">
      <c r="B19" s="6" t="s">
        <v>187</v>
      </c>
      <c r="C19" s="94">
        <v>36000</v>
      </c>
      <c r="D19" s="94">
        <f>3000*(1+D5)*12</f>
        <v>43200</v>
      </c>
      <c r="E19" s="94">
        <f t="shared" ref="E19:J19" si="0">D19*(1+E5)</f>
        <v>51840</v>
      </c>
      <c r="F19" s="94">
        <f t="shared" si="0"/>
        <v>59615.999999999993</v>
      </c>
      <c r="G19" s="94">
        <f t="shared" si="0"/>
        <v>68558.39999999998</v>
      </c>
      <c r="H19" s="94">
        <f t="shared" si="0"/>
        <v>78842.159999999974</v>
      </c>
      <c r="I19" s="94">
        <f t="shared" si="0"/>
        <v>86726.375999999975</v>
      </c>
      <c r="J19" s="94">
        <f t="shared" si="0"/>
        <v>95399.013599999977</v>
      </c>
    </row>
    <row r="20" spans="2:10">
      <c r="B20" s="6" t="s">
        <v>186</v>
      </c>
      <c r="C20" s="94">
        <v>36000</v>
      </c>
      <c r="D20" s="94">
        <f>3000*(1+D6)*12</f>
        <v>36000</v>
      </c>
      <c r="E20" s="94">
        <f t="shared" ref="E20:J20" si="1">D20*(1+E5)</f>
        <v>43200</v>
      </c>
      <c r="F20" s="94">
        <f t="shared" si="1"/>
        <v>49679.999999999993</v>
      </c>
      <c r="G20" s="94">
        <f t="shared" si="1"/>
        <v>57131.999999999985</v>
      </c>
      <c r="H20" s="94">
        <f t="shared" si="1"/>
        <v>65701.799999999974</v>
      </c>
      <c r="I20" s="94">
        <f t="shared" si="1"/>
        <v>72271.979999999981</v>
      </c>
      <c r="J20" s="94">
        <f t="shared" si="1"/>
        <v>79499.177999999985</v>
      </c>
    </row>
    <row r="21" spans="2:10" ht="13.5" thickBot="1">
      <c r="C21" s="34"/>
      <c r="D21" s="34"/>
      <c r="E21" s="34"/>
      <c r="F21" s="34"/>
      <c r="G21" s="34"/>
      <c r="H21" s="34"/>
      <c r="I21" s="34"/>
      <c r="J21" s="34"/>
    </row>
    <row r="22" spans="2:10" ht="13.5" thickBot="1">
      <c r="B22" s="25" t="s">
        <v>278</v>
      </c>
      <c r="C22" s="112">
        <f t="shared" ref="C22:J22" si="2">SUM(C6:C21)</f>
        <v>105480</v>
      </c>
      <c r="D22" s="113">
        <f t="shared" si="2"/>
        <v>109200</v>
      </c>
      <c r="E22" s="113">
        <f t="shared" si="2"/>
        <v>95040</v>
      </c>
      <c r="F22" s="113">
        <f t="shared" si="2"/>
        <v>109295.99999999999</v>
      </c>
      <c r="G22" s="113">
        <f t="shared" si="2"/>
        <v>125690.39999999997</v>
      </c>
      <c r="H22" s="113">
        <f t="shared" si="2"/>
        <v>144543.95999999996</v>
      </c>
      <c r="I22" s="113">
        <f t="shared" si="2"/>
        <v>158998.35599999997</v>
      </c>
      <c r="J22" s="114">
        <f t="shared" si="2"/>
        <v>174898.19159999996</v>
      </c>
    </row>
    <row r="23" spans="2:10" ht="13.5" thickBot="1">
      <c r="B23" s="128" t="s">
        <v>198</v>
      </c>
      <c r="C23" s="127">
        <f>+'Gs Gerenciales'!C22</f>
        <v>14.3</v>
      </c>
      <c r="D23" s="116">
        <f>+'Gs Gerenciales'!D22</f>
        <v>15.730000000000002</v>
      </c>
      <c r="E23" s="116">
        <f>+'Gs Gerenciales'!E22</f>
        <v>17.303000000000004</v>
      </c>
      <c r="F23" s="116">
        <f>+'Gs Gerenciales'!F22</f>
        <v>19.033300000000008</v>
      </c>
      <c r="G23" s="116">
        <f>+'Gs Gerenciales'!G22</f>
        <v>20.936630000000012</v>
      </c>
      <c r="H23" s="116">
        <f>+'Gs Gerenciales'!H22</f>
        <v>23.030293000000015</v>
      </c>
      <c r="I23" s="116">
        <f>+'Gs Gerenciales'!I22</f>
        <v>25.333322300000017</v>
      </c>
      <c r="J23" s="116">
        <f>+'Gs Gerenciales'!J22</f>
        <v>27.866654530000019</v>
      </c>
    </row>
    <row r="24" spans="2:10" ht="13.5" thickBot="1">
      <c r="B24" s="25" t="s">
        <v>279</v>
      </c>
      <c r="C24" s="124">
        <f t="shared" ref="C24:H24" si="3">+C22/C23</f>
        <v>7376.2237762237755</v>
      </c>
      <c r="D24" s="125">
        <f t="shared" si="3"/>
        <v>6942.1487603305777</v>
      </c>
      <c r="E24" s="125">
        <f t="shared" si="3"/>
        <v>5492.6891290527637</v>
      </c>
      <c r="F24" s="125">
        <f t="shared" si="3"/>
        <v>5742.3568167369785</v>
      </c>
      <c r="G24" s="125">
        <f t="shared" si="3"/>
        <v>6003.3730356795668</v>
      </c>
      <c r="H24" s="125">
        <f t="shared" si="3"/>
        <v>6276.2536282104566</v>
      </c>
      <c r="I24" s="125">
        <f>+I22/I23</f>
        <v>6276.2536282104566</v>
      </c>
      <c r="J24" s="126">
        <f>+J22/J23</f>
        <v>6276.2536282104556</v>
      </c>
    </row>
  </sheetData>
  <phoneticPr fontId="2" type="noConversion"/>
  <pageMargins left="0.75" right="0.75" top="0.42" bottom="0.5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B1:K22"/>
  <sheetViews>
    <sheetView showGridLines="0" zoomScaleNormal="100" workbookViewId="0">
      <selection activeCell="B19" sqref="B19"/>
    </sheetView>
  </sheetViews>
  <sheetFormatPr defaultColWidth="9.140625" defaultRowHeight="12.75"/>
  <cols>
    <col min="2" max="2" width="41.5703125" customWidth="1"/>
    <col min="3" max="3" width="18.7109375" bestFit="1" customWidth="1"/>
    <col min="4" max="6" width="17" bestFit="1" customWidth="1"/>
    <col min="7" max="8" width="18" bestFit="1" customWidth="1"/>
    <col min="9" max="10" width="18.7109375" bestFit="1" customWidth="1"/>
  </cols>
  <sheetData>
    <row r="1" spans="2:11">
      <c r="K1" s="6"/>
    </row>
    <row r="2" spans="2:11">
      <c r="B2" s="10"/>
      <c r="C2" s="28" t="str">
        <f>+'Cashflow proyectado en %'!D5</f>
        <v>Año 1</v>
      </c>
      <c r="D2" s="28" t="str">
        <f>+'Cashflow proyectado en %'!E5</f>
        <v>Año 2</v>
      </c>
      <c r="E2" s="28" t="str">
        <f>+'Cashflow proyectado en %'!F5</f>
        <v>Año 3</v>
      </c>
      <c r="F2" s="28" t="str">
        <f>+'Cashflow proyectado en %'!G5</f>
        <v>Año 4</v>
      </c>
      <c r="G2" s="28" t="str">
        <f>+'Cashflow proyectado en %'!H5</f>
        <v>Año 5</v>
      </c>
      <c r="H2" s="28" t="str">
        <f>+'Cashflow proyectado en %'!I5</f>
        <v>Año 6</v>
      </c>
      <c r="I2" s="28" t="str">
        <f>+'Cashflow proyectado en %'!J5</f>
        <v>Año 7</v>
      </c>
      <c r="J2" s="28" t="str">
        <f>+'Cashflow proyectado en %'!K5</f>
        <v>Año 8</v>
      </c>
    </row>
    <row r="3" spans="2:11" ht="13.5" thickBot="1">
      <c r="B3" s="92" t="s">
        <v>192</v>
      </c>
      <c r="C3" s="51">
        <f>+'Demanda Estimada'!C3</f>
        <v>22560</v>
      </c>
      <c r="D3" s="51">
        <f>+'Demanda Estimada'!D3</f>
        <v>24816</v>
      </c>
      <c r="E3" s="51">
        <f>+'Demanda Estimada'!E3</f>
        <v>27297.600000000002</v>
      </c>
      <c r="F3" s="51">
        <f>+'Demanda Estimada'!F3</f>
        <v>30027.360000000001</v>
      </c>
      <c r="G3" s="51">
        <f>+'Demanda Estimada'!G3</f>
        <v>33030.096000000005</v>
      </c>
      <c r="H3" s="51">
        <f>+'Demanda Estimada'!H3</f>
        <v>36333.10560000001</v>
      </c>
      <c r="I3" s="51">
        <f>+'Demanda Estimada'!I3</f>
        <v>39966.416160000008</v>
      </c>
      <c r="J3" s="51">
        <f>+'Demanda Estimada'!J3</f>
        <v>43963.057776000016</v>
      </c>
    </row>
    <row r="4" spans="2:11" ht="13.5" thickBot="1">
      <c r="B4" s="85" t="s">
        <v>199</v>
      </c>
      <c r="C4" s="87">
        <f>C17*$B$18</f>
        <v>22560</v>
      </c>
      <c r="D4" s="88">
        <f t="shared" ref="D4:J4" si="0">D17*$B$18</f>
        <v>24816</v>
      </c>
      <c r="E4" s="88">
        <f t="shared" si="0"/>
        <v>27297.600000000002</v>
      </c>
      <c r="F4" s="88">
        <f t="shared" si="0"/>
        <v>30027.360000000001</v>
      </c>
      <c r="G4" s="88">
        <f t="shared" si="0"/>
        <v>33030.096000000005</v>
      </c>
      <c r="H4" s="88">
        <f t="shared" si="0"/>
        <v>36333.10560000001</v>
      </c>
      <c r="I4" s="88">
        <f t="shared" si="0"/>
        <v>39966.416160000008</v>
      </c>
      <c r="J4" s="89">
        <f t="shared" si="0"/>
        <v>43963.057776000016</v>
      </c>
      <c r="K4" s="81"/>
    </row>
    <row r="5" spans="2:11" ht="13.5" thickBot="1">
      <c r="B5" s="10" t="s">
        <v>190</v>
      </c>
      <c r="C5" s="90">
        <f>C4/$B$18</f>
        <v>1880</v>
      </c>
      <c r="D5" s="90">
        <f t="shared" ref="D5:J5" si="1">D4/$B$18</f>
        <v>2068</v>
      </c>
      <c r="E5" s="90">
        <f t="shared" si="1"/>
        <v>2274.8000000000002</v>
      </c>
      <c r="F5" s="90">
        <f t="shared" si="1"/>
        <v>2502.2800000000002</v>
      </c>
      <c r="G5" s="90">
        <f t="shared" si="1"/>
        <v>2752.5080000000003</v>
      </c>
      <c r="H5" s="90">
        <f t="shared" si="1"/>
        <v>3027.758800000001</v>
      </c>
      <c r="I5" s="90">
        <f t="shared" si="1"/>
        <v>3330.5346800000007</v>
      </c>
      <c r="J5" s="90">
        <f t="shared" si="1"/>
        <v>3663.5881480000012</v>
      </c>
      <c r="K5" s="81"/>
    </row>
    <row r="6" spans="2:11" ht="13.5" thickBot="1">
      <c r="B6" s="103" t="s">
        <v>201</v>
      </c>
      <c r="C6" s="87">
        <v>120000</v>
      </c>
      <c r="D6" s="88">
        <f>C6*(1+'Demanda Estimada'!D$15)</f>
        <v>153600</v>
      </c>
      <c r="E6" s="88">
        <f>D6*(1+'Demanda Estimada'!E$15)</f>
        <v>187392</v>
      </c>
      <c r="F6" s="88">
        <f>E6*(1+'Demanda Estimada'!F$15)</f>
        <v>215500.79999999999</v>
      </c>
      <c r="G6" s="88">
        <f>F6*(1+'Demanda Estimada'!G$15)</f>
        <v>247825.91999999995</v>
      </c>
      <c r="H6" s="88">
        <f>G6*(1+'Demanda Estimada'!H$15)</f>
        <v>277565.03039999999</v>
      </c>
      <c r="I6" s="88">
        <f>H6*(1+'Demanda Estimada'!I$15)</f>
        <v>305321.53344000003</v>
      </c>
      <c r="J6" s="89">
        <f>I6*(1+'Demanda Estimada'!J$15)</f>
        <v>329747.25611520006</v>
      </c>
      <c r="K6" s="81"/>
    </row>
    <row r="7" spans="2:11" ht="13.5" thickBot="1">
      <c r="B7" s="8" t="s">
        <v>191</v>
      </c>
      <c r="C7" s="87">
        <v>7</v>
      </c>
      <c r="D7" s="88">
        <v>12</v>
      </c>
      <c r="E7" s="88">
        <v>20</v>
      </c>
      <c r="F7" s="88">
        <v>30</v>
      </c>
      <c r="G7" s="88">
        <v>40</v>
      </c>
      <c r="H7" s="88">
        <v>55</v>
      </c>
      <c r="I7" s="88">
        <v>70</v>
      </c>
      <c r="J7" s="89">
        <v>90</v>
      </c>
      <c r="K7" s="81"/>
    </row>
    <row r="8" spans="2:11" ht="13.5" thickBot="1">
      <c r="B8" s="104" t="s">
        <v>202</v>
      </c>
      <c r="C8" s="105">
        <f t="shared" ref="C8:I8" si="2">C7*C6</f>
        <v>840000</v>
      </c>
      <c r="D8" s="106">
        <f t="shared" si="2"/>
        <v>1843200</v>
      </c>
      <c r="E8" s="106">
        <f t="shared" si="2"/>
        <v>3747840</v>
      </c>
      <c r="F8" s="106">
        <f t="shared" si="2"/>
        <v>6465024</v>
      </c>
      <c r="G8" s="106">
        <f t="shared" si="2"/>
        <v>9913036.7999999989</v>
      </c>
      <c r="H8" s="106">
        <f t="shared" si="2"/>
        <v>15266076.672</v>
      </c>
      <c r="I8" s="106">
        <f t="shared" si="2"/>
        <v>21372507.340800002</v>
      </c>
      <c r="J8" s="107">
        <f>J7*J6</f>
        <v>29677253.050368004</v>
      </c>
      <c r="K8" s="81"/>
    </row>
    <row r="9" spans="2:11" ht="13.5" thickBot="1">
      <c r="B9" s="212" t="s">
        <v>219</v>
      </c>
      <c r="C9" s="87">
        <v>1</v>
      </c>
      <c r="D9" s="88">
        <f>C9*(1+'Demanda Estimada'!D$15)</f>
        <v>1.28</v>
      </c>
      <c r="E9" s="88">
        <f>D9*(1+'Demanda Estimada'!E$15)</f>
        <v>1.5616000000000001</v>
      </c>
      <c r="F9" s="88">
        <f>E9*(1+'Demanda Estimada'!F$15)</f>
        <v>1.7958399999999999</v>
      </c>
      <c r="G9" s="88">
        <f>F9*(1+'Demanda Estimada'!G$15)</f>
        <v>2.0652159999999995</v>
      </c>
      <c r="H9" s="88">
        <f>G9*(1+'Demanda Estimada'!H$15)</f>
        <v>2.3130419199999999</v>
      </c>
      <c r="I9" s="88">
        <f>H9*(1+'Demanda Estimada'!I$15)</f>
        <v>2.5443461119999999</v>
      </c>
      <c r="J9" s="89">
        <f>I9*(1+'Demanda Estimada'!J$15)</f>
        <v>2.74789380096</v>
      </c>
      <c r="K9" s="81"/>
    </row>
    <row r="10" spans="2:11">
      <c r="B10" s="185" t="s">
        <v>210</v>
      </c>
      <c r="C10" s="86">
        <f>C5*C9</f>
        <v>1880</v>
      </c>
      <c r="D10" s="86">
        <f t="shared" ref="D10:J10" si="3">D5*D9</f>
        <v>2647.04</v>
      </c>
      <c r="E10" s="86">
        <f t="shared" si="3"/>
        <v>3552.3276800000003</v>
      </c>
      <c r="F10" s="86">
        <f t="shared" si="3"/>
        <v>4493.6945151999998</v>
      </c>
      <c r="G10" s="86">
        <f t="shared" si="3"/>
        <v>5684.5235617279995</v>
      </c>
      <c r="H10" s="86">
        <f t="shared" si="3"/>
        <v>7003.3330280488981</v>
      </c>
      <c r="I10" s="86">
        <f t="shared" si="3"/>
        <v>8474.0329639391657</v>
      </c>
      <c r="J10" s="86">
        <f t="shared" si="3"/>
        <v>10067.151161159731</v>
      </c>
      <c r="K10" s="81"/>
    </row>
    <row r="11" spans="2:11" ht="13.5" customHeight="1">
      <c r="B11" s="50"/>
      <c r="C11" s="80"/>
      <c r="D11" s="80"/>
      <c r="E11" s="80"/>
      <c r="F11" s="80"/>
      <c r="G11" s="80"/>
      <c r="H11" s="80"/>
      <c r="I11" s="80"/>
      <c r="J11" s="80"/>
      <c r="K11" s="81"/>
    </row>
    <row r="12" spans="2:11" ht="13.5" thickBot="1">
      <c r="B12" s="50"/>
      <c r="C12" s="91"/>
      <c r="D12" s="91"/>
      <c r="E12" s="91"/>
      <c r="F12" s="91"/>
      <c r="G12" s="91"/>
      <c r="H12" s="91"/>
      <c r="I12" s="91"/>
      <c r="J12" s="91"/>
      <c r="K12" s="81"/>
    </row>
    <row r="13" spans="2:11" ht="13.5" thickBot="1">
      <c r="B13" s="104" t="s">
        <v>204</v>
      </c>
      <c r="C13" s="151">
        <f t="shared" ref="C13:J13" si="4">+C4*C9+C8</f>
        <v>862560</v>
      </c>
      <c r="D13" s="152">
        <f t="shared" si="4"/>
        <v>1874964.48</v>
      </c>
      <c r="E13" s="152">
        <f t="shared" si="4"/>
        <v>3790467.9321599999</v>
      </c>
      <c r="F13" s="152">
        <f t="shared" si="4"/>
        <v>6518948.3341824003</v>
      </c>
      <c r="G13" s="152">
        <f t="shared" si="4"/>
        <v>9981251.0827407353</v>
      </c>
      <c r="H13" s="152">
        <f t="shared" si="4"/>
        <v>15350116.668336587</v>
      </c>
      <c r="I13" s="152">
        <f t="shared" si="4"/>
        <v>21474195.73636727</v>
      </c>
      <c r="J13" s="153">
        <f t="shared" si="4"/>
        <v>29798058.86430192</v>
      </c>
      <c r="K13" s="81"/>
    </row>
    <row r="14" spans="2:11" ht="13.5" thickBot="1">
      <c r="B14" s="50" t="s">
        <v>198</v>
      </c>
      <c r="C14" s="116">
        <v>14.3</v>
      </c>
      <c r="D14" s="116">
        <f>C14*(1.1)</f>
        <v>15.730000000000002</v>
      </c>
      <c r="E14" s="116">
        <f>D14*(1.1)</f>
        <v>17.303000000000004</v>
      </c>
      <c r="F14" s="116">
        <f t="shared" ref="F14:J14" si="5">E14*(1.1)</f>
        <v>19.033300000000008</v>
      </c>
      <c r="G14" s="116">
        <f t="shared" si="5"/>
        <v>20.936630000000012</v>
      </c>
      <c r="H14" s="116">
        <f t="shared" si="5"/>
        <v>23.030293000000015</v>
      </c>
      <c r="I14" s="116">
        <f t="shared" si="5"/>
        <v>25.333322300000017</v>
      </c>
      <c r="J14" s="116">
        <f t="shared" si="5"/>
        <v>27.866654530000019</v>
      </c>
      <c r="K14" s="81"/>
    </row>
    <row r="15" spans="2:11" ht="13.5" thickBot="1">
      <c r="B15" s="85" t="s">
        <v>181</v>
      </c>
      <c r="C15" s="154">
        <f t="shared" ref="C15:J15" si="6">C13/C14</f>
        <v>60318.881118881116</v>
      </c>
      <c r="D15" s="155">
        <f t="shared" si="6"/>
        <v>119196.72472981561</v>
      </c>
      <c r="E15" s="155">
        <f t="shared" si="6"/>
        <v>219064.20459804652</v>
      </c>
      <c r="F15" s="155">
        <f t="shared" si="6"/>
        <v>342502.26362125314</v>
      </c>
      <c r="G15" s="155">
        <f t="shared" si="6"/>
        <v>476736.27908315376</v>
      </c>
      <c r="H15" s="155">
        <f t="shared" si="6"/>
        <v>666518.51404307259</v>
      </c>
      <c r="I15" s="155">
        <f t="shared" si="6"/>
        <v>847665.99035323749</v>
      </c>
      <c r="J15" s="156">
        <f t="shared" si="6"/>
        <v>1069308.7981631465</v>
      </c>
      <c r="K15" s="81"/>
    </row>
    <row r="16" spans="2:11">
      <c r="C16" s="81"/>
      <c r="D16" s="81"/>
      <c r="E16" s="81"/>
      <c r="F16" s="81"/>
      <c r="G16" s="81"/>
      <c r="H16" s="81"/>
      <c r="I16" s="81"/>
      <c r="J16" s="81"/>
      <c r="K16" s="81"/>
    </row>
    <row r="17" spans="2:11">
      <c r="B17" t="s">
        <v>189</v>
      </c>
      <c r="C17" s="81">
        <v>1880</v>
      </c>
      <c r="D17" s="81">
        <f>C17*1.1</f>
        <v>2068</v>
      </c>
      <c r="E17" s="81">
        <f t="shared" ref="E17:J17" si="7">D17*1.1</f>
        <v>2274.8000000000002</v>
      </c>
      <c r="F17" s="81">
        <f t="shared" si="7"/>
        <v>2502.2800000000002</v>
      </c>
      <c r="G17" s="81">
        <f t="shared" si="7"/>
        <v>2752.5080000000003</v>
      </c>
      <c r="H17" s="81">
        <f t="shared" si="7"/>
        <v>3027.7588000000005</v>
      </c>
      <c r="I17" s="81">
        <f t="shared" si="7"/>
        <v>3330.5346800000007</v>
      </c>
      <c r="J17" s="81">
        <f t="shared" si="7"/>
        <v>3663.5881480000012</v>
      </c>
      <c r="K17" s="81"/>
    </row>
    <row r="18" spans="2:11">
      <c r="B18" s="10">
        <v>12</v>
      </c>
      <c r="C18" s="81"/>
      <c r="D18" s="81"/>
      <c r="E18" s="81"/>
      <c r="F18" s="81"/>
      <c r="G18" s="81"/>
      <c r="H18" s="81"/>
      <c r="I18" s="81"/>
      <c r="J18" s="81"/>
      <c r="K18" s="81"/>
    </row>
    <row r="19" spans="2:11">
      <c r="C19" s="81"/>
      <c r="D19" s="81"/>
      <c r="E19" s="81"/>
      <c r="F19" s="81"/>
      <c r="G19" s="81"/>
      <c r="H19" s="81"/>
      <c r="I19" s="81"/>
      <c r="J19" s="81"/>
      <c r="K19" s="81"/>
    </row>
    <row r="20" spans="2:11">
      <c r="C20" s="81"/>
      <c r="D20" s="81"/>
      <c r="E20" s="81"/>
      <c r="F20" s="81"/>
      <c r="G20" s="81"/>
      <c r="H20" s="81"/>
      <c r="I20" s="81"/>
      <c r="J20" s="81"/>
      <c r="K20" s="81"/>
    </row>
    <row r="21" spans="2:11">
      <c r="C21" s="81"/>
      <c r="D21" s="81"/>
      <c r="E21" s="81"/>
      <c r="F21" s="81"/>
      <c r="G21" s="81"/>
      <c r="H21" s="81"/>
      <c r="I21" s="81"/>
      <c r="J21" s="81"/>
      <c r="K21" s="81"/>
    </row>
    <row r="22" spans="2:11">
      <c r="C22" s="81"/>
      <c r="D22" s="81"/>
      <c r="E22" s="81"/>
      <c r="F22" s="81"/>
      <c r="G22" s="81"/>
      <c r="H22" s="81"/>
      <c r="I22" s="81"/>
      <c r="J22" s="81"/>
      <c r="K22" s="8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Cashflow proyectado Resumen</vt:lpstr>
      <vt:lpstr>Cashflow proyectado en %</vt:lpstr>
      <vt:lpstr>Costo variable</vt:lpstr>
      <vt:lpstr>Costos de Ocupacion</vt:lpstr>
      <vt:lpstr>Gs Gerenciales</vt:lpstr>
      <vt:lpstr>Gs Admin</vt:lpstr>
      <vt:lpstr>Gs Mktg</vt:lpstr>
      <vt:lpstr>Operaciones (Gs Generales)</vt:lpstr>
      <vt:lpstr>Modelo de Negocio</vt:lpstr>
      <vt:lpstr>Demanda Estimada</vt:lpstr>
      <vt:lpstr>Calculo</vt:lpstr>
      <vt:lpstr>Valuation Parameters US</vt:lpstr>
    </vt:vector>
  </TitlesOfParts>
  <Company>Darden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JGF</dc:creator>
  <cp:lastModifiedBy>jgonzalez1</cp:lastModifiedBy>
  <cp:lastPrinted>2014-01-31T19:02:54Z</cp:lastPrinted>
  <dcterms:created xsi:type="dcterms:W3CDTF">2009-06-01T13:03:30Z</dcterms:created>
  <dcterms:modified xsi:type="dcterms:W3CDTF">2016-06-29T23:10:46Z</dcterms:modified>
</cp:coreProperties>
</file>