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omments10.xml" ContentType="application/vnd.openxmlformats-officedocument.spreadsheetml.comments+xml"/>
  <Override PartName="/xl/charts/chart12.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Default Extension="emf" ContentType="image/x-emf"/>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embeddings/oleObject1.bin" ContentType="application/vnd.openxmlformats-officedocument.oleObject"/>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mbeddings/oleObject2.bin" ContentType="application/vnd.openxmlformats-officedocument.oleObject"/>
  <Override PartName="/xl/drawings/drawing15.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drawings/drawing16.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15480" windowHeight="3630" tabRatio="798" firstSheet="7" activeTab="8"/>
  </bookViews>
  <sheets>
    <sheet name="Cpte exploitation ARG" sheetId="31405" state="hidden" r:id="rId1"/>
    <sheet name="Cuadro de Resultados" sheetId="31406" r:id="rId2"/>
    <sheet name="Cta explotacion OVL" sheetId="31407" state="hidden" r:id="rId3"/>
    <sheet name="Cta explotacion OVS" sheetId="31408" state="hidden" r:id="rId4"/>
    <sheet name="Análisis financiero" sheetId="31409" r:id="rId5"/>
    <sheet name="Resumen" sheetId="31403" r:id="rId6"/>
    <sheet name="Pendientes" sheetId="31418" r:id="rId7"/>
    <sheet name="Top-down analysis" sheetId="31419" r:id="rId8"/>
    <sheet name="Mercado potencial" sheetId="31412" r:id="rId9"/>
    <sheet name="Costeo Productos" sheetId="31413" r:id="rId10"/>
    <sheet name="Insumos y MP" sheetId="31398" r:id="rId11"/>
    <sheet name="Personal " sheetId="31397" r:id="rId12"/>
    <sheet name="Oficinas" sheetId="31416" r:id="rId13"/>
    <sheet name="Costo logístico" sheetId="31414" r:id="rId14"/>
    <sheet name="Costo MKT y Comercialización" sheetId="31415" r:id="rId15"/>
    <sheet name="Inversión" sheetId="31401" r:id="rId16"/>
    <sheet name="Gastos Generales" sheetId="31400" r:id="rId17"/>
    <sheet name="Sistemas" sheetId="31399" r:id="rId18"/>
    <sheet name="Cronograma de implementación" sheetId="31410" r:id="rId19"/>
    <sheet name="KSF" sheetId="31411" r:id="rId20"/>
    <sheet name="Tipo de cambio" sheetId="31404" r:id="rId21"/>
    <sheet name="Mode Opératoire" sheetId="31383" state="hidden" r:id="rId22"/>
    <sheet name="Mode d'emploi_Instructions" sheetId="31389" state="hidden" r:id="rId23"/>
    <sheet name="Cpte exploitation 1+2+3" sheetId="108" state="hidden" r:id="rId24"/>
    <sheet name="A" sheetId="31378" state="hidden" r:id="rId25"/>
    <sheet name="UO 1" sheetId="31354" state="hidden" r:id="rId26"/>
    <sheet name="UO 2" sheetId="31381" state="hidden" r:id="rId27"/>
    <sheet name="UO 3" sheetId="31382" state="hidden" r:id="rId28"/>
    <sheet name="Z" sheetId="31379" state="hidden" r:id="rId29"/>
    <sheet name="Financier" sheetId="105" state="hidden" r:id="rId30"/>
    <sheet name="Synthèse projet" sheetId="31364" state="hidden" r:id="rId31"/>
    <sheet name="Risques" sheetId="31385" state="hidden" r:id="rId32"/>
    <sheet name="Immobilier" sheetId="31363" state="hidden" r:id="rId33"/>
    <sheet name="Informatique" sheetId="31367" state="hidden" r:id="rId34"/>
    <sheet name="IT details" sheetId="31368" state="hidden" r:id="rId35"/>
    <sheet name="Equipement" sheetId="31380" state="hidden" r:id="rId36"/>
    <sheet name="Option Financement" sheetId="31388" state="hidden" r:id="rId37"/>
    <sheet name="graph" sheetId="31390" state="hidden" r:id="rId38"/>
    <sheet name="Quote part frais" sheetId="114" state="hidden" r:id="rId39"/>
    <sheet name="cost calculateur" sheetId="31371" state="hidden" r:id="rId40"/>
    <sheet name="Cashflow forecast" sheetId="31358" state="hidden" r:id="rId41"/>
    <sheet name="Contrôle" sheetId="31374" state="hidden" r:id="rId42"/>
    <sheet name="Cashflow" sheetId="31417"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0" localSheetId="4">#REF!</definedName>
    <definedName name="\0">#REF!</definedName>
    <definedName name="\a" localSheetId="4">#REF!</definedName>
    <definedName name="\a">#REF!</definedName>
    <definedName name="\d" localSheetId="4">#REF!</definedName>
    <definedName name="\d">#REF!</definedName>
    <definedName name="\e" localSheetId="4">[1]CACORIG!#REF!</definedName>
    <definedName name="\e">[1]CACORIG!#REF!</definedName>
    <definedName name="\i" localSheetId="4">#REF!</definedName>
    <definedName name="\i">#REF!</definedName>
    <definedName name="\m" localSheetId="4">[1]CACORIG!#REF!</definedName>
    <definedName name="\m">[1]CACORIG!#REF!</definedName>
    <definedName name="\s" localSheetId="4">#REF!</definedName>
    <definedName name="\s">#REF!</definedName>
    <definedName name="\t" localSheetId="4">#REF!</definedName>
    <definedName name="\t">#REF!</definedName>
    <definedName name="___r">{"Schedule_1D",#N/A,FALSE,"I-D"}</definedName>
    <definedName name="__F" hidden="1">{#N/A,#N/A,FALSE,"Aging Summary";#N/A,#N/A,FALSE,"Ratio Analysis";#N/A,#N/A,FALSE,"Test 120 Day Accts";#N/A,#N/A,FALSE,"Tickmarks"}</definedName>
    <definedName name="_age1" localSheetId="4">#REF!</definedName>
    <definedName name="_age1">#REF!</definedName>
    <definedName name="_DAT1" localSheetId="4">#REF!</definedName>
    <definedName name="_DAT1">#REF!</definedName>
    <definedName name="_DAT10" localSheetId="4">#REF!</definedName>
    <definedName name="_DAT10">#REF!</definedName>
    <definedName name="_DAT11" localSheetId="4">#REF!</definedName>
    <definedName name="_DAT11">#REF!</definedName>
    <definedName name="_DAT12" localSheetId="4">#REF!</definedName>
    <definedName name="_DAT12">#REF!</definedName>
    <definedName name="_DAT13" localSheetId="4">#REF!</definedName>
    <definedName name="_DAT13">#REF!</definedName>
    <definedName name="_DAT14" localSheetId="4">#REF!</definedName>
    <definedName name="_DAT14">#REF!</definedName>
    <definedName name="_DAT15" localSheetId="4">#REF!</definedName>
    <definedName name="_DAT15">#REF!</definedName>
    <definedName name="_DAT2" localSheetId="4">#REF!</definedName>
    <definedName name="_DAT2">#REF!</definedName>
    <definedName name="_DAT3" localSheetId="4">#REF!</definedName>
    <definedName name="_DAT3">#REF!</definedName>
    <definedName name="_DAT4" localSheetId="4">#REF!</definedName>
    <definedName name="_DAT4">#REF!</definedName>
    <definedName name="_DAT5" localSheetId="4">#REF!</definedName>
    <definedName name="_DAT5">#REF!</definedName>
    <definedName name="_DAT6" localSheetId="4">#REF!</definedName>
    <definedName name="_DAT6">#REF!</definedName>
    <definedName name="_DAT7" localSheetId="4">#REF!</definedName>
    <definedName name="_DAT7">#REF!</definedName>
    <definedName name="_DAT8" localSheetId="4">#REF!</definedName>
    <definedName name="_DAT8">#REF!</definedName>
    <definedName name="_DAT9" localSheetId="4">#REF!</definedName>
    <definedName name="_DAT9">#REF!</definedName>
    <definedName name="_ECE42" localSheetId="4">#REF!</definedName>
    <definedName name="_ECE42">#REF!</definedName>
    <definedName name="_esc3" localSheetId="4">#REF!</definedName>
    <definedName name="_esc3">#REF!</definedName>
    <definedName name="_xlnm._FilterDatabase" localSheetId="24" hidden="1">A!$J$1:$J$64</definedName>
    <definedName name="_xlnm._FilterDatabase" localSheetId="41" hidden="1">Contrôle!$A$1:$F$50</definedName>
    <definedName name="_xlnm._FilterDatabase" localSheetId="2" hidden="1">'Cta explotacion OVL'!$J$1:$J$73</definedName>
    <definedName name="_xlnm._FilterDatabase" localSheetId="3" hidden="1">'Cta explotacion OVS'!$J$1:$J$73</definedName>
    <definedName name="_xlnm._FilterDatabase" localSheetId="1" hidden="1">'Cuadro de Resultados'!$J$1:$J$43</definedName>
    <definedName name="_xlnm._FilterDatabase" localSheetId="11" hidden="1">'Personal '!#REF!</definedName>
    <definedName name="_xlnm._FilterDatabase" localSheetId="30" hidden="1">'Synthèse projet'!$G$8:$I$9</definedName>
    <definedName name="_xlnm._FilterDatabase" localSheetId="25" hidden="1">'UO 1'!$J$1:$J$73</definedName>
    <definedName name="_xlnm._FilterDatabase" localSheetId="26" hidden="1">'UO 2'!$J$1:$J$73</definedName>
    <definedName name="_xlnm._FilterDatabase" localSheetId="27" hidden="1">'UO 3'!$J$1:$J$73</definedName>
    <definedName name="_xlnm._FilterDatabase" localSheetId="28" hidden="1">Z!$J$1:$J$64</definedName>
    <definedName name="_JL2" localSheetId="4">#REF!</definedName>
    <definedName name="_JL2">#REF!</definedName>
    <definedName name="_JL3" localSheetId="4">#REF!</definedName>
    <definedName name="_JL3">#REF!</definedName>
    <definedName name="_JL4" localSheetId="4">#REF!</definedName>
    <definedName name="_JL4">#REF!</definedName>
    <definedName name="_JL5" localSheetId="4">#REF!</definedName>
    <definedName name="_JL5">#REF!</definedName>
    <definedName name="_JL6" localSheetId="4">#REF!</definedName>
    <definedName name="_JL6">#REF!</definedName>
    <definedName name="_MAC1" localSheetId="4">[1]CACORIG!#REF!</definedName>
    <definedName name="_MAC1">[1]CACORIG!#REF!</definedName>
    <definedName name="_MAC10" localSheetId="4">[1]CACORIG!#REF!</definedName>
    <definedName name="_MAC10">[1]CACORIG!#REF!</definedName>
    <definedName name="_MAC11" localSheetId="4">[1]CACORIG!#REF!</definedName>
    <definedName name="_MAC11">[1]CACORIG!#REF!</definedName>
    <definedName name="_MAC2" localSheetId="4">[1]CACORIG!#REF!</definedName>
    <definedName name="_MAC2">[1]CACORIG!#REF!</definedName>
    <definedName name="_MAC3" localSheetId="4">[1]CACORIG!#REF!</definedName>
    <definedName name="_MAC3">[1]CACORIG!#REF!</definedName>
    <definedName name="_MAC4" localSheetId="4">[1]CACORIG!#REF!</definedName>
    <definedName name="_MAC4">[1]CACORIG!#REF!</definedName>
    <definedName name="_MAC5" localSheetId="4">[1]CACORIG!#REF!</definedName>
    <definedName name="_MAC5">[1]CACORIG!#REF!</definedName>
    <definedName name="_MAC6" localSheetId="4">[1]CACORIG!#REF!</definedName>
    <definedName name="_MAC6">[1]CACORIG!#REF!</definedName>
    <definedName name="_MAC7" localSheetId="4">[1]CACORIG!#REF!</definedName>
    <definedName name="_MAC7">[1]CACORIG!#REF!</definedName>
    <definedName name="_MAC8" localSheetId="4">[1]CACORIG!#REF!</definedName>
    <definedName name="_MAC8">[1]CACORIG!#REF!</definedName>
    <definedName name="_MAC9" localSheetId="4">[1]CACORIG!#REF!</definedName>
    <definedName name="_MAC9">[1]CACORIG!#REF!</definedName>
    <definedName name="_Order1" hidden="1">255</definedName>
    <definedName name="_Order2" hidden="1">255</definedName>
    <definedName name="_r" localSheetId="24">#REF!</definedName>
    <definedName name="_r" localSheetId="4">#REF!</definedName>
    <definedName name="_r" localSheetId="2">#REF!</definedName>
    <definedName name="_r" localSheetId="3">#REF!</definedName>
    <definedName name="_r" localSheetId="26">#REF!</definedName>
    <definedName name="_r" localSheetId="27">#REF!</definedName>
    <definedName name="_r" localSheetId="28">#REF!</definedName>
    <definedName name="_r">#REF!</definedName>
    <definedName name="_rep1" localSheetId="4">#REF!</definedName>
    <definedName name="_rep1">#REF!</definedName>
    <definedName name="_rep2" localSheetId="4">#REF!</definedName>
    <definedName name="_rep2">#REF!</definedName>
    <definedName name="a">[0]!a</definedName>
    <definedName name="A_impresión_IM" localSheetId="4">#REF!</definedName>
    <definedName name="A_impresión_IM">#REF!</definedName>
    <definedName name="aaa" hidden="1">{"Schedule_IA",#N/A,FALSE,"I-A"}</definedName>
    <definedName name="aaequipos" localSheetId="4">#REF!</definedName>
    <definedName name="aaequipos">#REF!</definedName>
    <definedName name="ABC">[0]!ABC</definedName>
    <definedName name="abril">[2]abril!$A$4:$F$109</definedName>
    <definedName name="ACCMOD" localSheetId="4">'[3]Resumen GEFCO'!#REF!</definedName>
    <definedName name="ACCMOD">'[3]Resumen GEFCO'!#REF!</definedName>
    <definedName name="ACCMOI" localSheetId="4">'[3]Resumen GEFCO'!#REF!</definedName>
    <definedName name="ACCMOI">'[3]Resumen GEFCO'!#REF!</definedName>
    <definedName name="ACCMOV" localSheetId="4">#REF!</definedName>
    <definedName name="ACCMOV">#REF!</definedName>
    <definedName name="Account_Balance" localSheetId="4">#REF!</definedName>
    <definedName name="Account_Balance">#REF!</definedName>
    <definedName name="ACCTRANS" localSheetId="4">#REF!</definedName>
    <definedName name="ACCTRANS">#REF!</definedName>
    <definedName name="Additional_Network_Cards" localSheetId="24">#REF!</definedName>
    <definedName name="Additional_Network_Cards" localSheetId="4">#REF!</definedName>
    <definedName name="Additional_Network_Cards" localSheetId="2">#REF!</definedName>
    <definedName name="Additional_Network_Cards" localSheetId="3">#REF!</definedName>
    <definedName name="Additional_Network_Cards" localSheetId="26">#REF!</definedName>
    <definedName name="Additional_Network_Cards" localSheetId="27">#REF!</definedName>
    <definedName name="Additional_Network_Cards" localSheetId="28">#REF!</definedName>
    <definedName name="Additional_Network_Cards">#REF!</definedName>
    <definedName name="adhadhaf" hidden="1">{"Index",#N/A,FALSE,"Index"}</definedName>
    <definedName name="adhadhdf" hidden="1">{"Schedule_1D",#N/A,FALSE,"I-D"}</definedName>
    <definedName name="adhafdh" hidden="1">{"Schedule_1D",#N/A,FALSE,"I-D"}</definedName>
    <definedName name="adhafdhah"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adhfdafdah" hidden="1">{"Schedule_1C",#N/A,FALSE,"I-C"}</definedName>
    <definedName name="Administratif">[4]Feuil3!$AC$1</definedName>
    <definedName name="ADMINISTRATIVO" localSheetId="4">#REF!</definedName>
    <definedName name="ADMINISTRATIVO">#REF!</definedName>
    <definedName name="AduanaAbril">[5]DetalleAduana!$U$12:$U$137</definedName>
    <definedName name="AduanaAgosto">[5]DetalleAduana!$AO$12:$AO$137</definedName>
    <definedName name="AduanaDiciembre">[5]DetalleAduana!$BI$12:$BI$137</definedName>
    <definedName name="AduanaEnero">[5]DetalleAduana!$F$12:$F$137</definedName>
    <definedName name="AduanaFebrero">[5]DetalleAduana!$K$12:$K$137</definedName>
    <definedName name="AduanaJulio">[5]DetalleAduana!$AJ$12:$AJ$137</definedName>
    <definedName name="AduanaJunio">[5]DetalleAduana!$AE$12:$AE$137</definedName>
    <definedName name="AduanaMarzo">[5]DetalleAduana!$P$12:$P$137</definedName>
    <definedName name="AduanaMayo">[5]DetalleAduana!$Z$12:$Z$137</definedName>
    <definedName name="AduanaNoviembre">[5]DetalleAduana!$BD$12:$BD$137</definedName>
    <definedName name="AduanaOctubre">[5]DetalleAduana!$AY$12:$AY$137</definedName>
    <definedName name="AduanaSeptiembre">[5]DetalleAduana!$AT$12:$AT$137</definedName>
    <definedName name="AEGH"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AEHA" hidden="1">{"Schedule_1D",#N/A,FALSE,"I-D"}</definedName>
    <definedName name="AEHAEH" hidden="1">{"Schedule_1D",#N/A,FALSE,"I-D"}</definedName>
    <definedName name="AFSASF" hidden="1">{#N/A,#N/A,FALSE,"Aging Summary";#N/A,#N/A,FALSE,"Ratio Analysis";#N/A,#N/A,FALSE,"Test 120 Day Accts";#N/A,#N/A,FALSE,"Tickmarks"}</definedName>
    <definedName name="AG" hidden="1">{"Schedule_IA",#N/A,FALSE,"I-A"}</definedName>
    <definedName name="age" localSheetId="4">#REF!</definedName>
    <definedName name="age">#REF!</definedName>
    <definedName name="AGENCIAS" localSheetId="4">'[6]RESUMEN GASTOS'!#REF!</definedName>
    <definedName name="AGENCIAS">'[6]RESUMEN GASTOS'!#REF!</definedName>
    <definedName name="ahadfha" hidden="1">{"Schedule_I",#N/A,FALSE,"I"}</definedName>
    <definedName name="ahadfhad" hidden="1">{"Schedule_1D",#N/A,FALSE,"I-D"}</definedName>
    <definedName name="ahadfhfad" hidden="1">{"Schedule_1D",#N/A,FALSE,"I-D"}</definedName>
    <definedName name="ahafdhfadha" hidden="1">{"Schedule_1C",#N/A,FALSE,"I-C"}</definedName>
    <definedName name="ahafhfda" hidden="1">{"Schedule_1D",#N/A,FALSE,"I-D"}</definedName>
    <definedName name="ahah" hidden="1">{"Schedule_IA",#N/A,FALSE,"I-A"}</definedName>
    <definedName name="ahdafhfdahdfa" hidden="1">{"Schedule_IA",#N/A,FALSE,"I-A"}</definedName>
    <definedName name="AHEEH" hidden="1">{"Schedule_I",#N/A,FALSE,"I"}</definedName>
    <definedName name="ahfdahad" hidden="1">{"Schedule_1B",#N/A,FALSE,"I-B"}</definedName>
    <definedName name="ahfdahad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ajoutCNT">[0]!ajoutCNT</definedName>
    <definedName name="ajtr" hidden="1">{"Schedule_1C",#N/A,FALSE,"I-C"}</definedName>
    <definedName name="Allemagne">[4]Feuil3!$V$13</definedName>
    <definedName name="Almacenamiento" localSheetId="4">#REF!</definedName>
    <definedName name="Almacenamiento">#REF!</definedName>
    <definedName name="ALQ" localSheetId="4">#REF!</definedName>
    <definedName name="ALQ">#REF!</definedName>
    <definedName name="Amiens">[4]Feuil3!$V$5</definedName>
    <definedName name="amort2004" localSheetId="24">#REF!</definedName>
    <definedName name="amort2004" localSheetId="4">#REF!</definedName>
    <definedName name="amort2004" localSheetId="2">#REF!</definedName>
    <definedName name="amort2004" localSheetId="3">#REF!</definedName>
    <definedName name="amort2004" localSheetId="21">#REF!</definedName>
    <definedName name="amort2004" localSheetId="26">#REF!</definedName>
    <definedName name="amort2004" localSheetId="27">#REF!</definedName>
    <definedName name="amort2004" localSheetId="28">#REF!</definedName>
    <definedName name="amort2004">#REF!</definedName>
    <definedName name="amortinicio" localSheetId="4">#REF!</definedName>
    <definedName name="amortinicio">#REF!</definedName>
    <definedName name="Année" localSheetId="37">'[7]CF&amp;VAN'!$5:$5</definedName>
    <definedName name="Année" localSheetId="36">'[7]CF&amp;VAN'!$5:$5</definedName>
    <definedName name="Année">'[7]CF&amp;VAN'!$5:$5</definedName>
    <definedName name="Antonio">'[8]GASTOS ENERO'!$B$1:$D$92</definedName>
    <definedName name="Appro.autres">[4]Feuil3!$AE$1</definedName>
    <definedName name="Appro.MP">[4]Feuil3!$AD$1</definedName>
    <definedName name="AQDAQD" hidden="1">{#N/A,#N/A,FALSE,"Aging Summary";#N/A,#N/A,FALSE,"Ratio Analysis";#N/A,#N/A,FALSE,"Test 120 Day Accts";#N/A,#N/A,FALSE,"Tickmarks"}</definedName>
    <definedName name="AR" localSheetId="4">#REF!</definedName>
    <definedName name="AR">#REF!</definedName>
    <definedName name="ARA_Threshold" localSheetId="4">#REF!</definedName>
    <definedName name="ARA_Threshold">#REF!</definedName>
    <definedName name="Arbeitstage" localSheetId="4">#REF!</definedName>
    <definedName name="Arbeitstage">#REF!</definedName>
    <definedName name="_xlnm.Extract" localSheetId="4">'[9]DEUDORES EN GESTION'!#REF!</definedName>
    <definedName name="_xlnm.Extract">'[9]DEUDORES EN GESTION'!#REF!</definedName>
    <definedName name="_xlnm.Print_Area" localSheetId="24">A!$B$1:$J$64</definedName>
    <definedName name="_xlnm.Print_Area" localSheetId="4">'Análisis financiero'!$A$1:$N$92</definedName>
    <definedName name="_xlnm.Print_Area" localSheetId="23">'Cpte exploitation 1+2+3'!$B$1:$I$76</definedName>
    <definedName name="_xlnm.Print_Area" localSheetId="0">'Cpte exploitation ARG'!$B$1:$I$76</definedName>
    <definedName name="_xlnm.Print_Area" localSheetId="2">'Cta explotacion OVL'!$B$1:$J$73</definedName>
    <definedName name="_xlnm.Print_Area" localSheetId="3">'Cta explotacion OVS'!$B$1:$J$73</definedName>
    <definedName name="_xlnm.Print_Area" localSheetId="1">'Cuadro de Resultados'!$B$1:$J$43</definedName>
    <definedName name="_xlnm.Print_Area" localSheetId="35">Equipement!$A$1:$K$51</definedName>
    <definedName name="_xlnm.Print_Area" localSheetId="29">Financier!$A$1:$N$144</definedName>
    <definedName name="_xlnm.Print_Area" localSheetId="32">Immobilier!$A$1:$I$56</definedName>
    <definedName name="_xlnm.Print_Area" localSheetId="33">Informatique!$A$1:$I$65</definedName>
    <definedName name="_xlnm.Print_Area" localSheetId="34">'IT details'!$A$1:$M$85</definedName>
    <definedName name="_xlnm.Print_Area" localSheetId="22">'Mode d''emploi_Instructions'!$A$1:$E$61</definedName>
    <definedName name="_xlnm.Print_Area" localSheetId="21">'Mode Opératoire'!$A$1:$J$51</definedName>
    <definedName name="_xlnm.Print_Area" localSheetId="38">'Quote part frais'!#REF!</definedName>
    <definedName name="_xlnm.Print_Area" localSheetId="31">Risques!$A$1:$I$54</definedName>
    <definedName name="_xlnm.Print_Area" localSheetId="30">'Synthèse projet'!$A$1:$I$76</definedName>
    <definedName name="_xlnm.Print_Area" localSheetId="25">'UO 1'!$B$1:$J$73</definedName>
    <definedName name="_xlnm.Print_Area" localSheetId="26">'UO 2'!$B$1:$J$73</definedName>
    <definedName name="_xlnm.Print_Area" localSheetId="27">'UO 3'!$B$1:$J$73</definedName>
    <definedName name="_xlnm.Print_Area" localSheetId="28">Z!$B$1:$J$64</definedName>
    <definedName name="ARG" hidden="1">{"Schedule_1D",#N/A,FALSE,"I-D"}</definedName>
    <definedName name="AS2DocOpenMode" hidden="1">"AS2DocumentEdit"</definedName>
    <definedName name="AS2HasNoAutoHeaderFooter" hidden="1">" "</definedName>
    <definedName name="AS2LinkLS" localSheetId="4" hidden="1">#REF!</definedName>
    <definedName name="AS2LinkLS" hidden="1">#REF!</definedName>
    <definedName name="AS2NamedRange" hidden="1">2</definedName>
    <definedName name="AS2ReportLS" hidden="1">1</definedName>
    <definedName name="AS2SyncStepLS" hidden="1">0</definedName>
    <definedName name="AS2TickmarkLS" localSheetId="4" hidden="1">#REF!</definedName>
    <definedName name="AS2TickmarkLS" hidden="1">#REF!</definedName>
    <definedName name="AS2VersionLS" hidden="1">300</definedName>
    <definedName name="ASDAD" hidden="1">{#N/A,#N/A,FALSE,"Aging Summary";#N/A,#N/A,FALSE,"Ratio Analysis";#N/A,#N/A,FALSE,"Test 120 Day Accts";#N/A,#N/A,FALSE,"Tickmarks"}</definedName>
    <definedName name="asdf" localSheetId="4">#REF!</definedName>
    <definedName name="asdf">#REF!</definedName>
    <definedName name="ASIENTOS" localSheetId="4">[10]Alquiler_Predio!#REF!</definedName>
    <definedName name="ASIENTOS">[10]Alquiler_Predio!#REF!</definedName>
    <definedName name="Assy_labor" localSheetId="4">#REF!</definedName>
    <definedName name="Assy_labor">#REF!</definedName>
    <definedName name="Assy_labor_cost" localSheetId="4">#REF!</definedName>
    <definedName name="Assy_labor_cost">#REF!</definedName>
    <definedName name="Assy_surface" localSheetId="4">#REF!</definedName>
    <definedName name="Assy_surface">#REF!</definedName>
    <definedName name="assye1front" localSheetId="4">#REF!</definedName>
    <definedName name="assye1front">#REF!</definedName>
    <definedName name="assye1front2" localSheetId="4">#REF!</definedName>
    <definedName name="assye1front2">#REF!</definedName>
    <definedName name="assye1rear" localSheetId="4">#REF!</definedName>
    <definedName name="assye1rear">#REF!</definedName>
    <definedName name="assye1rear2" localSheetId="4">#REF!</definedName>
    <definedName name="assye1rear2">#REF!</definedName>
    <definedName name="assymac" localSheetId="4">#REF!</definedName>
    <definedName name="assymac">#REF!</definedName>
    <definedName name="assymac2" localSheetId="4">#REF!</definedName>
    <definedName name="assymac2">#REF!</definedName>
    <definedName name="assymacrear" localSheetId="4">#REF!</definedName>
    <definedName name="assymacrear">#REF!</definedName>
    <definedName name="assymacrear2" localSheetId="4">#REF!</definedName>
    <definedName name="assymacrear2">#REF!</definedName>
    <definedName name="Axe" localSheetId="37">[7]Références!$D$1:$D$4</definedName>
    <definedName name="Axe" localSheetId="36">[7]Références!$D$1:$D$4</definedName>
    <definedName name="Axe">[7]Références!$D$1:$D$4</definedName>
    <definedName name="b">'[11]GASTOS ENERO'!$B$1:$D$92</definedName>
    <definedName name="_xlnm.Database">'[8]GASTOS ENERO'!$B$1:$D$92</definedName>
    <definedName name="bbbbb" localSheetId="24">#REF!</definedName>
    <definedName name="bbbbb" localSheetId="4">#REF!</definedName>
    <definedName name="bbbbb" localSheetId="2">#REF!</definedName>
    <definedName name="bbbbb" localSheetId="3">#REF!</definedName>
    <definedName name="bbbbb" localSheetId="26">#REF!</definedName>
    <definedName name="bbbbb" localSheetId="27">#REF!</definedName>
    <definedName name="bbbbb" localSheetId="28">#REF!</definedName>
    <definedName name="bbbbb">#REF!</definedName>
    <definedName name="bbbtttt" localSheetId="24">[12]Catalogue!#REF!</definedName>
    <definedName name="bbbtttt" localSheetId="4">[12]Catalogue!#REF!</definedName>
    <definedName name="bbbtttt" localSheetId="2">[12]Catalogue!#REF!</definedName>
    <definedName name="bbbtttt" localSheetId="3">[12]Catalogue!#REF!</definedName>
    <definedName name="bbbtttt" localSheetId="26">[12]Catalogue!#REF!</definedName>
    <definedName name="bbbtttt" localSheetId="27">[12]Catalogue!#REF!</definedName>
    <definedName name="bbbtttt" localSheetId="28">[12]Catalogue!#REF!</definedName>
    <definedName name="bbbtttt">[12]Catalogue!#REF!</definedName>
    <definedName name="BdDEMB">'[13]Packaging DB'!$C$1:$AE$65536</definedName>
    <definedName name="BdDTpT">'[14]Shipping DB'!$C$1:$BH$65536</definedName>
    <definedName name="Bellignat">[4]Feuil3!$V$9</definedName>
    <definedName name="BG_Del" hidden="1">15</definedName>
    <definedName name="BG_Ins" hidden="1">4</definedName>
    <definedName name="BG_Mod" hidden="1">6</definedName>
    <definedName name="BRASIL" localSheetId="4">[10]Alquiler_Predio!#REF!</definedName>
    <definedName name="BRASIL">[10]Alquiler_Predio!#REF!</definedName>
    <definedName name="Bruay">[4]Feuil3!$V$6</definedName>
    <definedName name="brutellio" localSheetId="4">[15]Salarios!#REF!</definedName>
    <definedName name="brutellio">[15]Salarios!#REF!</definedName>
    <definedName name="BU" localSheetId="37">[7]Références!$C$1:$C$11</definedName>
    <definedName name="BU" localSheetId="36">[7]Références!$C$1:$C$11</definedName>
    <definedName name="BU">[7]Références!$C$1:$C$11</definedName>
    <definedName name="Building_invest" localSheetId="4">#REF!</definedName>
    <definedName name="Building_invest">#REF!</definedName>
    <definedName name="Building_invest_FEM" localSheetId="4">#REF!</definedName>
    <definedName name="Building_invest_FEM">#REF!</definedName>
    <definedName name="Building_overheads" localSheetId="4">#REF!</definedName>
    <definedName name="Building_overheads">#REF!</definedName>
    <definedName name="BuiltIn_Print_Area" localSheetId="4">#REF!</definedName>
    <definedName name="BuiltIn_Print_Area">#REF!</definedName>
    <definedName name="BUSO" localSheetId="4">'[16]DEUDORES EN GESTION'!#REF!</definedName>
    <definedName name="BUSO">'[16]DEUDORES EN GESTION'!#REF!</definedName>
    <definedName name="C_MOIS">[17]MENU!$G$9</definedName>
    <definedName name="Cadence">[14]Project!$E$77</definedName>
    <definedName name="CADRE">[18]Param!$D$64:$G$87</definedName>
    <definedName name="CALIDAD" localSheetId="4">#REF!</definedName>
    <definedName name="CALIDAD">#REF!</definedName>
    <definedName name="CCOIN4.8" localSheetId="4">#REF!</definedName>
    <definedName name="CCOIN4.8">#REF!</definedName>
    <definedName name="CD" localSheetId="4">#REF!</definedName>
    <definedName name="CD">#REF!</definedName>
    <definedName name="CGDN3" localSheetId="4">#REF!</definedName>
    <definedName name="CGDN3">#REF!</definedName>
    <definedName name="ch_us">[4]econ.data!$C$70</definedName>
    <definedName name="change">'[19]Taux horaires'!$A$62:$C$71</definedName>
    <definedName name="change_Couronne">[4]Feuil3!$U$30</definedName>
    <definedName name="change_DM">[4]Feuil3!$U$24</definedName>
    <definedName name="change_Dollar">[4]Feuil3!$U$23</definedName>
    <definedName name="change_ent">'[19]Taux horaires'!$B$62:$B$71</definedName>
    <definedName name="change_FB">[4]Feuil3!$U$26</definedName>
    <definedName name="change_FF">[4]Feuil3!$U$20</definedName>
    <definedName name="change_Florin">[4]Feuil3!$U$25</definedName>
    <definedName name="change_FS">[4]Feuil3!$U$28</definedName>
    <definedName name="change_Lire">[4]Feuil3!$U$27</definedName>
    <definedName name="change_Livre">[4]Feuil3!$U$21</definedName>
    <definedName name="change_Livre_Turque">[4]Feuil3!$U$31</definedName>
    <definedName name="change_Pts">[4]Feuil3!$U$22</definedName>
    <definedName name="change_taux_horaire">[4]Feuil3!$A$31:$Q$31</definedName>
    <definedName name="CHOC22P" localSheetId="4">#REF!</definedName>
    <definedName name="CHOC22P">#REF!</definedName>
    <definedName name="CHOC8" localSheetId="4">#REF!</definedName>
    <definedName name="CHOC8">#REF!</definedName>
    <definedName name="CKD" localSheetId="4">#REF!</definedName>
    <definedName name="CKD">#REF!</definedName>
    <definedName name="codagePVPRU">[4]Feuil3!$S$4:$U$16</definedName>
    <definedName name="Code">'[20]SF filiales'!$C$130:$AE$130</definedName>
    <definedName name="coef.structure">[4]Feuil3!$AG$1</definedName>
    <definedName name="COEFASIENTOS" localSheetId="4">#REF!</definedName>
    <definedName name="COEFASIENTOS">#REF!</definedName>
    <definedName name="COEFDELPHI" localSheetId="4">#REF!</definedName>
    <definedName name="COEFDELPHI">#REF!</definedName>
    <definedName name="COEFPO" localSheetId="4">#REF!</definedName>
    <definedName name="COEFPO">#REF!</definedName>
    <definedName name="coefPRU">[4]Feuil3!$V$4:$AH$16</definedName>
    <definedName name="COEFPSA" localSheetId="4">#REF!</definedName>
    <definedName name="COEFPSA">#REF!</definedName>
    <definedName name="cofor">[21]cofor!$A$2:$B$86</definedName>
    <definedName name="Component_overheads" localSheetId="4">#REF!</definedName>
    <definedName name="Component_overheads">#REF!</definedName>
    <definedName name="Components_cost" localSheetId="4">#REF!</definedName>
    <definedName name="Components_cost">#REF!</definedName>
    <definedName name="ComprasILIAbril" localSheetId="4">#REF!</definedName>
    <definedName name="ComprasILIAbril">#REF!</definedName>
    <definedName name="ComprasILIEnero" localSheetId="4">#REF!</definedName>
    <definedName name="ComprasILIEnero">#REF!</definedName>
    <definedName name="ComprasILIFebrero" localSheetId="4">#REF!</definedName>
    <definedName name="ComprasILIFebrero">#REF!</definedName>
    <definedName name="ComprasILIJulio">'[5]Total por Actividad'!$AU$33</definedName>
    <definedName name="ComprasILIJunio">'[5]Total por Actividad'!$AN$33</definedName>
    <definedName name="ComprasILIMarzo" localSheetId="4">#REF!</definedName>
    <definedName name="ComprasILIMarzo">#REF!</definedName>
    <definedName name="ComprasILIMayo">'[5]Total por Actividad'!$AG$33</definedName>
    <definedName name="ComprasPVNOAbril" localSheetId="4">#REF!</definedName>
    <definedName name="ComprasPVNOAbril">#REF!</definedName>
    <definedName name="ComprasPVNOEnero" localSheetId="4">#REF!</definedName>
    <definedName name="ComprasPVNOEnero">#REF!</definedName>
    <definedName name="ComprasPVNOFebrero" localSheetId="4">#REF!</definedName>
    <definedName name="ComprasPVNOFebrero">#REF!</definedName>
    <definedName name="ComprasPVNOJulio">'[5]Total por Actividad'!$AT$33</definedName>
    <definedName name="ComprasPVNOJunio">'[5]Total por Actividad'!$AM$33</definedName>
    <definedName name="ComprasPVNOMarzo" localSheetId="4">#REF!</definedName>
    <definedName name="ComprasPVNOMarzo">#REF!</definedName>
    <definedName name="ComprasPVNOMayo">'[5]Total por Actividad'!$AF$34</definedName>
    <definedName name="ComprasRDVMAbril" localSheetId="4">#REF!</definedName>
    <definedName name="ComprasRDVMAbril">#REF!</definedName>
    <definedName name="ComprasRDVMEnero" localSheetId="4">#REF!</definedName>
    <definedName name="ComprasRDVMEnero">#REF!</definedName>
    <definedName name="ComprasRDVMFebrero" localSheetId="4">#REF!</definedName>
    <definedName name="ComprasRDVMFebrero">#REF!</definedName>
    <definedName name="ComprasRDVMJulio">'[5]Total por Actividad'!$AV$33</definedName>
    <definedName name="ComprasRDVMJunio">'[5]Total por Actividad'!$AO$33</definedName>
    <definedName name="ComprasRDVMMarzo" localSheetId="4">#REF!</definedName>
    <definedName name="ComprasRDVMMarzo">#REF!</definedName>
    <definedName name="ComprasRDVMMayo">'[5]Total por Actividad'!$AH$33</definedName>
    <definedName name="ComprasRMAAbril" localSheetId="4">#REF!</definedName>
    <definedName name="ComprasRMAAbril">#REF!</definedName>
    <definedName name="ComprasRMAAgosto">'[5]Total por Actividad'!$AY$33</definedName>
    <definedName name="ComprasRMAEnero" localSheetId="4">#REF!</definedName>
    <definedName name="ComprasRMAEnero">#REF!</definedName>
    <definedName name="ComprasRMAFebrero" localSheetId="4">#REF!</definedName>
    <definedName name="ComprasRMAFebrero">#REF!</definedName>
    <definedName name="ComprasRMAJulio">'[5]Total por Actividad'!$AR$33</definedName>
    <definedName name="ComprasRMAJunio">'[5]Total por Actividad'!$AK$33</definedName>
    <definedName name="ComprasRMAMarzo" localSheetId="4">#REF!</definedName>
    <definedName name="ComprasRMAMarzo">#REF!</definedName>
    <definedName name="ComprasRMAMayo">'[5]Total por Actividad'!$AD$33</definedName>
    <definedName name="ComprasRMASeptiembre">'[5]Total por Actividad'!$BF$33</definedName>
    <definedName name="ComprasRMLAPAbril" localSheetId="4">#REF!</definedName>
    <definedName name="ComprasRMLAPAbril">#REF!</definedName>
    <definedName name="ComprasRMLAPAgosto">'[5]Total por Actividad'!$AZ$33</definedName>
    <definedName name="ComprasRMLAPEnero" localSheetId="4">#REF!</definedName>
    <definedName name="ComprasRMLAPEnero">#REF!</definedName>
    <definedName name="ComprasRMLAPFebrero" localSheetId="4">#REF!</definedName>
    <definedName name="ComprasRMLAPFebrero">#REF!</definedName>
    <definedName name="ComprasRMLAPJulio">'[5]Total por Actividad'!$AS$33</definedName>
    <definedName name="ComprasRMLAPJunio">'[5]Total por Actividad'!$AL$33</definedName>
    <definedName name="ComprasRMLAPMarzo" localSheetId="4">#REF!</definedName>
    <definedName name="ComprasRMLAPMarzo">#REF!</definedName>
    <definedName name="ComprasRMLAPMayo">'[5]Total por Actividad'!$AE$33</definedName>
    <definedName name="COMPSW2">[0]!COMPSW2</definedName>
    <definedName name="Consulta1" localSheetId="4">#REF!</definedName>
    <definedName name="Consulta1">#REF!</definedName>
    <definedName name="contrat" localSheetId="24">#REF!</definedName>
    <definedName name="contrat" localSheetId="4">#REF!</definedName>
    <definedName name="contrat" localSheetId="2">#REF!</definedName>
    <definedName name="contrat" localSheetId="3">#REF!</definedName>
    <definedName name="contrat" localSheetId="26">#REF!</definedName>
    <definedName name="contrat" localSheetId="27">#REF!</definedName>
    <definedName name="contrat" localSheetId="28">#REF!</definedName>
    <definedName name="contrat">#REF!</definedName>
    <definedName name="control_valeur" localSheetId="24">#REF!</definedName>
    <definedName name="control_valeur" localSheetId="4">#REF!</definedName>
    <definedName name="control_valeur" localSheetId="2">#REF!</definedName>
    <definedName name="control_valeur" localSheetId="3">#REF!</definedName>
    <definedName name="control_valeur" localSheetId="26">#REF!</definedName>
    <definedName name="control_valeur" localSheetId="27">#REF!</definedName>
    <definedName name="control_valeur" localSheetId="28">#REF!</definedName>
    <definedName name="control_valeur">#REF!</definedName>
    <definedName name="CORDOBA" localSheetId="4">#REF!</definedName>
    <definedName name="CORDOBA">#REF!</definedName>
    <definedName name="CordobaAbril">[5]DetalleCordoba!$U$12:$U$137</definedName>
    <definedName name="CordobaAgosto">[5]DetalleCordoba!$AO$12:$AO$137</definedName>
    <definedName name="CordobaDiciembre">[5]DetalleCordoba!$BI$12:$BI$137</definedName>
    <definedName name="CordobaEnero">[5]DetalleCordoba!$F$12:$F$137</definedName>
    <definedName name="CordobaFebrero">[5]DetalleCordoba!$K$12:$K$137</definedName>
    <definedName name="CordobaJulio">[5]DetalleCordoba!$AJ$12:$AJ$137</definedName>
    <definedName name="CordobaJunio">[5]DetalleCordoba!$AE$12:$AE$137</definedName>
    <definedName name="CordobaMarzo">[5]DetalleCordoba!$P$12:$P$137</definedName>
    <definedName name="CordobaMayo">[5]DetalleCordoba!$Z$12:$Z$137</definedName>
    <definedName name="CordobaNoviembre">[5]DetalleCordoba!$BD$12:$BD$137</definedName>
    <definedName name="CordobaOctubre">[5]DetalleCordoba!$AY$12:$AY$137</definedName>
    <definedName name="CordobaSeptiembre">[5]DetalleCordoba!$AT$12:$AT$137</definedName>
    <definedName name="COSTO">'[22]RESUMEN GASTOS'!$E$23</definedName>
    <definedName name="costom3mes" localSheetId="4">'[23]Gastos Generales'!#REF!</definedName>
    <definedName name="costom3mes">'[23]Gastos Generales'!#REF!</definedName>
    <definedName name="costom3mess" localSheetId="4">'[23]Gastos Generales'!#REF!</definedName>
    <definedName name="costom3mess">'[23]Gastos Generales'!#REF!</definedName>
    <definedName name="Country" localSheetId="4">#REF!</definedName>
    <definedName name="Country">#REF!</definedName>
    <definedName name="Couronne_Suédoise">[4]Feuil3!$T$30</definedName>
    <definedName name="CP" localSheetId="24">#REF!</definedName>
    <definedName name="CP" localSheetId="4">#REF!</definedName>
    <definedName name="CP" localSheetId="2">#REF!</definedName>
    <definedName name="CP" localSheetId="3">#REF!</definedName>
    <definedName name="CP" localSheetId="26">#REF!</definedName>
    <definedName name="CP" localSheetId="27">#REF!</definedName>
    <definedName name="CP" localSheetId="28">#REF!</definedName>
    <definedName name="CP">#REF!</definedName>
    <definedName name="CRAP" localSheetId="4">#REF!</definedName>
    <definedName name="CRAP">#REF!</definedName>
    <definedName name="CSUCCESSIFS" localSheetId="4">#REF!</definedName>
    <definedName name="CSUCCESSIFS">#REF!</definedName>
    <definedName name="CT" localSheetId="4">#REF!</definedName>
    <definedName name="CT">#REF!</definedName>
    <definedName name="Customer" localSheetId="4">#REF!</definedName>
    <definedName name="Customer">#REF!</definedName>
    <definedName name="CVNN" hidden="1">{"Schedule_IA",#N/A,FALSE,"I-A"}</definedName>
    <definedName name="d" hidden="1">{"Schedule_1C",#N/A,FALSE,"I-C"}</definedName>
    <definedName name="dafhdafhafd" hidden="1">{"Schedule_IA",#N/A,FALSE,"I-A"}</definedName>
    <definedName name="Data" localSheetId="4">#REF!</definedName>
    <definedName name="Data" localSheetId="21">#REF!</definedName>
    <definedName name="Data">#REF!</definedName>
    <definedName name="DATA_IN" localSheetId="4">#REF!</definedName>
    <definedName name="DATA_IN">#REF!</definedName>
    <definedName name="Date">'[24]DOSSIER PROCESS MOYENS'!$K$8</definedName>
    <definedName name="DCD" localSheetId="24">#REF!</definedName>
    <definedName name="DCD" localSheetId="4">#REF!</definedName>
    <definedName name="DCD" localSheetId="2">#REF!</definedName>
    <definedName name="DCD" localSheetId="3">#REF!</definedName>
    <definedName name="DCD" localSheetId="26">#REF!</definedName>
    <definedName name="DCD" localSheetId="27">#REF!</definedName>
    <definedName name="DCD" localSheetId="28">#REF!</definedName>
    <definedName name="DCD">#REF!</definedName>
    <definedName name="dd" hidden="1">{#N/A,#N/A,FALSE,"Aging Summary";#N/A,#N/A,FALSE,"Ratio Analysis";#N/A,#N/A,FALSE,"Test 120 Day Accts";#N/A,#N/A,FALSE,"Tickmarks"}</definedName>
    <definedName name="dddddd">{#N/A,#N/A,FALSE,"Aging Summary";#N/A,#N/A,FALSE,"Ratio Analysis";#N/A,#N/A,FALSE,"Test 120 Day Accts";#N/A,#N/A,FALSE,"Tickmarks"}</definedName>
    <definedName name="ddk" hidden="1">{"Schedule_1D",#N/A,FALSE,"I-D"}</definedName>
    <definedName name="delegcli" localSheetId="4">#REF!</definedName>
    <definedName name="delegcli">#REF!</definedName>
    <definedName name="Delivery_labor_cost" localSheetId="4">#REF!</definedName>
    <definedName name="Delivery_labor_cost">#REF!</definedName>
    <definedName name="Delivery_overheads" localSheetId="4">#REF!</definedName>
    <definedName name="Delivery_overheads">#REF!</definedName>
    <definedName name="DELPHI" localSheetId="4">[10]Alquiler_Predio!#REF!</definedName>
    <definedName name="DELPHI">[10]Alquiler_Predio!#REF!</definedName>
    <definedName name="Deutsh_Mark">[4]Feuil3!$T$24</definedName>
    <definedName name="devclientes" localSheetId="4">#REF!</definedName>
    <definedName name="devclientes">#REF!</definedName>
    <definedName name="devise">[4]Feuil3!$S$20:$U$31</definedName>
    <definedName name="devprov" localSheetId="4">#REF!</definedName>
    <definedName name="devprov">#REF!</definedName>
    <definedName name="devst" localSheetId="4">#REF!</definedName>
    <definedName name="devst">#REF!</definedName>
    <definedName name="dghk"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ghkghdkd" hidden="1">{"Schedule_1B",#N/A,FALSE,"I-B"}</definedName>
    <definedName name="dgkg"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hdafh" hidden="1">{"Schedule_1B",#N/A,FALSE,"I-B"}</definedName>
    <definedName name="dhkd"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hkdh" hidden="1">{"Schedule_IA",#N/A,FALSE,"I-A"}</definedName>
    <definedName name="DIAS" localSheetId="4">#REF!</definedName>
    <definedName name="DIAS">#REF!</definedName>
    <definedName name="diasmes" localSheetId="4">#REF!</definedName>
    <definedName name="diasmes">#REF!</definedName>
    <definedName name="DIASR" localSheetId="4">#REF!</definedName>
    <definedName name="DIASR">#REF!</definedName>
    <definedName name="Difference" localSheetId="4">#REF!</definedName>
    <definedName name="Difference">#REF!</definedName>
    <definedName name="Dim_List9" localSheetId="4">[25]Units!#REF!</definedName>
    <definedName name="Dim_List9">[25]Units!#REF!</definedName>
    <definedName name="dim_liste" localSheetId="4">#REF!</definedName>
    <definedName name="dim_liste">#REF!</definedName>
    <definedName name="dim_liste1">[18]Param!$M$6</definedName>
    <definedName name="dim_liste7">[26]Param!$E$176</definedName>
    <definedName name="dim_liste8">[27]Param!$E$196</definedName>
    <definedName name="dim_liste9">[25]Units!$J$30</definedName>
    <definedName name="Disaggregations" localSheetId="4">#REF!</definedName>
    <definedName name="Disaggregations">#REF!</definedName>
    <definedName name="DIVERS" localSheetId="24">[12]Catalogue!#REF!</definedName>
    <definedName name="DIVERS" localSheetId="4">[12]Catalogue!#REF!</definedName>
    <definedName name="DIVERS" localSheetId="2">[12]Catalogue!#REF!</definedName>
    <definedName name="DIVERS" localSheetId="3">[12]Catalogue!#REF!</definedName>
    <definedName name="DIVERS" localSheetId="34">[28]Catalogue!#REF!</definedName>
    <definedName name="DIVERS" localSheetId="21">[12]Catalogue!#REF!</definedName>
    <definedName name="DIVERS" localSheetId="26">[12]Catalogue!#REF!</definedName>
    <definedName name="DIVERS" localSheetId="27">[12]Catalogue!#REF!</definedName>
    <definedName name="DIVERS" localSheetId="28">[12]Catalogue!#REF!</definedName>
    <definedName name="DIVERS">[12]Catalogue!#REF!</definedName>
    <definedName name="DJDJ" hidden="1">{"Schedule_1B",#N/A,FALSE,"I-B"}</definedName>
    <definedName name="dk" hidden="1">{"Schedule_1B",#N/A,FALSE,"I-B"}</definedName>
    <definedName name="dkdtk"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kdtkdtu" hidden="1">{"Schedule_1D",#N/A,FALSE,"I-D"}</definedName>
    <definedName name="dkdtuk" hidden="1">{"Schedule_1B",#N/A,FALSE,"I-B"}</definedName>
    <definedName name="DOLAR">[29]Datos!$C$6</definedName>
    <definedName name="DÓLAR" localSheetId="4">#REF!</definedName>
    <definedName name="DÓLAR">#REF!</definedName>
    <definedName name="Dollar">[4]Feuil3!$T$23</definedName>
    <definedName name="DP" localSheetId="24">#REF!</definedName>
    <definedName name="DP" localSheetId="4">#REF!</definedName>
    <definedName name="DP" localSheetId="2">#REF!</definedName>
    <definedName name="DP" localSheetId="3">#REF!</definedName>
    <definedName name="DP" localSheetId="26">#REF!</definedName>
    <definedName name="DP" localSheetId="27">#REF!</definedName>
    <definedName name="DP" localSheetId="28">#REF!</definedName>
    <definedName name="DP">#REF!</definedName>
    <definedName name="dshdha"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tk"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tkdktd" hidden="1">{"Schedule_1D",#N/A,FALSE,"I-D"}</definedName>
    <definedName name="dtkdtk" hidden="1">{"Schedule_IA",#N/A,FALSE,"I-A"}</definedName>
    <definedName name="dtktk" hidden="1">{"Schedule_1C",#N/A,FALSE,"I-C"}</definedName>
    <definedName name="dyku" hidden="1">{"Index",#N/A,FALSE,"Index"}</definedName>
    <definedName name="E"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ECLIM" localSheetId="4">#REF!</definedName>
    <definedName name="ECLIM">#REF!</definedName>
    <definedName name="eee">[0]!eee</definedName>
    <definedName name="EHAEH" hidden="1">{"Schedule_1C",#N/A,FALSE,"I-C"}</definedName>
    <definedName name="EJYEJ"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engagement_type" localSheetId="37">[7]Références!$A$1:$A$41</definedName>
    <definedName name="engagement_type" localSheetId="36">[7]Références!$A$1:$A$41</definedName>
    <definedName name="engagement_type">[7]Références!$A$1:$A$41</definedName>
    <definedName name="ENGIN">[18]Param!$D$135:$K$150</definedName>
    <definedName name="Entités">'[20]chiffres 2010'!$K$31:$K$41</definedName>
    <definedName name="env.finition">[4]Feuil3!$Z$1</definedName>
    <definedName name="env.MOD">[4]Feuil3!$AB$1</definedName>
    <definedName name="env.moulage">[4]Feuil3!$X$1</definedName>
    <definedName name="env.peinture">[4]Feuil3!$Y$1</definedName>
    <definedName name="env.STmach">[4]Feuil3!$AA$1</definedName>
    <definedName name="ep_i" localSheetId="4">#REF!</definedName>
    <definedName name="ep_i">#REF!</definedName>
    <definedName name="EPP" localSheetId="4">'Personal '!#REF!</definedName>
    <definedName name="EPP">'Personal '!#REF!</definedName>
    <definedName name="EquivCamionAttente">[14]Project!$D$58</definedName>
    <definedName name="EquivCamionChgt">[14]Project!$D$59</definedName>
    <definedName name="EquivCamionDechgt">[14]Project!$D$60</definedName>
    <definedName name="EquivCamionEncyclage">[14]Project!$D$57</definedName>
    <definedName name="EquivTrainEncyclage">[14]Project!$D$63</definedName>
    <definedName name="ERAP" localSheetId="4">#REF!</definedName>
    <definedName name="ERAP">#REF!</definedName>
    <definedName name="ESHSEH" hidden="1">{"Schedule_1D",#N/A,FALSE,"I-D"}</definedName>
    <definedName name="Espagne">[4]Feuil3!$V$12</definedName>
    <definedName name="Estadía" localSheetId="4">#REF!</definedName>
    <definedName name="Estadía">#REF!</definedName>
    <definedName name="Estado">[30]Tablas!$G$9:$H$14</definedName>
    <definedName name="estampillado" localSheetId="4">#REF!</definedName>
    <definedName name="estampillado">#REF!</definedName>
    <definedName name="ETAM">[18]Param!$D$7:$K$30</definedName>
    <definedName name="ETAM_MOI">[18]Param!$D$35:$K$58</definedName>
    <definedName name="etiquetado" localSheetId="4">#REF!</definedName>
    <definedName name="etiquetado">#REF!</definedName>
    <definedName name="euro09">'[31]OVL existing agency'!$H$9</definedName>
    <definedName name="Expected_balance" localSheetId="4">#REF!</definedName>
    <definedName name="Expected_balance">#REF!</definedName>
    <definedName name="fa" localSheetId="4">'[16]DEUDORES EN GESTION'!#REF!</definedName>
    <definedName name="fa">'[16]DEUDORES EN GESTION'!#REF!</definedName>
    <definedName name="factoraccd" localSheetId="4">#REF!</definedName>
    <definedName name="factoraccd">#REF!</definedName>
    <definedName name="Failure">[30]Tablas!$D$3:$E$12</definedName>
    <definedName name="fax" localSheetId="4" hidden="1">#REF!</definedName>
    <definedName name="fax" hidden="1">#REF!</definedName>
    <definedName name="FB">[4]Feuil3!$T$26</definedName>
    <definedName name="Feeding_labor" localSheetId="4">#REF!</definedName>
    <definedName name="Feeding_labor">#REF!</definedName>
    <definedName name="Feeding_labor_cost" localSheetId="4">#REF!</definedName>
    <definedName name="Feeding_labor_cost">#REF!</definedName>
    <definedName name="ff" localSheetId="4">#REF!</definedName>
    <definedName name="ff">#REF!</definedName>
    <definedName name="ffff" localSheetId="4">#REF!</definedName>
    <definedName name="ffff">#REF!</definedName>
    <definedName name="fffff" localSheetId="4">#REF!</definedName>
    <definedName name="fffff">#REF!</definedName>
    <definedName name="FGM" hidden="1">{"Schedule_1D",#N/A,FALSE,"I-D"}</definedName>
    <definedName name="fhkfk" hidden="1">{"Index",#N/A,FALSE,"Index"}</definedName>
    <definedName name="FIL" hidden="1">{"Schedule_IA",#N/A,FALSE,"I-A"}</definedName>
    <definedName name="FIL_NOM">[32]MENU!$AE$1</definedName>
    <definedName name="FilialesBudget">'[20]Budget Filiales'!$A$4:$A$56</definedName>
    <definedName name="Final_delivery_labor" localSheetId="4">#REF!</definedName>
    <definedName name="Final_delivery_labor">#REF!</definedName>
    <definedName name="FJCORDOBA" localSheetId="4">#REF!</definedName>
    <definedName name="FJCORDOBA">#REF!</definedName>
    <definedName name="FJROSARIO" localSheetId="4">#REF!</definedName>
    <definedName name="FJROSARIO">#REF!</definedName>
    <definedName name="FLIYFLFY" hidden="1">{"Index",#N/A,FALSE,"Index"}</definedName>
    <definedName name="Florin">[4]Feuil3!$T$25</definedName>
    <definedName name="FMMDSM" hidden="1">{"Schedule_1D",#N/A,FALSE,"I-D"}</definedName>
    <definedName name="FNDGN" hidden="1">{"Schedule_1C",#N/A,FALSE,"I-C"}</definedName>
    <definedName name="fo">[0]!fo</definedName>
    <definedName name="Franc">[4]Feuil3!$T$20</definedName>
    <definedName name="Franc_Belge">[4]Feuil3!$T$26</definedName>
    <definedName name="France_Industrie">[4]Feuil3!$V$11</definedName>
    <definedName name="frherental" localSheetId="4">#REF!</definedName>
    <definedName name="frherental">#REF!</definedName>
    <definedName name="FRprocess" localSheetId="4">#REF!</definedName>
    <definedName name="FRprocess">#REF!</definedName>
    <definedName name="FS">[4]Feuil3!$T$28</definedName>
    <definedName name="fsgjfgs" hidden="1">{"Schedule_1D",#N/A,FALSE,"I-D"}</definedName>
    <definedName name="FSMFM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FSMSFM" hidden="1">{"Index",#N/A,FALSE,"Index"}</definedName>
    <definedName name="FYL" hidden="1">{"Schedule_1D",#N/A,FALSE,"I-D"}</definedName>
    <definedName name="g" localSheetId="4">#REF!</definedName>
    <definedName name="g">#REF!</definedName>
    <definedName name="gag" hidden="1">{"Schedule_IA",#N/A,FALSE,"I-A"}</definedName>
    <definedName name="GAHA" hidden="1">{"Schedule_1B",#N/A,FALSE,"I-B"}</definedName>
    <definedName name="GarínAbril">[5]DetalleGarin!$M$12:$M$137</definedName>
    <definedName name="GarínAgosto">[5]DetalleGarin!$Y$12:$Y$137</definedName>
    <definedName name="GarínDiciembre">[5]DetalleGarin!$AK$12:$AK$137</definedName>
    <definedName name="GarínEnero">[5]DetalleGarin!$D$12:$D$137</definedName>
    <definedName name="GarínFebrero">[5]DetalleGarin!$G$12:$G$137</definedName>
    <definedName name="GarínJulio">[5]DetalleGarin!$V$12:$V$137</definedName>
    <definedName name="GarínJunio">[5]DetalleGarin!$S$12:$S$137</definedName>
    <definedName name="GarínMarzo">[5]DetalleGarin!$J$12:$J$137</definedName>
    <definedName name="GarínMayo">[5]DetalleGarin!$P$12:$P$137</definedName>
    <definedName name="GarínNoviembre">[5]DetalleGarin!$AH$12:$AH$137</definedName>
    <definedName name="GarínOctubre">[5]DetalleGarin!$AE$12:$AE$137</definedName>
    <definedName name="GarínSeptiembre">[5]DetalleGarin!$AB$12:$AB$137</definedName>
    <definedName name="GazoleA" localSheetId="4">#REF!</definedName>
    <definedName name="GazoleA">#REF!</definedName>
    <definedName name="GazoleN" localSheetId="4">#REF!</definedName>
    <definedName name="GazoleN">#REF!</definedName>
    <definedName name="GC" localSheetId="4">#REF!</definedName>
    <definedName name="GC">#REF!</definedName>
    <definedName name="gdhkgdk"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GERENTE" localSheetId="4">#REF!</definedName>
    <definedName name="GERENTE">#REF!</definedName>
    <definedName name="Gerentwe" localSheetId="4">[15]Salarios!#REF!</definedName>
    <definedName name="Gerentwe">[15]Salarios!#REF!</definedName>
    <definedName name="gesrgserg" hidden="1">{"Schedule_1D",#N/A,FALSE,"I-D"}</definedName>
    <definedName name="gfsjfsgjsgj" hidden="1">{"Schedule_IA",#N/A,FALSE,"I-A"}</definedName>
    <definedName name="gfsjgfsjsg" hidden="1">{"Schedule_IA",#N/A,FALSE,"I-A"}</definedName>
    <definedName name="gfsjsfgjsg" hidden="1">{"Schedule_1D",#N/A,FALSE,"I-D"}</definedName>
    <definedName name="gfsjsgfjs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GGA" hidden="1">{"Index",#N/A,FALSE,"Index"}</definedName>
    <definedName name="GHKG" hidden="1">{"Schedule_1B",#N/A,FALSE,"I-B"}</definedName>
    <definedName name="ghkkghd" hidden="1">{"Schedule_1B",#N/A,FALSE,"I-B"}</definedName>
    <definedName name="ghmdhg" hidden="1">{"Index",#N/A,FALSE,"Index"}</definedName>
    <definedName name="Graficos" localSheetId="4">#REF!</definedName>
    <definedName name="Graficos">#REF!</definedName>
    <definedName name="grse" hidden="1">{"Schedule_IA",#N/A,FALSE,"I-A"}</definedName>
    <definedName name="Guichen">[4]Feuil3!$V$10</definedName>
    <definedName name="H" localSheetId="4" hidden="1">#REF!</definedName>
    <definedName name="H" hidden="1">#REF!</definedName>
    <definedName name="hadfh" hidden="1">{"Schedule_1C",#N/A,FALSE,"I-C"}</definedName>
    <definedName name="haut_c" localSheetId="4">#REF!</definedName>
    <definedName name="haut_c">#REF!</definedName>
    <definedName name="haut_p" localSheetId="4">#REF!</definedName>
    <definedName name="haut_p">#REF!</definedName>
    <definedName name="Headcount" localSheetId="37">'cost calculateur'!$C$4</definedName>
    <definedName name="Headcount" localSheetId="22">'[33]cost calculateur'!$C$4</definedName>
    <definedName name="Headcount" localSheetId="21">'[34]Cost calculator'!$C$4</definedName>
    <definedName name="Headcount" localSheetId="36">'cost calculateur'!$C$4</definedName>
    <definedName name="Headcount">'cost calculateur'!$C$4</definedName>
    <definedName name="Headings" localSheetId="4">#REF!</definedName>
    <definedName name="Headings">#REF!</definedName>
    <definedName name="heths" hidden="1">{"Schedule_IA",#N/A,FALSE,"I-A"}</definedName>
    <definedName name="hexturno" localSheetId="4">#REF!</definedName>
    <definedName name="hexturno">#REF!</definedName>
    <definedName name="HH" localSheetId="4">#REF!</definedName>
    <definedName name="HH">#REF!</definedName>
    <definedName name="hhad" hidden="1">{"Schedule_1B",#N/A,FALSE,"I-B"}</definedName>
    <definedName name="hhadministrativo" localSheetId="4">'[23]Gastos Generales'!#REF!</definedName>
    <definedName name="hhadministrativo">'[23]Gastos Generales'!#REF!</definedName>
    <definedName name="hhautoconv" localSheetId="4">'[23]Gastos Generales'!#REF!</definedName>
    <definedName name="hhautoconv">'[23]Gastos Generales'!#REF!</definedName>
    <definedName name="hhautoelec" localSheetId="4">'[23]Gastos Generales'!#REF!</definedName>
    <definedName name="hhautoelec">'[23]Gastos Generales'!#REF!</definedName>
    <definedName name="hhclamp" localSheetId="4">'[23]Gastos Generales'!#REF!</definedName>
    <definedName name="hhclamp">'[23]Gastos Generales'!#REF!</definedName>
    <definedName name="hhgerente" localSheetId="4">'[23]Gastos Generales'!#REF!</definedName>
    <definedName name="hhgerente">'[23]Gastos Generales'!#REF!</definedName>
    <definedName name="hhjefe" localSheetId="4">'[23]Gastos Generales'!#REF!</definedName>
    <definedName name="hhjefe">'[23]Gastos Generales'!#REF!</definedName>
    <definedName name="hhoperario" localSheetId="4">'[23]Gastos Generales'!#REF!</definedName>
    <definedName name="hhoperario">'[23]Gastos Generales'!#REF!</definedName>
    <definedName name="hhporteria" localSheetId="4">'[23]Gastos Generales'!#REF!</definedName>
    <definedName name="hhporteria">'[23]Gastos Generales'!#REF!</definedName>
    <definedName name="hhsecretaria" localSheetId="4">'[23]Gastos Generales'!#REF!</definedName>
    <definedName name="hhsecretaria">'[23]Gastos Generales'!#REF!</definedName>
    <definedName name="HHSG" hidden="1">{"Schedule_I",#N/A,FALSE,"I"}</definedName>
    <definedName name="hhsupervisor" localSheetId="4">'[23]Gastos Generales'!#REF!</definedName>
    <definedName name="hhsupervisor">'[23]Gastos Generales'!#REF!</definedName>
    <definedName name="hkstk" hidden="1">{"Schedule_1D",#N/A,FALSE,"I-D"}</definedName>
    <definedName name="hola" hidden="1">{"Schedule_1D",#N/A,FALSE,"I-D"}</definedName>
    <definedName name="H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HSH" hidden="1">{"Schedule_1B",#N/A,FALSE,"I-B"}</definedName>
    <definedName name="HSTH" hidden="1">{"Schedule_IA",#N/A,FALSE,"I-A"}</definedName>
    <definedName name="I" hidden="1">{"Schedule_IA",#N/A,FALSE,"I-A"}</definedName>
    <definedName name="ILIAbril">[5]DetalleILI!$U$12:$U$137</definedName>
    <definedName name="ILIAgosto">[5]DetalleILI!$AO$12:$AO$137</definedName>
    <definedName name="ILIDiciembre">[5]DetalleILI!$BI$12:$BI$137</definedName>
    <definedName name="ILIEnero">[5]DetalleILI!$F$12:$F$137</definedName>
    <definedName name="ILIFebrero">[5]DetalleILI!$K$12:$K$137</definedName>
    <definedName name="ILIJulio">[5]DetalleILI!$AJ$12:$AJ$137</definedName>
    <definedName name="ILIJunio">[5]DetalleILI!$AE$12:$AE$137</definedName>
    <definedName name="ILIMarzo">[5]DetalleILI!$P$12:$P$137</definedName>
    <definedName name="ILIMayo">[5]DetalleILI!$Z$12:$Z$137</definedName>
    <definedName name="ILINoviembre">[5]DetalleILI!$BD$12:$BD$137</definedName>
    <definedName name="ILIOctubre">[5]DetalleILI!$AY$12:$AY$137</definedName>
    <definedName name="ILISeptiembre">[5]DetalleILI!$AT$12:$AT$137</definedName>
    <definedName name="Indirect_labor" localSheetId="4">#REF!</definedName>
    <definedName name="Indirect_labor">#REF!</definedName>
    <definedName name="Indirect_labor_cost" localSheetId="4">#REF!</definedName>
    <definedName name="Indirect_labor_cost">#REF!</definedName>
    <definedName name="INFLGAS" localSheetId="4">#REF!</definedName>
    <definedName name="INFLGAS">#REF!</definedName>
    <definedName name="INFLM" localSheetId="4">#REF!</definedName>
    <definedName name="INFLM">#REF!</definedName>
    <definedName name="INFLOVL" localSheetId="4">#REF!</definedName>
    <definedName name="INFLOVL">#REF!</definedName>
    <definedName name="INFLPER" localSheetId="4">#REF!</definedName>
    <definedName name="INFLPER">#REF!</definedName>
    <definedName name="INFLPR" localSheetId="4">#REF!</definedName>
    <definedName name="INFLPR">#REF!</definedName>
    <definedName name="Info" localSheetId="37">'cost calculateur'!$B$4</definedName>
    <definedName name="Info" localSheetId="22">'[33]cost calculateur'!$B$4</definedName>
    <definedName name="Info" localSheetId="21">'[34]Cost calculator'!$B$4</definedName>
    <definedName name="Info" localSheetId="36">'cost calculateur'!$B$4</definedName>
    <definedName name="Info">'cost calculateur'!$B$4</definedName>
    <definedName name="Info_invest" localSheetId="4">#REF!</definedName>
    <definedName name="Info_invest">#REF!</definedName>
    <definedName name="Info_invest_FEM" localSheetId="4">#REF!</definedName>
    <definedName name="Info_invest_FEM">#REF!</definedName>
    <definedName name="Info_overheads" localSheetId="4">#REF!</definedName>
    <definedName name="Info_overheads">#REF!</definedName>
    <definedName name="ins">'[19]Taux horaires'!$A$39:$D$58</definedName>
    <definedName name="ins_ent">'[19]Taux horaires'!$B$39:$B$58</definedName>
    <definedName name="INT" localSheetId="4">#REF!</definedName>
    <definedName name="INT">#REF!</definedName>
    <definedName name="interim" localSheetId="37">'cost calculateur'!$C$5</definedName>
    <definedName name="interim" localSheetId="22">'[33]cost calculateur'!$C$5</definedName>
    <definedName name="interim" localSheetId="21">'[34]Cost calculator'!$C$5</definedName>
    <definedName name="interim" localSheetId="36">'cost calculateur'!$C$5</definedName>
    <definedName name="interim">'cost calculateur'!$C$5</definedName>
    <definedName name="INVESTMENT" localSheetId="4">#REF!</definedName>
    <definedName name="INVESTMENT">#REF!</definedName>
    <definedName name="IP" localSheetId="24">#REF!</definedName>
    <definedName name="IP" localSheetId="4">#REF!</definedName>
    <definedName name="IP" localSheetId="2">#REF!</definedName>
    <definedName name="IP" localSheetId="3">#REF!</definedName>
    <definedName name="IP" localSheetId="26">#REF!</definedName>
    <definedName name="IP" localSheetId="27">#REF!</definedName>
    <definedName name="IP" localSheetId="28">#REF!</definedName>
    <definedName name="IP">#REF!</definedName>
    <definedName name="ITEMS" localSheetId="4">#REF!</definedName>
    <definedName name="ITEMS">#REF!</definedName>
    <definedName name="JDDJ" hidden="1">{"Schedule_IA",#N/A,FALSE,"I-A"}</definedName>
    <definedName name="JDYJDY"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JGFSJS" hidden="1">{"Index",#N/A,FALSE,"Index"}</definedName>
    <definedName name="JHSDOLASHODAJDJASL" hidden="1">{#N/A,#N/A,FALSE,"Aging Summary";#N/A,#N/A,FALSE,"Ratio Analysis";#N/A,#N/A,FALSE,"Test 120 Day Accts";#N/A,#N/A,FALSE,"Tickmarks"}</definedName>
    <definedName name="jsgfjgfsjf" hidden="1">{"Index",#N/A,FALSE,"Index"}</definedName>
    <definedName name="jsjs" hidden="1">{"Schedule_IA",#N/A,FALSE,"I-A"}</definedName>
    <definedName name="JSRJRT" hidden="1">{"Schedule_IA",#N/A,FALSE,"I-A"}</definedName>
    <definedName name="Junio1">'[5]Total por Actividad'!$A$2:$AQ$42</definedName>
    <definedName name="Junio2" localSheetId="4">#REF!</definedName>
    <definedName name="Junio2">#REF!</definedName>
    <definedName name="Junio3">[5]DetalleILI!$A$1:$AE$38</definedName>
    <definedName name="Junio4">[5]DetalleRMLAP!$A$1:$BI$37</definedName>
    <definedName name="Junio5">[5]DetalleRMA!$A$1:$AW$35</definedName>
    <definedName name="Junio6">[5]Subtotal!$A$4:$BU$36</definedName>
    <definedName name="k" hidden="1">{"Schedule_1D",#N/A,FALSE,"I-D"}</definedName>
    <definedName name="kdkdtk" hidden="1">{"Schedule_IA",#N/A,FALSE,"I-A"}</definedName>
    <definedName name="kdtkud"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kghdk" hidden="1">{"Schedule_1D",#N/A,FALSE,"I-D"}</definedName>
    <definedName name="kkdk" hidden="1">{"Schedule_IA",#N/A,FALSE,"I-A"}</definedName>
    <definedName name="ktdk" hidden="1">{"Schedule_I",#N/A,FALSE,"I"}</definedName>
    <definedName name="ktdkt" hidden="1">{"Index",#N/A,FALSE,"Index"}</definedName>
    <definedName name="ktdtk" hidden="1">{"Index",#N/A,FALSE,"Index"}</definedName>
    <definedName name="La_Verpillère">[4]Feuil3!$V$8</definedName>
    <definedName name="lagere1front" localSheetId="4">#REF!</definedName>
    <definedName name="lagere1front">#REF!</definedName>
    <definedName name="lagere1rear" localSheetId="4">#REF!</definedName>
    <definedName name="lagere1rear">#REF!</definedName>
    <definedName name="lagerflächebrut">[35]Colorado!$X$3</definedName>
    <definedName name="lagermac" localSheetId="4">#REF!</definedName>
    <definedName name="lagermac">#REF!</definedName>
    <definedName name="lagermacrear" localSheetId="4">#REF!</definedName>
    <definedName name="lagermacrear">#REF!</definedName>
    <definedName name="lagermacsemi" localSheetId="4">#REF!</definedName>
    <definedName name="lagermacsemi">#REF!</definedName>
    <definedName name="Langres">[4]Feuil3!$V$7</definedName>
    <definedName name="larg_c" localSheetId="4">#REF!</definedName>
    <definedName name="larg_c">#REF!</definedName>
    <definedName name="larg_p" localSheetId="4">#REF!</definedName>
    <definedName name="larg_p">#REF!</definedName>
    <definedName name="LFILFI"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LFILFYLY" hidden="1">{"Schedule_IA",#N/A,FALSE,"I-A"}</definedName>
    <definedName name="LFY" hidden="1">{"Schedule_1D",#N/A,FALSE,"I-D"}</definedName>
    <definedName name="LFYI" hidden="1">{"Schedule_I",#N/A,FALSE,"I"}</definedName>
    <definedName name="LFYLFYLY" hidden="1">{"Schedule_1B",#N/A,FALSE,"I-B"}</definedName>
    <definedName name="libellé_chaine">[4]Feuil3!$C$37:$C$69</definedName>
    <definedName name="libellé_devise">[4]Feuil3!$T$20:$T$31</definedName>
    <definedName name="libellé_presse">[4]Feuil3!$C$3:$C$25</definedName>
    <definedName name="libellé_site">[4]Feuil3!$W$4:$W$16</definedName>
    <definedName name="Lifetime" localSheetId="4">#REF!</definedName>
    <definedName name="Lifetime">#REF!</definedName>
    <definedName name="LIFU"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limitehe" localSheetId="4">#REF!</definedName>
    <definedName name="limitehe">#REF!</definedName>
    <definedName name="Line" localSheetId="4">#REF!</definedName>
    <definedName name="Line">#REF!</definedName>
    <definedName name="liq" localSheetId="4">#REF!</definedName>
    <definedName name="liq">#REF!</definedName>
    <definedName name="Lire">[4]Feuil3!$T$27</definedName>
    <definedName name="LISSE" localSheetId="4">#REF!</definedName>
    <definedName name="LISSE">#REF!</definedName>
    <definedName name="LISTE_ETAM" localSheetId="4">#REF!</definedName>
    <definedName name="LISTE_ETAM">#REF!</definedName>
    <definedName name="LISTE_SAISON">[18]Saisonnalite!$B$7:$J$31</definedName>
    <definedName name="Livre">[4]Feuil3!$T$21</definedName>
    <definedName name="Livre_Turque">[4]Feuil3!$T$31</definedName>
    <definedName name="LLLA"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localidades">[2]Localidades!$A$2:$E$110</definedName>
    <definedName name="Logistics_invest" localSheetId="4">#REF!</definedName>
    <definedName name="Logistics_invest">#REF!</definedName>
    <definedName name="Logistics_invest_FEM" localSheetId="4">#REF!</definedName>
    <definedName name="Logistics_invest_FEM">#REF!</definedName>
    <definedName name="Logistics_labor" localSheetId="4">#REF!</definedName>
    <definedName name="Logistics_labor">#REF!</definedName>
    <definedName name="Logistics_labor_cost" localSheetId="4">#REF!</definedName>
    <definedName name="Logistics_labor_cost">#REF!</definedName>
    <definedName name="Logistics_overheads" localSheetId="4">#REF!</definedName>
    <definedName name="Logistics_overheads">#REF!</definedName>
    <definedName name="Logistics_surface" localSheetId="4">#REF!</definedName>
    <definedName name="Logistics_surface">#REF!</definedName>
    <definedName name="Long_c" localSheetId="4">#REF!</definedName>
    <definedName name="Long_c">#REF!</definedName>
    <definedName name="long_p" localSheetId="4">#REF!</definedName>
    <definedName name="long_p">#REF!</definedName>
    <definedName name="LSRange1" localSheetId="4">#REF!</definedName>
    <definedName name="LSRange1">#REF!</definedName>
    <definedName name="LSRange1Balance" localSheetId="4">#REF!</definedName>
    <definedName name="LSRange1Balance">#REF!</definedName>
    <definedName name="LSRange2" localSheetId="4">#REF!</definedName>
    <definedName name="LSRange2">#REF!</definedName>
    <definedName name="LSRange2Balance" localSheetId="4">#REF!</definedName>
    <definedName name="LSRange2Balance">#REF!</definedName>
    <definedName name="m">{"Schedule_1D",#N/A,FALSE,"I-D"}</definedName>
    <definedName name="MaderoAbril">[5]DetalleMadero!$AC$12:$AC$137</definedName>
    <definedName name="MaderoAgosto">[5]DetalleMadero!$BE$12:$BE$137</definedName>
    <definedName name="MaderoDiciembre">[5]DetalleMadero!$CG$12:$CG$137</definedName>
    <definedName name="MaderoEnero">[5]DetalleMadero!$H$12:$H$137</definedName>
    <definedName name="MaderoFebrero">[5]DetalleMadero!$O$12:$O$137</definedName>
    <definedName name="MaderoJulio">[5]DetalleMadero!$AX$12:$AX$137</definedName>
    <definedName name="MaderoJunio">[5]DetalleMadero!$AQ$12:$AQ$137</definedName>
    <definedName name="MaderoMarzo">[5]DetalleMadero!$V$12:$V$137</definedName>
    <definedName name="MaderoMayo">[5]DetalleMadero!$AJ$12:$AJ$137</definedName>
    <definedName name="MaderoNoviembre">[5]DetalleMadero!$BZ$12:$BZ$137</definedName>
    <definedName name="MaderoOctubre">[5]DetalleMadero!$BS$12:$BS$137</definedName>
    <definedName name="MaderoSeptiembre">[5]DetalleMadero!$BL$12:$BL$137</definedName>
    <definedName name="MAQUINISTA" localSheetId="4">[36]Salarios!#REF!</definedName>
    <definedName name="MAQUINISTA">[36]Salarios!#REF!</definedName>
    <definedName name="marge_commerciale">[4]Feuil3!$AH$1</definedName>
    <definedName name="margenalm" localSheetId="4">#REF!</definedName>
    <definedName name="margenalm">#REF!</definedName>
    <definedName name="margeninout" localSheetId="4">#REF!</definedName>
    <definedName name="margeninout">#REF!</definedName>
    <definedName name="margenop" localSheetId="4">#REF!</definedName>
    <definedName name="margenop">#REF!</definedName>
    <definedName name="margenout" localSheetId="4">#REF!</definedName>
    <definedName name="margenout">#REF!</definedName>
    <definedName name="mat_plast_ent">'[19]Taux horaires'!$B$3:$B$12</definedName>
    <definedName name="mat_plat">'[19]Taux horaires'!$A$3:$D$12</definedName>
    <definedName name="MaterialesAbril">[5]DetalleMateriales!$AK$12:$AK$137</definedName>
    <definedName name="MaterialesAgosto">[5]DetalleMateriales!$BU$12:$BU$137</definedName>
    <definedName name="MaterialesDiciembre">[5]DetalleMateriales!$DE$12:$DE$137</definedName>
    <definedName name="MaterialesEnero">[5]DetalleMateriales!$J$12:$J$137</definedName>
    <definedName name="MaterialesFebrero">[5]DetalleMateriales!$S$12:$S$137</definedName>
    <definedName name="MaterialesJulio">[5]DetalleMateriales!$BL$12:$BL$137</definedName>
    <definedName name="MaterialesJunio">[5]DetalleMateriales!$BC$12:$BC$137</definedName>
    <definedName name="MaterialesMarzo">[5]DetalleMateriales!$AB$12:$AB$137</definedName>
    <definedName name="MaterialesMayo">[5]DetalleMateriales!$AT$12:$AT$137</definedName>
    <definedName name="MaterialesNoviembre">[5]DetalleMateriales!$CV$12:$CV$137</definedName>
    <definedName name="MaterialesOctubre">[5]DetalleMateriales!$CM$12:$CM$137</definedName>
    <definedName name="MaterialesSeptiembre">[5]DetalleMateriales!$CD$12:$CD$137</definedName>
    <definedName name="MBPSA" localSheetId="4">'[10]Resumen PSA '!#REF!</definedName>
    <definedName name="MBPSA">'[10]Resumen PSA '!#REF!</definedName>
    <definedName name="MC" localSheetId="4">#REF!</definedName>
    <definedName name="MC">#REF!</definedName>
    <definedName name="MCAMBA" localSheetId="4">'[37]RESUMEN RML'!#REF!</definedName>
    <definedName name="MCAMBA">'[37]RESUMEN RML'!#REF!</definedName>
    <definedName name="MENDOZA" localSheetId="4">#REF!</definedName>
    <definedName name="MENDOZA">#REF!</definedName>
    <definedName name="MESES" localSheetId="4">#REF!</definedName>
    <definedName name="MESES">#REF!</definedName>
    <definedName name="MFM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MFS" hidden="1">{"Schedule_1B",#N/A,FALSE,"I-B"}</definedName>
    <definedName name="mktsum" hidden="1">{#N/A,#N/A,FALSE,"Aging Summary";#N/A,#N/A,FALSE,"Ratio Analysis";#N/A,#N/A,FALSE,"Test 120 Day Accts";#N/A,#N/A,FALSE,"Tickmarks"}</definedName>
    <definedName name="mod" localSheetId="4">#REF!</definedName>
    <definedName name="mod">#REF!</definedName>
    <definedName name="ModuleVh">[14]Project!$D$30</definedName>
    <definedName name="MOI" localSheetId="4">#REF!</definedName>
    <definedName name="MOI">#REF!</definedName>
    <definedName name="MOIS" localSheetId="4">[1]CACORIG!#REF!</definedName>
    <definedName name="MOIS">[1]CACORIG!#REF!</definedName>
    <definedName name="mois_?" localSheetId="4">#REF!</definedName>
    <definedName name="mois_?">#REF!</definedName>
    <definedName name="mois_?_1" localSheetId="4">#REF!</definedName>
    <definedName name="mois_?_1">#REF!</definedName>
    <definedName name="mois_2" localSheetId="4">#REF!</definedName>
    <definedName name="mois_2">#REF!</definedName>
    <definedName name="mois_a" localSheetId="4">#REF!</definedName>
    <definedName name="mois_a">#REF!</definedName>
    <definedName name="mois_a_1" localSheetId="4">#REF!</definedName>
    <definedName name="mois_a_1">#REF!</definedName>
    <definedName name="mois_b" localSheetId="4">#REF!</definedName>
    <definedName name="mois_b">#REF!</definedName>
    <definedName name="mois_b_1" localSheetId="4">#REF!</definedName>
    <definedName name="mois_b_1">#REF!</definedName>
    <definedName name="mois_c" localSheetId="4">#REF!</definedName>
    <definedName name="mois_c">#REF!</definedName>
    <definedName name="mois_c_1" localSheetId="4">#REF!</definedName>
    <definedName name="mois_c_1">#REF!</definedName>
    <definedName name="mois_d" localSheetId="4">#REF!</definedName>
    <definedName name="mois_d">#REF!</definedName>
    <definedName name="mois_d_1" localSheetId="4">#REF!</definedName>
    <definedName name="mois_d_1">#REF!</definedName>
    <definedName name="mois_e" localSheetId="4">#REF!</definedName>
    <definedName name="mois_e">#REF!</definedName>
    <definedName name="mois_e_1" localSheetId="4">#REF!</definedName>
    <definedName name="mois_e_1">#REF!</definedName>
    <definedName name="mois_f" localSheetId="4">#REF!</definedName>
    <definedName name="mois_f">#REF!</definedName>
    <definedName name="mois_f_1" localSheetId="4">#REF!</definedName>
    <definedName name="mois_f_1">#REF!</definedName>
    <definedName name="mois_g" localSheetId="4">#REF!</definedName>
    <definedName name="mois_g">#REF!</definedName>
    <definedName name="mois_g_1" localSheetId="4">#REF!</definedName>
    <definedName name="mois_g_1">#REF!</definedName>
    <definedName name="mois_h" localSheetId="4">#REF!</definedName>
    <definedName name="mois_h">#REF!</definedName>
    <definedName name="mois_h_1" localSheetId="4">#REF!</definedName>
    <definedName name="mois_h_1">#REF!</definedName>
    <definedName name="mois_i" localSheetId="4">#REF!</definedName>
    <definedName name="mois_i">#REF!</definedName>
    <definedName name="mois_i_1" localSheetId="4">#REF!</definedName>
    <definedName name="mois_i_1">#REF!</definedName>
    <definedName name="mois_j" localSheetId="4">#REF!</definedName>
    <definedName name="mois_j">#REF!</definedName>
    <definedName name="mois_j_1" localSheetId="4">#REF!</definedName>
    <definedName name="mois_j_1">#REF!</definedName>
    <definedName name="mois_k" localSheetId="4">#REF!</definedName>
    <definedName name="mois_k">#REF!</definedName>
    <definedName name="mois_k_1" localSheetId="4">#REF!</definedName>
    <definedName name="mois_k_1">#REF!</definedName>
    <definedName name="mois_l" localSheetId="4">#REF!</definedName>
    <definedName name="mois_l">#REF!</definedName>
    <definedName name="mois_l_1" localSheetId="4">#REF!</definedName>
    <definedName name="mois_l_1">#REF!</definedName>
    <definedName name="MOIS_M">[32]MENU!$AK$1</definedName>
    <definedName name="Monetary_Precision" localSheetId="4">#REF!</definedName>
    <definedName name="Monetary_Precision">#REF!</definedName>
    <definedName name="MONNAIE">[32]MENU!$C$4</definedName>
    <definedName name="montage" localSheetId="4">#REF!</definedName>
    <definedName name="montage">#REF!</definedName>
    <definedName name="MOV" localSheetId="4">#REF!</definedName>
    <definedName name="MOV">#REF!</definedName>
    <definedName name="MSFM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MSFMVC" hidden="1">{"Schedule_1C",#N/A,FALSE,"I-C"}</definedName>
    <definedName name="msfsg"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MSMS" hidden="1">{"Schedule_I",#N/A,FALSE,"I"}</definedName>
    <definedName name="n" localSheetId="4">#REF!</definedName>
    <definedName name="n">#REF!</definedName>
    <definedName name="nb_hauthaut" localSheetId="4">#REF!</definedName>
    <definedName name="nb_hauthaut">#REF!</definedName>
    <definedName name="nb_larglarg" localSheetId="4">#REF!</definedName>
    <definedName name="nb_larglarg">#REF!</definedName>
    <definedName name="nb_larglong" localSheetId="4">#REF!</definedName>
    <definedName name="nb_larglong">#REF!</definedName>
    <definedName name="nb_Longlarg" localSheetId="4">#REF!</definedName>
    <definedName name="nb_Longlarg">#REF!</definedName>
    <definedName name="nb_longlong" localSheetId="4">#REF!</definedName>
    <definedName name="nb_longlong">#REF!</definedName>
    <definedName name="NbCamionJrREL" localSheetId="4">#REF!</definedName>
    <definedName name="NbCamionJrREL">#REF!</definedName>
    <definedName name="NbEquipeJr">[38]Project!$J$11</definedName>
    <definedName name="NbHrTravailEffectifJr">[14]Project!$D$272</definedName>
    <definedName name="NbHrTravailEffectifJrCmin">[14]Project!$E$272</definedName>
    <definedName name="NbJoursAn">[39]A7!$E$14</definedName>
    <definedName name="NbJrOeuvresAnnnuel">[38]Project!$D$25</definedName>
    <definedName name="nbparpile" localSheetId="4">#REF!</definedName>
    <definedName name="nbparpile">#REF!</definedName>
    <definedName name="NCC" localSheetId="4">#REF!</definedName>
    <definedName name="NCC">#REF!</definedName>
    <definedName name="NCDCETME" localSheetId="4">#REF!</definedName>
    <definedName name="NCDCETME">#REF!</definedName>
    <definedName name="NCDCM" localSheetId="4">#REF!</definedName>
    <definedName name="NCDCM">#REF!</definedName>
    <definedName name="NCDCP" localSheetId="4">#REF!</definedName>
    <definedName name="NCDCP">#REF!</definedName>
    <definedName name="NCNCZ" hidden="1">{"Schedule_1C",#N/A,FALSE,"I-C"}</definedName>
    <definedName name="NFP" localSheetId="4">#REF!</definedName>
    <definedName name="NFP">#REF!</definedName>
    <definedName name="NGP" localSheetId="4">#REF!</definedName>
    <definedName name="NGP">#REF!</definedName>
    <definedName name="NI" localSheetId="4">#REF!</definedName>
    <definedName name="NI">#REF!</definedName>
    <definedName name="NIDA" localSheetId="4">#REF!</definedName>
    <definedName name="NIDA">#REF!</definedName>
    <definedName name="NIVEAUX_RACK" localSheetId="4">#REF!</definedName>
    <definedName name="NIVEAUX_RACK">#REF!</definedName>
    <definedName name="NME" localSheetId="4">#REF!</definedName>
    <definedName name="NME">#REF!</definedName>
    <definedName name="NMG" localSheetId="4">#REF!</definedName>
    <definedName name="NMG">#REF!</definedName>
    <definedName name="NMMC" localSheetId="4">#REF!</definedName>
    <definedName name="NMMC">#REF!</definedName>
    <definedName name="NMNG" localSheetId="4">#REF!</definedName>
    <definedName name="NMNG">#REF!</definedName>
    <definedName name="nn" localSheetId="4">#REF!</definedName>
    <definedName name="nn">#REF!</definedName>
    <definedName name="nnn" localSheetId="4">#REF!</definedName>
    <definedName name="nnn">#REF!</definedName>
    <definedName name="nnnn" localSheetId="4">#REF!</definedName>
    <definedName name="nnnn">#REF!</definedName>
    <definedName name="nnnnnnn" localSheetId="4">#REF!</definedName>
    <definedName name="nnnnnnn">#REF!</definedName>
    <definedName name="nnnnnnnn" localSheetId="4">#REF!</definedName>
    <definedName name="nnnnnnnn">#REF!</definedName>
    <definedName name="nnnnnnnnn" localSheetId="4">#REF!</definedName>
    <definedName name="nnnnnnnnn">#REF!</definedName>
    <definedName name="nnnnnnnnnn" localSheetId="4">#REF!</definedName>
    <definedName name="nnnnnnnnnn">#REF!</definedName>
    <definedName name="nnnnnnnnnnn" localSheetId="4">#REF!</definedName>
    <definedName name="nnnnnnnnnnn">#REF!</definedName>
    <definedName name="NNT" localSheetId="4">#REF!</definedName>
    <definedName name="NNT">#REF!</definedName>
    <definedName name="Non_quality" localSheetId="4">#REF!</definedName>
    <definedName name="Non_quality">#REF!</definedName>
    <definedName name="NPNUE">[40]Périmètre!$L$17</definedName>
    <definedName name="NPP" localSheetId="4">#REF!</definedName>
    <definedName name="NPP">#REF!</definedName>
    <definedName name="NPPP" localSheetId="4">#REF!</definedName>
    <definedName name="NPPP">#REF!</definedName>
    <definedName name="NPR" localSheetId="4">#REF!</definedName>
    <definedName name="NPR">#REF!</definedName>
    <definedName name="NSD" localSheetId="4">#REF!</definedName>
    <definedName name="NSD">#REF!</definedName>
    <definedName name="NTM" localSheetId="4">#REF!</definedName>
    <definedName name="NTM">#REF!</definedName>
    <definedName name="NTP" localSheetId="4">#REF!</definedName>
    <definedName name="NTP">#REF!</definedName>
    <definedName name="NXMNXMGF" hidden="1">{"Schedule_IA",#N/A,FALSE,"I-A"}</definedName>
    <definedName name="NZCNCN" hidden="1">{"Schedule_IA",#N/A,FALSE,"I-A"}</definedName>
    <definedName name="O" hidden="1">{"Index",#N/A,FALSE,"Index"}</definedName>
    <definedName name="OCT" localSheetId="4">#REF!</definedName>
    <definedName name="OCT">#REF!</definedName>
    <definedName name="Officies_surface" localSheetId="4">#REF!</definedName>
    <definedName name="Officies_surface">#REF!</definedName>
    <definedName name="OK_QuandClic">[0]!OK_QuandClic</definedName>
    <definedName name="OKCNT_QuandClic">[0]!OKCNT_QuandClic</definedName>
    <definedName name="OPEL" localSheetId="4">#REF!</definedName>
    <definedName name="OPEL">#REF!</definedName>
    <definedName name="OPERARIO" localSheetId="4">#REF!</definedName>
    <definedName name="OPERARIO">#REF!</definedName>
    <definedName name="OPERARIONOCHE" localSheetId="4">[36]Salarios!#REF!</definedName>
    <definedName name="OPERARIONOCHE">[36]Salarios!#REF!</definedName>
    <definedName name="Option" localSheetId="4">#REF!</definedName>
    <definedName name="Option" localSheetId="37">#REF!</definedName>
    <definedName name="Option" localSheetId="33">[41]synthèse!$F$3</definedName>
    <definedName name="Option" localSheetId="34">[41]synthèse!$F$3</definedName>
    <definedName name="Option" localSheetId="22">#REF!</definedName>
    <definedName name="Option" localSheetId="21">[34]synthesis!$F$3</definedName>
    <definedName name="Option" localSheetId="36">#REF!</definedName>
    <definedName name="Option">#REF!</definedName>
    <definedName name="Option2" localSheetId="4">#REF!</definedName>
    <definedName name="Option2" localSheetId="37">#REF!</definedName>
    <definedName name="Option2" localSheetId="22">#REF!</definedName>
    <definedName name="Option2" localSheetId="21">#REF!</definedName>
    <definedName name="Option2" localSheetId="36">#REF!</definedName>
    <definedName name="Option2">#REF!</definedName>
    <definedName name="others_overheads" localSheetId="4">#REF!</definedName>
    <definedName name="others_overheads">#REF!</definedName>
    <definedName name="Overheads" localSheetId="4">#REF!</definedName>
    <definedName name="Overheads">#REF!</definedName>
    <definedName name="P" hidden="1">{"Schedule_1D",#N/A,FALSE,"I-D"}</definedName>
    <definedName name="p_inj" localSheetId="4">[19]Feuil2!#REF!</definedName>
    <definedName name="p_inj">[19]Feuil2!#REF!</definedName>
    <definedName name="p_inj_ent" localSheetId="4">[19]Feuil2!#REF!</definedName>
    <definedName name="p_inj_ent">[19]Feuil2!#REF!</definedName>
    <definedName name="PABX" localSheetId="24">[12]Catalogue!#REF!</definedName>
    <definedName name="PABX" localSheetId="4">[12]Catalogue!#REF!</definedName>
    <definedName name="PABX" localSheetId="2">[12]Catalogue!#REF!</definedName>
    <definedName name="PABX" localSheetId="3">[12]Catalogue!#REF!</definedName>
    <definedName name="PABX" localSheetId="34">[28]Catalogue!#REF!</definedName>
    <definedName name="PABX" localSheetId="21">[12]Catalogue!#REF!</definedName>
    <definedName name="PABX" localSheetId="26">[12]Catalogue!#REF!</definedName>
    <definedName name="PABX" localSheetId="27">[12]Catalogue!#REF!</definedName>
    <definedName name="PABX" localSheetId="28">[12]Catalogue!#REF!</definedName>
    <definedName name="PABX">[12]Catalogue!#REF!</definedName>
    <definedName name="PACHECO">'[22]RESUMEN GASTOS'!$E$25</definedName>
    <definedName name="PachecoAbril">[5]DetallePacheco!$U$12:$U$137</definedName>
    <definedName name="PachecoAgosto">[5]DetallePacheco!$AO$12:$AO$137</definedName>
    <definedName name="PachecoDiciembre">[5]DetallePacheco!$BI$12:$BI$137</definedName>
    <definedName name="PachecoEnero">[5]DetallePacheco!$F$12:$F$137</definedName>
    <definedName name="PachecoFebrero">[5]DetallePacheco!$K$12:$K$137</definedName>
    <definedName name="PachecoJulio">[5]DetallePacheco!$AJ$12:$AJ$137</definedName>
    <definedName name="PachecoJunio">[5]DetallePacheco!$AE$12:$AE$137</definedName>
    <definedName name="PachecoMarzo">[5]DetallePacheco!$P$12:$P$137</definedName>
    <definedName name="PachecoMayo">[5]DetallePacheco!$Z$12:$Z$137</definedName>
    <definedName name="PachecoNoviembre">[5]DetallePacheco!$BD$12:$BD$137</definedName>
    <definedName name="PachecoOctubre">[5]DetallePacheco!$AY$12:$AY$137</definedName>
    <definedName name="PachecoSeptiembre">[5]DetallePacheco!$AT$12:$AT$137</definedName>
    <definedName name="Packaging_invest" localSheetId="4">#REF!</definedName>
    <definedName name="Packaging_invest">#REF!</definedName>
    <definedName name="Packaging_invest_FEM" localSheetId="4">#REF!</definedName>
    <definedName name="Packaging_invest_FEM">#REF!</definedName>
    <definedName name="PALLET" localSheetId="4">#REF!</definedName>
    <definedName name="PALLET">#REF!</definedName>
    <definedName name="Pallets" localSheetId="4">#REF!</definedName>
    <definedName name="Pallets">#REF!</definedName>
    <definedName name="Pallets_dia" localSheetId="4">#REF!</definedName>
    <definedName name="Pallets_dia">#REF!</definedName>
    <definedName name="Paneles">[0]!Paneles</definedName>
    <definedName name="papa" localSheetId="4">#REF!</definedName>
    <definedName name="papa">#REF!</definedName>
    <definedName name="pasparpile" localSheetId="4">#REF!</definedName>
    <definedName name="pasparpile">#REF!</definedName>
    <definedName name="Pays" localSheetId="4">#REF!</definedName>
    <definedName name="Pays" localSheetId="37">#REF!</definedName>
    <definedName name="Pays" localSheetId="22">#REF!</definedName>
    <definedName name="Pays" localSheetId="21">#REF!</definedName>
    <definedName name="Pays" localSheetId="36">#REF!</definedName>
    <definedName name="Pays">#REF!</definedName>
    <definedName name="peinture">[4]Feuil3!$A$37:$F$69</definedName>
    <definedName name="PER" localSheetId="4">#REF!</definedName>
    <definedName name="PER">#REF!</definedName>
    <definedName name="Peseta">[4]Feuil3!$T$22</definedName>
    <definedName name="PFVM" localSheetId="4">#REF!</definedName>
    <definedName name="PFVM">#REF!</definedName>
    <definedName name="PFVP" localSheetId="4">#REF!</definedName>
    <definedName name="PFVP">#REF!</definedName>
    <definedName name="phaut" localSheetId="4">#REF!</definedName>
    <definedName name="phaut">#REF!</definedName>
    <definedName name="Picking_labor" localSheetId="4">#REF!</definedName>
    <definedName name="Picking_labor">#REF!</definedName>
    <definedName name="picking_labor_cost" localSheetId="4">#REF!</definedName>
    <definedName name="picking_labor_cost">#REF!</definedName>
    <definedName name="pickinge1front" localSheetId="4">#REF!</definedName>
    <definedName name="pickinge1front">#REF!</definedName>
    <definedName name="pickinge1rear" localSheetId="4">#REF!</definedName>
    <definedName name="pickinge1rear">#REF!</definedName>
    <definedName name="pickingmac" localSheetId="4">#REF!</definedName>
    <definedName name="pickingmac">#REF!</definedName>
    <definedName name="pickmacrear" localSheetId="4">#REF!</definedName>
    <definedName name="pickmacrear">#REF!</definedName>
    <definedName name="PiècesASSJr" localSheetId="4">'[42]3. General database'!#REF!</definedName>
    <definedName name="PiècesASSJr">'[42]3. General database'!#REF!</definedName>
    <definedName name="PLANTAS" localSheetId="4">#REF!</definedName>
    <definedName name="PLANTAS">#REF!</definedName>
    <definedName name="plarg" localSheetId="4">#REF!</definedName>
    <definedName name="plarg">#REF!</definedName>
    <definedName name="plong" localSheetId="4">#REF!</definedName>
    <definedName name="plong">#REF!</definedName>
    <definedName name="PO" localSheetId="4">#REF!</definedName>
    <definedName name="PO">#REF!</definedName>
    <definedName name="PonderationAR">[14]Project!$D$146</definedName>
    <definedName name="PPE" localSheetId="4">#REF!</definedName>
    <definedName name="PPE">#REF!</definedName>
    <definedName name="PPI" localSheetId="4">#REF!</definedName>
    <definedName name="PPI">#REF!</definedName>
    <definedName name="PPP" localSheetId="4">#REF!</definedName>
    <definedName name="PPP">#REF!</definedName>
    <definedName name="Precio_IN_OUT" localSheetId="4">#REF!</definedName>
    <definedName name="Precio_IN_OUT">#REF!</definedName>
    <definedName name="PRINTERS" localSheetId="24">[12]Catalogue!#REF!</definedName>
    <definedName name="PRINTERS" localSheetId="4">[12]Catalogue!#REF!</definedName>
    <definedName name="PRINTERS" localSheetId="2">[12]Catalogue!#REF!</definedName>
    <definedName name="PRINTERS" localSheetId="3">[12]Catalogue!#REF!</definedName>
    <definedName name="PRINTERS" localSheetId="34">[28]Catalogue!#REF!</definedName>
    <definedName name="PRINTERS" localSheetId="21">[12]Catalogue!#REF!</definedName>
    <definedName name="PRINTERS" localSheetId="26">[12]Catalogue!#REF!</definedName>
    <definedName name="PRINTERS" localSheetId="27">[12]Catalogue!#REF!</definedName>
    <definedName name="PRINTERS" localSheetId="28">[12]Catalogue!#REF!</definedName>
    <definedName name="PRINTERS">[12]Catalogue!#REF!</definedName>
    <definedName name="Process_invest" localSheetId="4">#REF!</definedName>
    <definedName name="Process_invest">#REF!</definedName>
    <definedName name="Process_invest_FEM" localSheetId="4">#REF!</definedName>
    <definedName name="Process_invest_FEM">#REF!</definedName>
    <definedName name="Product">[30]Tablas!$A$3:$B$14</definedName>
    <definedName name="Production_executive" localSheetId="4">#REF!</definedName>
    <definedName name="Production_executive">#REF!</definedName>
    <definedName name="Production_executive_cost" localSheetId="4">#REF!</definedName>
    <definedName name="Production_executive_cost">#REF!</definedName>
    <definedName name="Production_labor" localSheetId="4">#REF!</definedName>
    <definedName name="Production_labor">#REF!</definedName>
    <definedName name="Production_volume" localSheetId="4">#REF!</definedName>
    <definedName name="Production_volume">#REF!</definedName>
    <definedName name="Production_year" localSheetId="4">#REF!</definedName>
    <definedName name="Production_year">#REF!</definedName>
    <definedName name="Project" localSheetId="4">#REF!</definedName>
    <definedName name="Project">#REF!</definedName>
    <definedName name="Project_dev" localSheetId="4">#REF!</definedName>
    <definedName name="Project_dev">#REF!</definedName>
    <definedName name="Projet" localSheetId="4">#REF!</definedName>
    <definedName name="Projet" localSheetId="37">#REF!</definedName>
    <definedName name="Projet" localSheetId="33">[41]synthèse!$A$3</definedName>
    <definedName name="Projet" localSheetId="34">[41]synthèse!$A$3</definedName>
    <definedName name="Projet" localSheetId="22">#REF!</definedName>
    <definedName name="Projet" localSheetId="21">[43]synthèse!$A$3</definedName>
    <definedName name="Projet" localSheetId="36">#REF!</definedName>
    <definedName name="Projet">#REF!</definedName>
    <definedName name="projet_type" localSheetId="37">[7]Références!$C$20:$C$27</definedName>
    <definedName name="projet_type" localSheetId="36">[7]Références!$C$20:$C$27</definedName>
    <definedName name="projet_type">[7]Références!$C$20:$C$27</definedName>
    <definedName name="psd" localSheetId="24">#REF!</definedName>
    <definedName name="psd" localSheetId="4">#REF!</definedName>
    <definedName name="psd" localSheetId="2">#REF!</definedName>
    <definedName name="psd" localSheetId="3">#REF!</definedName>
    <definedName name="psd" localSheetId="26">#REF!</definedName>
    <definedName name="psd" localSheetId="27">#REF!</definedName>
    <definedName name="psd" localSheetId="28">#REF!</definedName>
    <definedName name="psd">#REF!</definedName>
    <definedName name="PV_Electrolux">[4]Feuil3!$F$2</definedName>
    <definedName name="PV_Espagne">[4]Feuil3!$I$2</definedName>
    <definedName name="PV_France">[4]Feuil3!$D$2</definedName>
    <definedName name="PV_PMTC">[4]Feuil3!$G$2</definedName>
    <definedName name="PV_Turquie">[4]Feuil3!$Q$2</definedName>
    <definedName name="PV_UK">[4]Feuil3!$K$2</definedName>
    <definedName name="PV_Whirlpool">[4]Feuil3!$E$2</definedName>
    <definedName name="PVNOAbril" localSheetId="4">#REF!</definedName>
    <definedName name="PVNOAbril">#REF!</definedName>
    <definedName name="PVNOAgosto" localSheetId="4">#REF!</definedName>
    <definedName name="PVNOAgosto">#REF!</definedName>
    <definedName name="PVNODiciembre" localSheetId="4">#REF!</definedName>
    <definedName name="PVNODiciembre">#REF!</definedName>
    <definedName name="PVNOEnero" localSheetId="4">#REF!</definedName>
    <definedName name="PVNOEnero">#REF!</definedName>
    <definedName name="PVNOFebrero" localSheetId="4">#REF!</definedName>
    <definedName name="PVNOFebrero">#REF!</definedName>
    <definedName name="PVNOJulio" localSheetId="4">#REF!</definedName>
    <definedName name="PVNOJulio">#REF!</definedName>
    <definedName name="PVNOJunio" localSheetId="4">#REF!</definedName>
    <definedName name="PVNOJunio">#REF!</definedName>
    <definedName name="PVNOMarzo" localSheetId="4">#REF!</definedName>
    <definedName name="PVNOMarzo">#REF!</definedName>
    <definedName name="PVNOMayo" localSheetId="4">#REF!</definedName>
    <definedName name="PVNOMayo">#REF!</definedName>
    <definedName name="PVNONoviembre" localSheetId="4">#REF!</definedName>
    <definedName name="PVNONoviembre">#REF!</definedName>
    <definedName name="PVNOOctubre" localSheetId="4">#REF!</definedName>
    <definedName name="PVNOOctubre">#REF!</definedName>
    <definedName name="PVNOSeptiembre" localSheetId="4">#REF!</definedName>
    <definedName name="PVNOSeptiembre">#REF!</definedName>
    <definedName name="Q" hidden="1">{"Schedule_IA",#N/A,FALSE,"I-A"}</definedName>
    <definedName name="qadfd">{"Schedule_IA",#N/A,FALSE,"I-A"}</definedName>
    <definedName name="qryISPDataReportHours">'[44]Suppliers Transit Time'!$A$1:$F$45</definedName>
    <definedName name="qryMilkRunsSummary">[45]qryMilkRunsSummary!$A$20:$J$38</definedName>
    <definedName name="qryRoutesReport">[46]Actual!$A$1:$V$80</definedName>
    <definedName name="qse1front" localSheetId="4">#REF!</definedName>
    <definedName name="qse1front">#REF!</definedName>
    <definedName name="qse1rear" localSheetId="4">#REF!</definedName>
    <definedName name="qse1rear">#REF!</definedName>
    <definedName name="qsmac" localSheetId="4">#REF!</definedName>
    <definedName name="qsmac">#REF!</definedName>
    <definedName name="qsmacrear" localSheetId="4">#REF!</definedName>
    <definedName name="qsmacrear">#REF!</definedName>
    <definedName name="Query_from_Fiche_DG" localSheetId="4">#REF!</definedName>
    <definedName name="Query_from_Fiche_DG" localSheetId="21">#REF!</definedName>
    <definedName name="Query_from_Fiche_DG">#REF!</definedName>
    <definedName name="R_Factor" localSheetId="4">#REF!</definedName>
    <definedName name="R_Factor">#REF!</definedName>
    <definedName name="Ramp_up" localSheetId="4">#REF!</definedName>
    <definedName name="Ramp_up">#REF!</definedName>
    <definedName name="RAP" localSheetId="4">#REF!</definedName>
    <definedName name="RAP">#REF!</definedName>
    <definedName name="RCL" localSheetId="4">#REF!</definedName>
    <definedName name="RCL">#REF!</definedName>
    <definedName name="RDVMAbril" localSheetId="4">#REF!</definedName>
    <definedName name="RDVMAbril">#REF!</definedName>
    <definedName name="RDVMAgosto" localSheetId="4">#REF!</definedName>
    <definedName name="RDVMAgosto">#REF!</definedName>
    <definedName name="RDVMDiciembre" localSheetId="4">#REF!</definedName>
    <definedName name="RDVMDiciembre">#REF!</definedName>
    <definedName name="RDVMEnero" localSheetId="4">#REF!</definedName>
    <definedName name="RDVMEnero">#REF!</definedName>
    <definedName name="RDVMFebrero" localSheetId="4">#REF!</definedName>
    <definedName name="RDVMFebrero">#REF!</definedName>
    <definedName name="RDVMJulio" localSheetId="4">#REF!</definedName>
    <definedName name="RDVMJulio">#REF!</definedName>
    <definedName name="RDVMJunio" localSheetId="4">#REF!</definedName>
    <definedName name="RDVMJunio">#REF!</definedName>
    <definedName name="RDVMMarzo" localSheetId="4">#REF!</definedName>
    <definedName name="RDVMMarzo">#REF!</definedName>
    <definedName name="RDVMMayo" localSheetId="4">#REF!</definedName>
    <definedName name="RDVMMayo">#REF!</definedName>
    <definedName name="RDVMNoviembre" localSheetId="4">#REF!</definedName>
    <definedName name="RDVMNoviembre">#REF!</definedName>
    <definedName name="RDVMOctubre" localSheetId="4">#REF!</definedName>
    <definedName name="RDVMOctubre">#REF!</definedName>
    <definedName name="RDVMSeptiembre" localSheetId="4">#REF!</definedName>
    <definedName name="RDVMSeptiembre">#REF!</definedName>
    <definedName name="Reception_labor" localSheetId="4">#REF!</definedName>
    <definedName name="Reception_labor">#REF!</definedName>
    <definedName name="Reception_labor_cost" localSheetId="4">#REF!</definedName>
    <definedName name="Reception_labor_cost">#REF!</definedName>
    <definedName name="RECOR" localSheetId="4">#REF!</definedName>
    <definedName name="RECOR">#REF!</definedName>
    <definedName name="Recption_labor_cost" localSheetId="4">#REF!</definedName>
    <definedName name="Recption_labor_cost">#REF!</definedName>
    <definedName name="Rédacteur" localSheetId="4">#REF!</definedName>
    <definedName name="Rédacteur" localSheetId="37">#REF!</definedName>
    <definedName name="Rédacteur" localSheetId="33">[41]synthèse!$E$5</definedName>
    <definedName name="Rédacteur" localSheetId="34">[41]synthèse!$E$5</definedName>
    <definedName name="Rédacteur" localSheetId="22">#REF!</definedName>
    <definedName name="Rédacteur" localSheetId="21">[34]synthesis!$E$5</definedName>
    <definedName name="Rédacteur" localSheetId="36">#REF!</definedName>
    <definedName name="Rédacteur">#REF!</definedName>
    <definedName name="Ref_1" localSheetId="4">#REF!</definedName>
    <definedName name="Ref_1">#REF!</definedName>
    <definedName name="Ref_2" localSheetId="4">#REF!</definedName>
    <definedName name="Ref_2">#REF!</definedName>
    <definedName name="Ref_3" localSheetId="4">#REF!</definedName>
    <definedName name="Ref_3">#REF!</definedName>
    <definedName name="Ref_4" localSheetId="4">#REF!</definedName>
    <definedName name="Ref_4">#REF!</definedName>
    <definedName name="Ref_5" localSheetId="4">#REF!</definedName>
    <definedName name="Ref_5">#REF!</definedName>
    <definedName name="Ref_6" localSheetId="4">#REF!</definedName>
    <definedName name="Ref_6">#REF!</definedName>
    <definedName name="Ref_7" localSheetId="4">#REF!</definedName>
    <definedName name="Ref_7">#REF!</definedName>
    <definedName name="Ref_8" localSheetId="4">#REF!</definedName>
    <definedName name="Ref_8">#REF!</definedName>
    <definedName name="Ref_9" localSheetId="4">#REF!</definedName>
    <definedName name="Ref_9">#REF!</definedName>
    <definedName name="region" localSheetId="4">#REF!</definedName>
    <definedName name="region">#REF!</definedName>
    <definedName name="Regroupement_lent" localSheetId="4">#REF!</definedName>
    <definedName name="Regroupement_lent">#REF!</definedName>
    <definedName name="Regroupement_rapide" localSheetId="4">#REF!</definedName>
    <definedName name="Regroupement_rapide">#REF!</definedName>
    <definedName name="relsueldocosto" localSheetId="4">#REF!</definedName>
    <definedName name="relsueldocosto">#REF!</definedName>
    <definedName name="remac" localSheetId="4">#REF!</definedName>
    <definedName name="remac">#REF!</definedName>
    <definedName name="répart_cadres">[0]!répart_cadres</definedName>
    <definedName name="répart_polang">[0]!répart_polang</definedName>
    <definedName name="répart_polbel">[0]!répart_polbel</definedName>
    <definedName name="REPUESTOS" localSheetId="4">#REF!</definedName>
    <definedName name="REPUESTOS">#REF!</definedName>
    <definedName name="RepuestosAbril">[5]DetalleRepuestos!$M$12:$M$137</definedName>
    <definedName name="RepuestosAgosto">[5]DetalleRepuestos!$Y$12:$Y$137</definedName>
    <definedName name="RepuestosDiciembre">[5]DetalleRepuestos!$AK$12:$AK$137</definedName>
    <definedName name="RepuestosEnero">[5]DetalleRepuestos!$D$12:$D$137</definedName>
    <definedName name="RepuestosFebrero">[5]DetalleRepuestos!$G$12:$G$137</definedName>
    <definedName name="RepuestosJulio">[5]DetalleRepuestos!$V$12:$V$137</definedName>
    <definedName name="RepuestosJunio">[5]DetalleRepuestos!$S$12:$S$137</definedName>
    <definedName name="RepuestosMarzo">[5]DetalleRepuestos!$J$12:$J$137</definedName>
    <definedName name="RepuestosMayo">[5]DetalleRepuestos!$P$12:$P$137</definedName>
    <definedName name="RepuestosNoviembre">[5]DetalleRepuestos!$AH$12:$AH$137</definedName>
    <definedName name="RepuestosOctubre">[5]DetalleRepuestos!$AE$12:$AE$137</definedName>
    <definedName name="RepuestosSeptiembre">[5]DetalleRepuestos!$AB$12:$AB$137</definedName>
    <definedName name="res" localSheetId="24">#REF!</definedName>
    <definedName name="res" localSheetId="4">#REF!</definedName>
    <definedName name="res" localSheetId="2">#REF!</definedName>
    <definedName name="res" localSheetId="3">#REF!</definedName>
    <definedName name="res" localSheetId="26">#REF!</definedName>
    <definedName name="res" localSheetId="27">#REF!</definedName>
    <definedName name="res" localSheetId="28">#REF!</definedName>
    <definedName name="res">#REF!</definedName>
    <definedName name="resge" hidden="1">{"Schedule_1B",#N/A,FALSE,"I-B"}</definedName>
    <definedName name="Residual_difference" localSheetId="4">#REF!</definedName>
    <definedName name="Residual_difference">#REF!</definedName>
    <definedName name="REWRE" hidden="1">{#N/A,#N/A,FALSE,"Aging Summary";#N/A,#N/A,FALSE,"Ratio Analysis";#N/A,#N/A,FALSE,"Test 120 Day Accts";#N/A,#N/A,FALSE,"Tickmarks"}</definedName>
    <definedName name="RFIX" localSheetId="4">#REF!</definedName>
    <definedName name="RFIX">#REF!</definedName>
    <definedName name="rfjnrfj"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Risque" localSheetId="4">#REF!</definedName>
    <definedName name="Risque">#REF!</definedName>
    <definedName name="Risque_ctme" localSheetId="4">#REF!</definedName>
    <definedName name="Risque_ctme">#REF!</definedName>
    <definedName name="Risque2" localSheetId="4">#REF!</definedName>
    <definedName name="Risque2">#REF!</definedName>
    <definedName name="Risque3" localSheetId="4">#REF!</definedName>
    <definedName name="Risque3">#REF!</definedName>
    <definedName name="Risquematpeint">[40]Périmètre!$O$88</definedName>
    <definedName name="rjsrtjrtw" hidden="1">{"Schedule_1B",#N/A,FALSE,"I-B"}</definedName>
    <definedName name="RMAAbril">[5]DetalleRMA!$AG$12:$AG$137</definedName>
    <definedName name="RMAAgosto">[5]DetalleRMA!$BM$12:$BM$137</definedName>
    <definedName name="RMADiciembre">[5]DetalleRMA!$CT$12:$CT$34</definedName>
    <definedName name="RMAEnero">[5]DetalleRMA!$I$12:$I$137</definedName>
    <definedName name="RMAFebrero">[5]DetalleRMA!$Q$12:$Q$137</definedName>
    <definedName name="RMAJulio">[5]DetalleRMA!$BE$12:$BE$137</definedName>
    <definedName name="RMAJunio">[5]DetalleRMA!$AW$12:$AW$137</definedName>
    <definedName name="RMAMarzo">[5]DetalleRMA!$Y$12:$Y$137</definedName>
    <definedName name="RMAMayo">[5]DetalleRMA!$AO$12:$AO$137</definedName>
    <definedName name="RMANoviembre">[5]DetalleRMA!$CL$12:$CL$137</definedName>
    <definedName name="RMAOctubre">[5]DetalleRMA!$CD$12:$CD$137</definedName>
    <definedName name="RMASeptiembre">[5]DetalleRMA!$BU$12:$BU$137</definedName>
    <definedName name="RMLAPAbril">[5]DetalleRMLAP!$AO$12:$AO$137</definedName>
    <definedName name="RMLAPAgosto">[5]DetalleRMLAP!$CC$12:$CC$137</definedName>
    <definedName name="RMLAPDiciembre">[5]DetalleRMLAP!$DQ$12:$DQ$137</definedName>
    <definedName name="RMLAPEnero">[5]DetalleRMLAP!$K$12:$K$137</definedName>
    <definedName name="RMLAPFebrero">[5]DetalleRMLAP!$U$12:$U$137</definedName>
    <definedName name="RMLAPJulio">[5]DetalleRMLAP!$BS$12:$BS$137</definedName>
    <definedName name="RMLAPJunio">[5]DetalleRMLAP!$BI$12:$BI$137</definedName>
    <definedName name="RMLAPMarzo">[5]DetalleRMLAP!$AE$12:$AE$137</definedName>
    <definedName name="RMLAPMayo">[5]DetalleRMLAP!$AY$12:$AY$137</definedName>
    <definedName name="RMLAPNoviembre">[5]DetalleRMLAP!$DG$12:$DG$137</definedName>
    <definedName name="RMLAPOctubre">[5]DetalleRMLAP!$CW$12:$CW$137</definedName>
    <definedName name="RMLAPSeptiembre">[5]DetalleRMLAP!$CM$12:$CM$137</definedName>
    <definedName name="RosarioAbril">[5]DetalleRosario!$Q$12:$Q$137</definedName>
    <definedName name="RosarioAgosto">[5]DetalleRosario!$AG$12:$AG$137</definedName>
    <definedName name="RosarioDiciembre">[5]DetalleRosario!$AW$12:$AW$137</definedName>
    <definedName name="RosarioEnero">[5]DetalleRosario!$E$12:$E$137</definedName>
    <definedName name="RosarioFebrero">[5]DetalleRosario!$I$12:$I$137</definedName>
    <definedName name="RosarioJulio">[5]DetalleRosario!$AC$12:$AC$137</definedName>
    <definedName name="RosarioJunio">[5]DetalleRosario!$Y$12:$Y$137</definedName>
    <definedName name="RosarioMarzo">[5]DetalleRosario!$M$12:$M$137</definedName>
    <definedName name="RosarioMayo">[5]DetalleRosario!$U$12:$U$137</definedName>
    <definedName name="RosarioNoviembre">[5]DetalleRosario!$AS$12:$AS$137</definedName>
    <definedName name="RosarioOctubre">[5]DetalleRosario!$AO$12:$AO$137</definedName>
    <definedName name="RosarioSeptiembre">[5]DetalleRosario!$AK$12:$AK$137</definedName>
    <definedName name="Routes_GM___Presentation" localSheetId="4">#REF!</definedName>
    <definedName name="Routes_GM___Presentation">#REF!</definedName>
    <definedName name="Routes_GM_100">[46]Proposal!$A$1:$P$103</definedName>
    <definedName name="RP" localSheetId="4">#REF!</definedName>
    <definedName name="RP">#REF!</definedName>
    <definedName name="RR" hidden="1">{#N/A,#N/A,FALSE,"Aging Summary";#N/A,#N/A,FALSE,"Ratio Analysis";#N/A,#N/A,FALSE,"Test 120 Day Accts";#N/A,#N/A,FALSE,"Tickmarks"}</definedName>
    <definedName name="RTASRT" localSheetId="4">#REF!</definedName>
    <definedName name="RTASRT">#REF!</definedName>
    <definedName name="RTRDSJ" hidden="1">{"Index",#N/A,FALSE,"Index"}</definedName>
    <definedName name="rtyhsddffs" hidden="1">{#N/A,#N/A,FALSE,"Aging Summary";#N/A,#N/A,FALSE,"Ratio Analysis";#N/A,#N/A,FALSE,"Test 120 Day Accts";#N/A,#N/A,FALSE,"Tickmarks"}</definedName>
    <definedName name="RUTEADOR" localSheetId="4">#REF!</definedName>
    <definedName name="RUTEADOR">#REF!</definedName>
    <definedName name="rwjtwrjt" hidden="1">{"Schedule_1D",#N/A,FALSE,"I-D"}</definedName>
    <definedName name="s" hidden="1">{#N/A,#N/A,FALSE,"Aging Summary";#N/A,#N/A,FALSE,"Ratio Analysis";#N/A,#N/A,FALSE,"Test 120 Day Accts";#N/A,#N/A,FALSE,"Tickmarks"}</definedName>
    <definedName name="sa" hidden="1">{#N/A,#N/A,FALSE,"Aging Summary";#N/A,#N/A,FALSE,"Ratio Analysis";#N/A,#N/A,FALSE,"Test 120 Day Accts";#N/A,#N/A,FALSE,"Tickmarks"}</definedName>
    <definedName name="SDDSADSA" hidden="1">{#N/A,#N/A,FALSE,"Aging Summary";#N/A,#N/A,FALSE,"Ratio Analysis";#N/A,#N/A,FALSE,"Test 120 Day Accts";#N/A,#N/A,FALSE,"Tickmarks"}</definedName>
    <definedName name="sdfg" localSheetId="4">#REF!</definedName>
    <definedName name="sdfg">#REF!</definedName>
    <definedName name="SDFH"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DFHSDH" hidden="1">{"Schedule_1D",#N/A,FALSE,"I-D"}</definedName>
    <definedName name="sdhsdfh"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DHSDH"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DHSH" hidden="1">{"Schedule_I",#N/A,FALSE,"I"}</definedName>
    <definedName name="sebas" hidden="1">{"Schedule_1B",#N/A,FALSE,"I-B"}</definedName>
    <definedName name="sebastian" hidden="1">{"Schedule_1D",#N/A,FALSE,"I-D"}</definedName>
    <definedName name="SECUENCIADOS" localSheetId="4">[10]Alquiler_Predio!#REF!</definedName>
    <definedName name="SECUENCIADOS">[10]Alquiler_Predio!#REF!</definedName>
    <definedName name="sehgeshg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EMI" localSheetId="4">#REF!</definedName>
    <definedName name="SEMI">#REF!</definedName>
    <definedName name="semilagere1rear" localSheetId="4">#REF!</definedName>
    <definedName name="semilagere1rear">#REF!</definedName>
    <definedName name="semimacrear" localSheetId="4">#REF!</definedName>
    <definedName name="semimacrear">#REF!</definedName>
    <definedName name="semistocke1front" localSheetId="4">#REF!</definedName>
    <definedName name="semistocke1front">#REF!</definedName>
    <definedName name="sencount" hidden="1">1</definedName>
    <definedName name="SEPT" localSheetId="4">#REF!</definedName>
    <definedName name="SEPT">#REF!</definedName>
    <definedName name="sergse" hidden="1">{"Schedule_1C",#N/A,FALSE,"I-C"}</definedName>
    <definedName name="sergsergser" hidden="1">{"Index",#N/A,FALSE,"Index"}</definedName>
    <definedName name="SERVERS" localSheetId="24">[12]Catalogue!#REF!</definedName>
    <definedName name="SERVERS" localSheetId="4">[12]Catalogue!#REF!</definedName>
    <definedName name="SERVERS" localSheetId="2">[12]Catalogue!#REF!</definedName>
    <definedName name="SERVERS" localSheetId="3">[12]Catalogue!#REF!</definedName>
    <definedName name="SERVERS" localSheetId="34">[28]Catalogue!#REF!</definedName>
    <definedName name="SERVERS" localSheetId="21">[12]Catalogue!#REF!</definedName>
    <definedName name="SERVERS" localSheetId="26">[12]Catalogue!#REF!</definedName>
    <definedName name="SERVERS" localSheetId="27">[12]Catalogue!#REF!</definedName>
    <definedName name="SERVERS" localSheetId="28">[12]Catalogue!#REF!</definedName>
    <definedName name="SERVERS">[12]Catalogue!#REF!</definedName>
    <definedName name="sfgjgfsjsg" hidden="1">{"Schedule_IA",#N/A,FALSE,"I-A"}</definedName>
    <definedName name="sfgjsfgj" hidden="1">{"Schedule_1C",#N/A,FALSE,"I-C"}</definedName>
    <definedName name="sfgjsj"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FH" hidden="1">{"Schedule_1D",#N/A,FALSE,"I-D"}</definedName>
    <definedName name="SFHMFSM" hidden="1">{"Schedule_IA",#N/A,FALSE,"I-A"}</definedName>
    <definedName name="sfjfgsj" hidden="1">{"Schedule_I",#N/A,FALSE,"I"}</definedName>
    <definedName name="sfjsfgj" hidden="1">{"Schedule_IA",#N/A,FALSE,"I-A"}</definedName>
    <definedName name="sfjsfjsfg" hidden="1">{"Schedule_1D",#N/A,FALSE,"I-D"}</definedName>
    <definedName name="sfjsgf" hidden="1">{"Schedule_IA",#N/A,FALSE,"I-A"}</definedName>
    <definedName name="sfjsj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FMFMSFM" hidden="1">{"Schedule_I",#N/A,FALSE,"I"}</definedName>
    <definedName name="SFMFSHMHS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FMFSM" hidden="1">{"Schedule_1C",#N/A,FALSE,"I-C"}</definedName>
    <definedName name="SFMGFMFS" hidden="1">{"Schedule_1B",#N/A,FALSE,"I-B"}</definedName>
    <definedName name="SFMHFSM" hidden="1">{"Schedule_I",#N/A,FALSE,"I"}</definedName>
    <definedName name="SFMSFHMS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FMSFM" hidden="1">{"Index",#N/A,FALSE,"Index"}</definedName>
    <definedName name="SFMSFMGHM"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FMSFMM" hidden="1">{"Schedule_IA",#N/A,FALSE,"I-A"}</definedName>
    <definedName name="SFMSFMS" hidden="1">{"Schedule_1B",#N/A,FALSE,"I-B"}</definedName>
    <definedName name="sgfjgsfj" hidden="1">{"Schedule_1D",#N/A,FALSE,"I-D"}</definedName>
    <definedName name="sgjgjs" hidden="1">{"Schedule_1B",#N/A,FALSE,"I-B"}</definedName>
    <definedName name="SGJS" hidden="1">{"Schedule_1D",#N/A,FALSE,"I-D"}</definedName>
    <definedName name="sgjsg" hidden="1">{"Schedule_I",#N/A,FALSE,"I"}</definedName>
    <definedName name="sgjsgfjsgf" hidden="1">{"Index",#N/A,FALSE,"Index"}</definedName>
    <definedName name="SGNGNF"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HHSDH" hidden="1">{"Schedule_1C",#N/A,FALSE,"I-C"}</definedName>
    <definedName name="SHHSH" hidden="1">{"Schedule_IA",#N/A,FALSE,"I-A"}</definedName>
    <definedName name="Shifts" localSheetId="4">#REF!</definedName>
    <definedName name="Shifts">#REF!</definedName>
    <definedName name="shipmac" localSheetId="4">#REF!</definedName>
    <definedName name="shipmac">#REF!</definedName>
    <definedName name="shippinge1front" localSheetId="4">#REF!</definedName>
    <definedName name="shippinge1front">#REF!</definedName>
    <definedName name="shippinge1rear" localSheetId="4">#REF!</definedName>
    <definedName name="shippinge1rear">#REF!</definedName>
    <definedName name="shippingmacrear" localSheetId="4">#REF!</definedName>
    <definedName name="shippingmacrear">#REF!</definedName>
    <definedName name="SILS_surface" localSheetId="4">#REF!</definedName>
    <definedName name="SILS_surface">#REF!</definedName>
    <definedName name="Site">[4]Feuil3!$W$1</definedName>
    <definedName name="sj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jsjg"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jsjgf" hidden="1">{"Schedule_IA",#N/A,FALSE,"I-A"}</definedName>
    <definedName name="sjsjjssjsgj" hidden="1">{"Index",#N/A,FALSE,"Index"}</definedName>
    <definedName name="sjsjss" hidden="1">{"Schedule_I",#N/A,FALSE,"I"}</definedName>
    <definedName name="SJSTJ" hidden="1">{"Schedule_1D",#N/A,FALSE,"I-D"}</definedName>
    <definedName name="SJSYJ" hidden="1">{"Schedule_1D",#N/A,FALSE,"I-D"}</definedName>
    <definedName name="skm" hidden="1">{"Schedule_I",#N/A,FALSE,"I"}</definedName>
    <definedName name="SMCORREO" localSheetId="4">#REF!</definedName>
    <definedName name="SMCORREO">#REF!</definedName>
    <definedName name="SOGEFI" localSheetId="4">#REF!</definedName>
    <definedName name="SOGEFI">#REF!</definedName>
    <definedName name="sommeparjal">[0]!sommeparjal</definedName>
    <definedName name="sregseg" hidden="1">{"Schedule_1D",#N/A,FALSE,"I-D"}</definedName>
    <definedName name="srgsegse" hidden="1">{"Schedule_I",#N/A,FALSE,"I"}</definedName>
    <definedName name="SRJSRTJ" hidden="1">{"Schedule_1C",#N/A,FALSE,"I-C"}</definedName>
    <definedName name="SRJSTRJS" hidden="1">{"Index",#N/A,FALSE,"Index"}</definedName>
    <definedName name="srshe"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RTJSRJ" hidden="1">{"Schedule_IA",#N/A,FALSE,"I-A"}</definedName>
    <definedName name="SRTJSRTJ"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SA">{#N/A,#N/A,FALSE,"Aging Summary";#N/A,#N/A,FALSE,"Ratio Analysis";#N/A,#N/A,FALSE,"Test 120 Day Accts";#N/A,#N/A,FALSE,"Tickmarks"}</definedName>
    <definedName name="sshsg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SSS" localSheetId="4" hidden="1">#REF!</definedName>
    <definedName name="SSS" hidden="1">#REF!</definedName>
    <definedName name="ST_Romain">[4]Feuil3!$V$4</definedName>
    <definedName name="Standardbox" localSheetId="4">#REF!</definedName>
    <definedName name="Standardbox">#REF!</definedName>
    <definedName name="STH" hidden="1">{"Schedule_I",#N/A,FALSE,"I"}</definedName>
    <definedName name="stockage_expédition">[4]Feuil3!$AF$1</definedName>
    <definedName name="Storage_cost" localSheetId="4">#REF!</definedName>
    <definedName name="Storage_cost">#REF!</definedName>
    <definedName name="Stückzahl___Tag" localSheetId="4">#REF!</definedName>
    <definedName name="Stückzahl___Tag">#REF!</definedName>
    <definedName name="Stückzahl___Tag2" localSheetId="4">#REF!</definedName>
    <definedName name="Stückzahl___Tag2">#REF!</definedName>
    <definedName name="subcontractor" localSheetId="4">#REF!</definedName>
    <definedName name="subcontractor">#REF!</definedName>
    <definedName name="SUPERVISOR" localSheetId="4">#REF!</definedName>
    <definedName name="SUPERVISOR">#REF!</definedName>
    <definedName name="surf1" localSheetId="4">#REF!</definedName>
    <definedName name="surf1">#REF!</definedName>
    <definedName name="surf2" localSheetId="4">#REF!</definedName>
    <definedName name="surf2">#REF!</definedName>
    <definedName name="SurfAnnexe">[14]Project!$L$256</definedName>
    <definedName name="SurfAssyFinition">[14]Project!$J$196</definedName>
    <definedName name="SurfExpeditionINT">[14]Project!$K$207</definedName>
    <definedName name="SURVEY" localSheetId="24">[12]Catalogue!#REF!</definedName>
    <definedName name="SURVEY" localSheetId="4">[12]Catalogue!#REF!</definedName>
    <definedName name="SURVEY" localSheetId="2">[12]Catalogue!#REF!</definedName>
    <definedName name="SURVEY" localSheetId="3">[12]Catalogue!#REF!</definedName>
    <definedName name="SURVEY" localSheetId="34">[28]Catalogue!#REF!</definedName>
    <definedName name="SURVEY" localSheetId="21">[12]Catalogue!#REF!</definedName>
    <definedName name="SURVEY" localSheetId="26">[12]Catalogue!#REF!</definedName>
    <definedName name="SURVEY" localSheetId="27">[12]Catalogue!#REF!</definedName>
    <definedName name="SURVEY" localSheetId="28">[12]Catalogue!#REF!</definedName>
    <definedName name="SURVEY">[12]Catalogue!#REF!</definedName>
    <definedName name="T" hidden="1">{"Schedule_1D",#N/A,FALSE,"I-D"}</definedName>
    <definedName name="TableauCumul">[14]B.O.M.!$A$441:$IV$451</definedName>
    <definedName name="TableauCumul2">[14]B.O.M.!$A$453:$IV$466</definedName>
    <definedName name="tarifas" localSheetId="4">#REF!</definedName>
    <definedName name="tarifas">#REF!</definedName>
    <definedName name="taux_Allemagne">[4]Feuil3!$P$2</definedName>
    <definedName name="taux_argus_France">[4]Feuil3!$H$2</definedName>
    <definedName name="taux_Espagne">[4]Feuil3!$J$2</definedName>
    <definedName name="taux_mois">[47]constantes!$E$3</definedName>
    <definedName name="taux_UK">[4]Feuil3!$L$2</definedName>
    <definedName name="taux_UK_Rover">[4]Feuil3!$M$2</definedName>
    <definedName name="taux_USA">[4]Feuil3!$N$2</definedName>
    <definedName name="taux_USA_BMW">[4]Feuil3!$O$2</definedName>
    <definedName name="taux_USABMW">[4]Feuil3!$O$2</definedName>
    <definedName name="tax" hidden="1">{#N/A,#N/A,FALSE,"Aging Summary";#N/A,#N/A,FALSE,"Ratio Analysis";#N/A,#N/A,FALSE,"Test 120 Day Accts";#N/A,#N/A,FALSE,"Tickmarks"}</definedName>
    <definedName name="TblPdMRemorque">[14]Cyclogrammes!$AY$118:$BB$123</definedName>
    <definedName name="TblPdMTrains">[14]Cyclogrammes!$BP$118:$BS$123</definedName>
    <definedName name="TEMPORAL" localSheetId="4">[36]Salarios!#REF!</definedName>
    <definedName name="TEMPORAL">[36]Salarios!#REF!</definedName>
    <definedName name="TempTotal" localSheetId="4">#REF!</definedName>
    <definedName name="TempTotal">#REF!</definedName>
    <definedName name="TEST0" localSheetId="4">#REF!</definedName>
    <definedName name="TEST0">#REF!</definedName>
    <definedName name="TESTHKEY" localSheetId="4">#REF!</definedName>
    <definedName name="TESTHKEY">#REF!</definedName>
    <definedName name="TESTKEYS" localSheetId="4">#REF!</definedName>
    <definedName name="TESTKEYS">#REF!</definedName>
    <definedName name="TESTVKEY" localSheetId="4">#REF!</definedName>
    <definedName name="TESTVKEY">#REF!</definedName>
    <definedName name="Texto1" localSheetId="4">#REF!</definedName>
    <definedName name="Texto1">#REF!</definedName>
    <definedName name="Texto2" localSheetId="4">#REF!</definedName>
    <definedName name="Texto2">#REF!</definedName>
    <definedName name="TextRefCopy1" localSheetId="4">[48]Test!#REF!</definedName>
    <definedName name="TextRefCopy1">[48]Test!#REF!</definedName>
    <definedName name="TextRefCopy10" localSheetId="4">#REF!</definedName>
    <definedName name="TextRefCopy10">#REF!</definedName>
    <definedName name="TextRefCopy11" localSheetId="4">#REF!</definedName>
    <definedName name="TextRefCopy11">#REF!</definedName>
    <definedName name="TextRefCopy12" localSheetId="4">#REF!</definedName>
    <definedName name="TextRefCopy12">#REF!</definedName>
    <definedName name="TextRefCopy13" localSheetId="4">#REF!</definedName>
    <definedName name="TextRefCopy13">#REF!</definedName>
    <definedName name="TextRefCopy14" localSheetId="4">#REF!</definedName>
    <definedName name="TextRefCopy14">#REF!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18" localSheetId="4">#REF!</definedName>
    <definedName name="TextRefCopy18">#REF!</definedName>
    <definedName name="TextRefCopy19" localSheetId="4">#REF!</definedName>
    <definedName name="TextRefCopy19">#REF!</definedName>
    <definedName name="TextRefCopy2" localSheetId="4">[48]Test!#REF!</definedName>
    <definedName name="TextRefCopy2">[48]Test!#REF!</definedName>
    <definedName name="TextRefCopy20" localSheetId="4">#REF!</definedName>
    <definedName name="TextRefCopy20">#REF!</definedName>
    <definedName name="TextRefCopy21" localSheetId="4">'[49]PG VR U$$'!#REF!</definedName>
    <definedName name="TextRefCopy21">'[49]PG VR U$$'!#REF!</definedName>
    <definedName name="TextRefCopy3" localSheetId="4">[48]Test!#REF!</definedName>
    <definedName name="TextRefCopy3">[48]Test!#REF!</definedName>
    <definedName name="TextRefCopy4" localSheetId="4">[48]Test!#REF!</definedName>
    <definedName name="TextRefCopy4">[48]Test!#REF!</definedName>
    <definedName name="TextRefCopy5" localSheetId="4">'[50]Prueba Global'!#REF!</definedName>
    <definedName name="TextRefCopy5">'[50]Prueba Global'!#REF!</definedName>
    <definedName name="TextRefCopy6">'[51]PGL Amortizaciones'!$E$26</definedName>
    <definedName name="TextRefCopy7" localSheetId="4">'[50]Prueba Global'!#REF!</definedName>
    <definedName name="TextRefCopy7">'[50]Prueba Global'!#REF!</definedName>
    <definedName name="TextRefCopy8" localSheetId="4">#REF!</definedName>
    <definedName name="TextRefCopy8">#REF!</definedName>
    <definedName name="TextRefCopy9" localSheetId="4">#REF!</definedName>
    <definedName name="TextRefCopy9">#REF!</definedName>
    <definedName name="TextRefCopyRangeCount" hidden="1">4</definedName>
    <definedName name="Threshold" localSheetId="4">#REF!</definedName>
    <definedName name="Threshold">#REF!</definedName>
    <definedName name="_xlnm.Print_Titles" localSheetId="4">'Análisis financiero'!$1:$4</definedName>
    <definedName name="_xlnm.Print_Titles" localSheetId="29">Financier!$1:$4</definedName>
    <definedName name="_xlnm.Print_Titles" localSheetId="34">'IT details'!$7:$8</definedName>
    <definedName name="_xlnm.Print_Titles">#REF!</definedName>
    <definedName name="tkdtk" hidden="1">{"Schedule_1D",#N/A,FALSE,"I-D"}</definedName>
    <definedName name="tkktd" hidden="1">{"Schedule_IA",#N/A,FALSE,"I-A"}</definedName>
    <definedName name="Tooling">[19]Feuil3!$AC$1</definedName>
    <definedName name="Tools_invest" localSheetId="4">#REF!</definedName>
    <definedName name="Tools_invest">#REF!</definedName>
    <definedName name="Tools_invest_FEM" localSheetId="4">#REF!</definedName>
    <definedName name="Tools_invest_FEM">#REF!</definedName>
    <definedName name="Total" localSheetId="4">#REF!</definedName>
    <definedName name="Total">#REF!</definedName>
    <definedName name="toto" localSheetId="24">#REF!</definedName>
    <definedName name="toto" localSheetId="4">#REF!</definedName>
    <definedName name="toto" localSheetId="2">#REF!</definedName>
    <definedName name="toto" localSheetId="3">#REF!</definedName>
    <definedName name="toto" localSheetId="21">#REF!</definedName>
    <definedName name="toto" localSheetId="26">#REF!</definedName>
    <definedName name="toto" localSheetId="27">#REF!</definedName>
    <definedName name="toto" localSheetId="28">#REF!</definedName>
    <definedName name="toto">#REF!</definedName>
    <definedName name="TRANSP" localSheetId="4">#REF!</definedName>
    <definedName name="TRANSP">#REF!</definedName>
    <definedName name="TRANSPO" localSheetId="4">#REF!</definedName>
    <definedName name="TRANSPO">#REF!</definedName>
    <definedName name="tt" hidden="1">{#N/A,#N/A,FALSE,"Aging Summary";#N/A,#N/A,FALSE,"Ratio Analysis";#N/A,#N/A,FALSE,"Test 120 Day Accts";#N/A,#N/A,FALSE,"Tickmarks"}</definedName>
    <definedName name="TT_By_Supplier" localSheetId="4">#REF!</definedName>
    <definedName name="TT_By_Supplier">#REF!</definedName>
    <definedName name="turbo" localSheetId="4">#REF!</definedName>
    <definedName name="turbo">#REF!</definedName>
    <definedName name="TURNO" localSheetId="4">#REF!</definedName>
    <definedName name="TURNO">#REF!</definedName>
    <definedName name="turnosdes" localSheetId="4">#REF!</definedName>
    <definedName name="turnosdes">#REF!</definedName>
    <definedName name="turnosrec" localSheetId="4">#REF!</definedName>
    <definedName name="turnosrec">#REF!</definedName>
    <definedName name="Turquie">[4]Feuil3!$V$16</definedName>
    <definedName name="TxEngtAss">[14]Project!$D$173</definedName>
    <definedName name="Type_flux" localSheetId="4">#REF!</definedName>
    <definedName name="Type_flux">#REF!</definedName>
    <definedName name="typeclientPRU" localSheetId="4">[4]Feuil3!#REF!</definedName>
    <definedName name="typeclientPRU">[4]Feuil3!#REF!</definedName>
    <definedName name="typeclientPV" localSheetId="4">[4]Feuil3!#REF!</definedName>
    <definedName name="typeclientPV">[4]Feuil3!#REF!</definedName>
    <definedName name="U" hidden="1">{"Schedule_1C",#N/A,FALSE,"I-C"}</definedName>
    <definedName name="UD" localSheetId="4">#REF!</definedName>
    <definedName name="UD">#REF!</definedName>
    <definedName name="UFF">[26]Param!$D$177:$D$192</definedName>
    <definedName name="UK">[4]Feuil3!$V$14</definedName>
    <definedName name="UNIDADES" localSheetId="4">#REF!</definedName>
    <definedName name="UNIDADES">#REF!</definedName>
    <definedName name="UPS" localSheetId="24">[12]Catalogue!#REF!</definedName>
    <definedName name="UPS" localSheetId="4">[12]Catalogue!#REF!</definedName>
    <definedName name="UPS" localSheetId="2">[12]Catalogue!#REF!</definedName>
    <definedName name="UPS" localSheetId="3">[12]Catalogue!#REF!</definedName>
    <definedName name="UPS" localSheetId="34">[28]Catalogue!#REF!</definedName>
    <definedName name="UPS" localSheetId="21">[12]Catalogue!#REF!</definedName>
    <definedName name="UPS" localSheetId="26">[12]Catalogue!#REF!</definedName>
    <definedName name="UPS" localSheetId="27">[12]Catalogue!#REF!</definedName>
    <definedName name="UPS" localSheetId="28">[12]Catalogue!#REF!</definedName>
    <definedName name="UPS">[12]Catalogue!#REF!</definedName>
    <definedName name="USA">[4]Feuil3!$V$15</definedName>
    <definedName name="USD" localSheetId="24">#REF!</definedName>
    <definedName name="USD" localSheetId="4">#REF!</definedName>
    <definedName name="USD" localSheetId="2">#REF!</definedName>
    <definedName name="USD" localSheetId="3">#REF!</definedName>
    <definedName name="USD" localSheetId="26">#REF!</definedName>
    <definedName name="USD" localSheetId="27">#REF!</definedName>
    <definedName name="USD" localSheetId="28">#REF!</definedName>
    <definedName name="USD">#REF!</definedName>
    <definedName name="VAN" localSheetId="4">#REF!</definedName>
    <definedName name="VAN">#REF!</definedName>
    <definedName name="vautoele" localSheetId="4">#REF!</definedName>
    <definedName name="vautoele">#REF!</definedName>
    <definedName name="VC" hidden="1">{"Index",#N/A,FALSE,"Index"}</definedName>
    <definedName name="Vehículo" localSheetId="4">#REF!</definedName>
    <definedName name="Vehículo">#REF!</definedName>
    <definedName name="VehiculosAbril">[5]DetalleVehiculos!$AK$12:$AK$137</definedName>
    <definedName name="VehiculosAgosto">[5]DetalleVehiculos!$BU$12:$BU$137</definedName>
    <definedName name="VehiculosDiciembre">[5]DetalleVehiculos!$DE$12:$DE$137</definedName>
    <definedName name="VehiculosEnero">[5]DetalleVehiculos!$J$12:$J$137</definedName>
    <definedName name="VehiculosFebrero">[5]DetalleVehiculos!$S$12:$S$137</definedName>
    <definedName name="VehiculosJulio">[5]DetalleVehiculos!$BL$12:$BL$137</definedName>
    <definedName name="VehiculosJunio">[5]DetalleVehiculos!$BC$12:$BC$137</definedName>
    <definedName name="VehiculosMarzo">[5]DetalleVehiculos!$AB$12:$AB$137</definedName>
    <definedName name="VehiculosMayo">[5]DetalleVehiculos!$AT$12:$AT$137</definedName>
    <definedName name="VehiculosNoviembre">[5]DetalleVehiculos!$CV$12:$CV$137</definedName>
    <definedName name="VehiculosOctubre">[5]DetalleVehiculos!$CM$12:$CM$137</definedName>
    <definedName name="VehiculosSeptiembre">[5]DetalleVehiculos!$CD$12:$CD$137</definedName>
    <definedName name="VentasDistNacAbr" localSheetId="4">#REF!</definedName>
    <definedName name="VentasDistNacAbr">#REF!</definedName>
    <definedName name="VentasDistNacAgosto" localSheetId="4">#REF!</definedName>
    <definedName name="VentasDistNacAgosto">#REF!</definedName>
    <definedName name="VentasDistNacDiciembre" localSheetId="4">#REF!</definedName>
    <definedName name="VentasDistNacDiciembre">#REF!</definedName>
    <definedName name="VentasDistNacEne" localSheetId="4">#REF!</definedName>
    <definedName name="VentasDistNacEne">#REF!</definedName>
    <definedName name="VentasDistNacFeb" localSheetId="4">#REF!</definedName>
    <definedName name="VentasDistNacFeb">#REF!</definedName>
    <definedName name="VentasDistNacJul" localSheetId="4">#REF!</definedName>
    <definedName name="VentasDistNacJul">#REF!</definedName>
    <definedName name="VentasDistNacJun" localSheetId="4">#REF!</definedName>
    <definedName name="VentasDistNacJun">#REF!</definedName>
    <definedName name="VentasDistNacMar" localSheetId="4">#REF!</definedName>
    <definedName name="VentasDistNacMar">#REF!</definedName>
    <definedName name="VentasDistNacMay" localSheetId="4">#REF!</definedName>
    <definedName name="VentasDistNacMay">#REF!</definedName>
    <definedName name="VentasDistNacNoviembre" localSheetId="4">#REF!</definedName>
    <definedName name="VentasDistNacNoviembre">#REF!</definedName>
    <definedName name="VentasDistNacOctubre" localSheetId="4">#REF!</definedName>
    <definedName name="VentasDistNacOctubre">#REF!</definedName>
    <definedName name="VentasDistNacSeptiembre" localSheetId="4">#REF!</definedName>
    <definedName name="VentasDistNacSeptiembre">#REF!</definedName>
    <definedName name="VentasILIAbril" localSheetId="4">#REF!</definedName>
    <definedName name="VentasILIAbril">#REF!</definedName>
    <definedName name="VentasILIAgosto">'[5]Total por Actividad'!$BB$21</definedName>
    <definedName name="VentasILIDiciembre">'[5]Total por Actividad'!$CD$21</definedName>
    <definedName name="VentasILIEnero" localSheetId="4">#REF!</definedName>
    <definedName name="VentasILIEnero">#REF!</definedName>
    <definedName name="VentasILIFebrero" localSheetId="4">#REF!</definedName>
    <definedName name="VentasILIFebrero">#REF!</definedName>
    <definedName name="VentasILIJulio">'[5]Total por Actividad'!$AU$21</definedName>
    <definedName name="VentasILIJunio">'[5]Total por Actividad'!$AN$21</definedName>
    <definedName name="VentasILIMarzo" localSheetId="4">#REF!</definedName>
    <definedName name="VentasILIMarzo">#REF!</definedName>
    <definedName name="VentasILIMayo">'[5]Total por Actividad'!$AG$21</definedName>
    <definedName name="VentasILINoviembre">'[5]Total por Actividad'!$BW$21</definedName>
    <definedName name="VentasILIOctubre">'[5]Total por Actividad'!$BP$21</definedName>
    <definedName name="VentasILISeptiembre">'[5]Total por Actividad'!$BI$21</definedName>
    <definedName name="VentasMayo">'[5]Total por Actividad'!$AD$21:$AH$21</definedName>
    <definedName name="VentasPVNOAbril" localSheetId="4">#REF!</definedName>
    <definedName name="VentasPVNOAbril">#REF!</definedName>
    <definedName name="VentasPVNOAgosto">'[5]Total por Actividad'!$BA$21</definedName>
    <definedName name="VentasPVNODiciembre">'[5]Total por Actividad'!$CC$21</definedName>
    <definedName name="VentasPVNOEnero" localSheetId="4">#REF!</definedName>
    <definedName name="VentasPVNOEnero">#REF!</definedName>
    <definedName name="VentasPVNOFebrero" localSheetId="4">#REF!</definedName>
    <definedName name="VentasPVNOFebrero">#REF!</definedName>
    <definedName name="VentasPVNOJulio">'[5]Total por Actividad'!$AT$21</definedName>
    <definedName name="ventasPVNOJunio">'[5]Total por Actividad'!$AM$21</definedName>
    <definedName name="VentasPVNOMarzo" localSheetId="4">#REF!</definedName>
    <definedName name="VentasPVNOMarzo">#REF!</definedName>
    <definedName name="VentasPVNOMayo">'[5]Total por Actividad'!$AF$21</definedName>
    <definedName name="VentasPVNONoviembre">'[5]Total por Actividad'!$BV$21</definedName>
    <definedName name="VentasPVNOOctubre">'[5]Total por Actividad'!$BO$21</definedName>
    <definedName name="VentasPVNOSeptiembre">'[5]Total por Actividad'!$BH$21</definedName>
    <definedName name="VentasRDVMAbril" localSheetId="4">#REF!</definedName>
    <definedName name="VentasRDVMAbril">#REF!</definedName>
    <definedName name="VentasRDVMAgosto">'[5]Total por Actividad'!$BC$21</definedName>
    <definedName name="VentasRDVMDiciembre">'[5]Total por Actividad'!$CE$21</definedName>
    <definedName name="VentasRDVMEnero" localSheetId="4">#REF!</definedName>
    <definedName name="VentasRDVMEnero">#REF!</definedName>
    <definedName name="VentasRDVMFebrero" localSheetId="4">#REF!</definedName>
    <definedName name="VentasRDVMFebrero">#REF!</definedName>
    <definedName name="VentasRDVMJulio">'[5]Total por Actividad'!$AV$21</definedName>
    <definedName name="VentasRDVMJunio">'[5]Total por Actividad'!$AO$21</definedName>
    <definedName name="VentasRDVMMarzo" localSheetId="4">#REF!</definedName>
    <definedName name="VentasRDVMMarzo">#REF!</definedName>
    <definedName name="VentasRDVMMayo">'[5]Total por Actividad'!$AH$21</definedName>
    <definedName name="VentasRDVMNoviembre">'[5]Total por Actividad'!$BX$21</definedName>
    <definedName name="VentasRDVMOctubre">'[5]Total por Actividad'!$BQ$21</definedName>
    <definedName name="VentasRDVMSeptiembre">'[5]Total por Actividad'!$BJ$21</definedName>
    <definedName name="VentasRMAAbril" localSheetId="4">#REF!</definedName>
    <definedName name="VentasRMAAbril">#REF!</definedName>
    <definedName name="VentasRMAAgosto">'[5]Total por Actividad'!$AY$21</definedName>
    <definedName name="VentasRMADiciembre">'[5]Total por Actividad'!$CA$21</definedName>
    <definedName name="VentasRMAEnero" localSheetId="4">#REF!</definedName>
    <definedName name="VentasRMAEnero">#REF!</definedName>
    <definedName name="VentasRMAFebrero" localSheetId="4">#REF!</definedName>
    <definedName name="VentasRMAFebrero">#REF!</definedName>
    <definedName name="VentasRMAJulio">'[5]Total por Actividad'!$AR$21</definedName>
    <definedName name="VentasRMAJunio">'[5]Total por Actividad'!$AK$21</definedName>
    <definedName name="VentasRMAMarzo" localSheetId="4">#REF!</definedName>
    <definedName name="VentasRMAMarzo">#REF!</definedName>
    <definedName name="VentasRMAMayo">'[5]Total por Actividad'!$AD$21</definedName>
    <definedName name="VentasRMANoviembre">'[5]Total por Actividad'!$BT$21</definedName>
    <definedName name="VentasRMAOctubre">'[5]Total por Actividad'!$BM$21</definedName>
    <definedName name="VentasRMASeptiembre">'[5]Total por Actividad'!$BF$21</definedName>
    <definedName name="VentasRMLAPAbril" localSheetId="4">#REF!</definedName>
    <definedName name="VentasRMLAPAbril">#REF!</definedName>
    <definedName name="VentasRMLAPAgosto">'[5]Total por Actividad'!$AZ$21</definedName>
    <definedName name="VentasRMLAPDiciembre">'[5]Total por Actividad'!$CB$21</definedName>
    <definedName name="VentasRMLAPEnero" localSheetId="4">#REF!</definedName>
    <definedName name="VentasRMLAPEnero">#REF!</definedName>
    <definedName name="VentasRMLAPFebrero" localSheetId="4">#REF!</definedName>
    <definedName name="VentasRMLAPFebrero">#REF!</definedName>
    <definedName name="VentasRMLAPJulio">'[5]Total por Actividad'!$AS$21</definedName>
    <definedName name="VentasRMLAPJunio">'[5]Total por Actividad'!$AL$21</definedName>
    <definedName name="VentasRMLAPMarzo" localSheetId="4">#REF!</definedName>
    <definedName name="VentasRMLAPMarzo">#REF!</definedName>
    <definedName name="VentasRMLAPMayo">'[5]Total por Actividad'!$AE$21</definedName>
    <definedName name="VentasRMLAPNoviembre">'[5]Total por Actividad'!$BU$21</definedName>
    <definedName name="VentasRMLAPOctubre">'[5]Total por Actividad'!$BN$21</definedName>
    <definedName name="VentasRMLAPSeptiembre">'[5]Total por Actividad'!$BG$21</definedName>
    <definedName name="Version" localSheetId="4">#REF!</definedName>
    <definedName name="Version" localSheetId="37">#REF!</definedName>
    <definedName name="Version" localSheetId="33">[41]synthèse!$E$6</definedName>
    <definedName name="Version" localSheetId="34">[41]synthèse!$E$6</definedName>
    <definedName name="Version" localSheetId="22">#REF!</definedName>
    <definedName name="Version" localSheetId="21">[34]synthesis!$E$6</definedName>
    <definedName name="Version" localSheetId="36">#REF!</definedName>
    <definedName name="Version">#REF!</definedName>
    <definedName name="vestimenta" localSheetId="4">#REF!</definedName>
    <definedName name="vestimenta">#REF!</definedName>
    <definedName name="VIB" localSheetId="4">#REF!</definedName>
    <definedName name="VIB">#REF!</definedName>
    <definedName name="vide" localSheetId="24">#REF!</definedName>
    <definedName name="vide" localSheetId="4">#REF!</definedName>
    <definedName name="vide" localSheetId="2">#REF!</definedName>
    <definedName name="vide" localSheetId="3">#REF!</definedName>
    <definedName name="vide" localSheetId="26">#REF!</definedName>
    <definedName name="vide" localSheetId="27">#REF!</definedName>
    <definedName name="vide" localSheetId="28">#REF!</definedName>
    <definedName name="vide">#REF!</definedName>
    <definedName name="vide1" localSheetId="24">#REF!</definedName>
    <definedName name="vide1" localSheetId="4">#REF!</definedName>
    <definedName name="vide1" localSheetId="2">#REF!</definedName>
    <definedName name="vide1" localSheetId="3">#REF!</definedName>
    <definedName name="vide1" localSheetId="26">#REF!</definedName>
    <definedName name="vide1" localSheetId="27">#REF!</definedName>
    <definedName name="vide1" localSheetId="28">#REF!</definedName>
    <definedName name="vide1">#REF!</definedName>
    <definedName name="vide2" localSheetId="24">#REF!</definedName>
    <definedName name="vide2" localSheetId="4">#REF!</definedName>
    <definedName name="vide2" localSheetId="2">#REF!</definedName>
    <definedName name="vide2" localSheetId="3">#REF!</definedName>
    <definedName name="vide2" localSheetId="26">#REF!</definedName>
    <definedName name="vide2" localSheetId="27">#REF!</definedName>
    <definedName name="vide2" localSheetId="28">#REF!</definedName>
    <definedName name="vide2">#REF!</definedName>
    <definedName name="virus">'[52]Etat Virus'!$A$2:$E$833</definedName>
    <definedName name="VITOPEL" localSheetId="4">#REF!</definedName>
    <definedName name="VITOPEL">#REF!</definedName>
    <definedName name="VOL" localSheetId="4">#REF!</definedName>
    <definedName name="VOL">#REF!</definedName>
    <definedName name="Volumen" localSheetId="4">#REF!</definedName>
    <definedName name="Volumen">#REF!</definedName>
    <definedName name="Volumen_total" localSheetId="4">#REF!</definedName>
    <definedName name="Volumen_total">#REF!</definedName>
    <definedName name="volv10tdi" localSheetId="4">#REF!</definedName>
    <definedName name="volv10tdi">#REF!</definedName>
    <definedName name="volv6" localSheetId="4">#REF!</definedName>
    <definedName name="volv6">#REF!</definedName>
    <definedName name="volv6e1" localSheetId="4">#REF!</definedName>
    <definedName name="volv6e1">#REF!</definedName>
    <definedName name="volv6v8" localSheetId="4">#REF!</definedName>
    <definedName name="volv6v8">#REF!</definedName>
    <definedName name="volv8" localSheetId="4">#REF!</definedName>
    <definedName name="volv8">#REF!</definedName>
    <definedName name="volv8e1" localSheetId="4">#REF!</definedName>
    <definedName name="volv8e1">#REF!</definedName>
    <definedName name="volv8turbo" localSheetId="4">#REF!</definedName>
    <definedName name="volv8turbo">#REF!</definedName>
    <definedName name="volw12" localSheetId="4">#REF!</definedName>
    <definedName name="volw12">#REF!</definedName>
    <definedName name="voperario" localSheetId="4">#REF!</definedName>
    <definedName name="voperario">#REF!</definedName>
    <definedName name="vor5tdi" localSheetId="4">#REF!</definedName>
    <definedName name="vor5tdi">#REF!</definedName>
    <definedName name="VSDFAS">[0]!VSDFAS</definedName>
    <definedName name="vvv" localSheetId="24">#REF!</definedName>
    <definedName name="vvv" localSheetId="4">#REF!</definedName>
    <definedName name="vvv" localSheetId="2">#REF!</definedName>
    <definedName name="vvv" localSheetId="3">#REF!</definedName>
    <definedName name="vvv" localSheetId="26">#REF!</definedName>
    <definedName name="vvv" localSheetId="27">#REF!</definedName>
    <definedName name="vvv" localSheetId="28">#REF!</definedName>
    <definedName name="vvv">#REF!</definedName>
    <definedName name="vzorraelec">[53]Datos!$D$5</definedName>
    <definedName name="W" hidden="1">{"Schedule_IA",#N/A,FALSE,"I-A"}</definedName>
    <definedName name="WACC" localSheetId="37">'[7]CF&amp;VAN'!$D$19</definedName>
    <definedName name="WACC" localSheetId="36">'[7]CF&amp;VAN'!$D$19</definedName>
    <definedName name="WACC">'[7]CF&amp;VAN'!$D$19</definedName>
    <definedName name="Warranty">[30]Tablas!$G$3:$H$6</definedName>
    <definedName name="wee1front" localSheetId="4">#REF!</definedName>
    <definedName name="wee1front">#REF!</definedName>
    <definedName name="wee1rear" localSheetId="4">#REF!</definedName>
    <definedName name="wee1rear">#REF!</definedName>
    <definedName name="wemacrear" localSheetId="4">#REF!</definedName>
    <definedName name="wemacrear">#REF!</definedName>
    <definedName name="Work_days" localSheetId="4">#REF!</definedName>
    <definedName name="Work_days">#REF!</definedName>
    <definedName name="wrjwtjtr" hidden="1">{"Schedule_1C",#N/A,FALSE,"I-C"}</definedName>
    <definedName name="wrn.Aging._.and._.Trend._.Analysis." hidden="1">{#N/A,#N/A,FALSE,"Aging Summary";#N/A,#N/A,FALSE,"Ratio Analysis";#N/A,#N/A,FALSE,"Test 120 Day Accts";#N/A,#N/A,FALSE,"Tickmarks"}</definedName>
    <definedName name="wrn.CHARGES." hidden="1">{#N/A,#N/A,FALSE,"recap ";#N/A,#N/A,FALSE,"650T";#N/A,#N/A,FALSE,"650T (2)";#N/A,#N/A,FALSE,"650T (3)";#N/A,#N/A,FALSE,"9001200T";#N/A,#N/A,FALSE,"9001200T (2)";#N/A,#N/A,FALSE,"9001200T (3)";#N/A,#N/A,FALSE,"1800T";#N/A,#N/A,FALSE,"1800T (2)";#N/A,#N/A,FALSE,"1800T (3)";#N/A,#N/A,FALSE,"PEINTURE";#N/A,#N/A,FALSE,"PEINTURE (2)";#N/A,#N/A,FALSE,"PEINTURE (3)";#N/A,#N/A,FALSE,"mods";#N/A,#N/A,FALSE,"mods (2)";#N/A,#N/A,FALSE,"mods (3)";#N/A,#N/A,FALSE,"mods (4)";#N/A,#N/A,FALSE,"mods (5)";#N/A,#N/A,FALSE,"mods (6)";#N/A,#N/A,FALSE,"mods (7)";#N/A,#N/A,FALSE,"mods (8)";#N/A,#N/A,FALSE,"mods (9)";#N/A,#N/A,FALSE,"mods (10)";#N/A,#N/A,FALSE,"mods (11)"}</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hidden="1">{"Index",#N/A,FALSE,"Index"}</definedName>
    <definedName name="wrn.PV." hidden="1">{"pv",#N/A,FALSE,"P.Fini";"pv1",#N/A,FALSE,"SemiFini"}</definedName>
    <definedName name="wrn.PV.2" hidden="1">{"pv",#N/A,FALSE,"P.Fini";"pv1",#N/A,FALSE,"SemiFini"}</definedName>
    <definedName name="wrn.PVPRU." hidden="1">{#N/A,#N/A,FALSE,"Projet";#N/A,#N/A,FALSE,"P.Fini";#N/A,#N/A,FALSE,"Peinture";#N/A,#N/A,FALSE,"SemiFini";#N/A,#N/A,FALSE,"ERP"}</definedName>
    <definedName name="wrn.PVPRU.2" hidden="1">{#N/A,#N/A,FALSE,"Projet";#N/A,#N/A,FALSE,"P.Fini";#N/A,#N/A,FALSE,"Peinture";#N/A,#N/A,FALSE,"SemiFini";#N/A,#N/A,FALSE,"ERP"}</definedName>
    <definedName name="wrn.PVSogedac." hidden="1">{"pvsogedac",#N/A,FALSE,"P.Fini";"pvsogedac1",#N/A,FALSE,"SemiFini"}</definedName>
    <definedName name="wrn.PVSogedac.2" hidden="1">{"pvsogedac",#N/A,FALSE,"P.Fini";"pvsogedac1",#N/A,FALSE,"SemiFini"}</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I." hidden="1">{"Schedule_I",#N/A,FALSE,"I"}</definedName>
    <definedName name="wrn.schedule_ID.1" hidden="1">{"Schedule_1D",#N/A,FALSE,"I-D"}</definedName>
    <definedName name="wrtjwrjt" hidden="1">{"Schedule_I",#N/A,FALSE,"I"}</definedName>
    <definedName name="wrtjwrtj" hidden="1">{"Schedule_1D",#N/A,FALSE,"I-D"}</definedName>
    <definedName name="wtuwuj" hidden="1">{"Schedule_IA",#N/A,FALSE,"I-A"}</definedName>
    <definedName name="ww" localSheetId="24">#REF!</definedName>
    <definedName name="ww" localSheetId="4">#REF!</definedName>
    <definedName name="ww" localSheetId="2">#REF!</definedName>
    <definedName name="ww" localSheetId="3">#REF!</definedName>
    <definedName name="ww" localSheetId="26">#REF!</definedName>
    <definedName name="ww" localSheetId="27">#REF!</definedName>
    <definedName name="ww" localSheetId="28">#REF!</definedName>
    <definedName name="ww">#REF!</definedName>
    <definedName name="X" hidden="1">{#N/A,#N/A,FALSE,"Aging Summary";#N/A,#N/A,FALSE,"Ratio Analysis";#N/A,#N/A,FALSE,"Test 120 Day Accts";#N/A,#N/A,FALSE,"Tickmarks"}</definedName>
    <definedName name="XBNGF" hidden="1">{"Index",#N/A,FALSE,"Index"}</definedName>
    <definedName name="XBNXN"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XMXF" hidden="1">{"Schedule_1D",#N/A,FALSE,"I-D"}</definedName>
    <definedName name="XN" hidden="1">{"Schedule_IA",#N/A,FALSE,"I-A"}</definedName>
    <definedName name="XNXCN" hidden="1">{"Schedule_IA",#N/A,FALSE,"I-A"}</definedName>
    <definedName name="XREF_COLUMN_1" localSheetId="4" hidden="1">#REF!</definedName>
    <definedName name="XREF_COLUMN_1" hidden="1">#REF!</definedName>
    <definedName name="XREF_COLUMN_10" localSheetId="4" hidden="1">#REF!</definedName>
    <definedName name="XREF_COLUMN_10" hidden="1">#REF!</definedName>
    <definedName name="XREF_COLUMN_11" localSheetId="4" hidden="1">#REF!</definedName>
    <definedName name="XREF_COLUMN_11" hidden="1">#REF!</definedName>
    <definedName name="XREF_COLUMN_12" localSheetId="4" hidden="1">#REF!</definedName>
    <definedName name="XREF_COLUMN_12" hidden="1">#REF!</definedName>
    <definedName name="XREF_COLUMN_13" localSheetId="4" hidden="1">#REF!</definedName>
    <definedName name="XREF_COLUMN_13" hidden="1">#REF!</definedName>
    <definedName name="XREF_COLUMN_14" localSheetId="4" hidden="1">#REF!</definedName>
    <definedName name="XREF_COLUMN_14" hidden="1">#REF!</definedName>
    <definedName name="XREF_COLUMN_15" localSheetId="4" hidden="1">#REF!</definedName>
    <definedName name="XREF_COLUMN_15" hidden="1">#REF!</definedName>
    <definedName name="XREF_COLUMN_16" localSheetId="4" hidden="1">#REF!</definedName>
    <definedName name="XREF_COLUMN_16" hidden="1">#REF!</definedName>
    <definedName name="XREF_COLUMN_18" localSheetId="4" hidden="1">#REF!</definedName>
    <definedName name="XREF_COLUMN_18" hidden="1">#REF!</definedName>
    <definedName name="XREF_COLUMN_2" localSheetId="4" hidden="1">#REF!</definedName>
    <definedName name="XREF_COLUMN_2" hidden="1">#REF!</definedName>
    <definedName name="XREF_COLUMN_22" localSheetId="4" hidden="1">#REF!</definedName>
    <definedName name="XREF_COLUMN_22" hidden="1">#REF!</definedName>
    <definedName name="XREF_COLUMN_3" hidden="1">'[54]prov locales'!$H$1:$H$65536</definedName>
    <definedName name="XREF_COLUMN_4" localSheetId="4" hidden="1">#REF!</definedName>
    <definedName name="XREF_COLUMN_4" hidden="1">#REF!</definedName>
    <definedName name="XREF_COLUMN_5" localSheetId="4" hidden="1">#REF!</definedName>
    <definedName name="XREF_COLUMN_5" hidden="1">#REF!</definedName>
    <definedName name="XREF_COLUMN_6" localSheetId="4" hidden="1">#REF!</definedName>
    <definedName name="XREF_COLUMN_6" hidden="1">#REF!</definedName>
    <definedName name="XREF_COLUMN_7" localSheetId="4" hidden="1">#REF!</definedName>
    <definedName name="XREF_COLUMN_7" hidden="1">#REF!</definedName>
    <definedName name="XREF_COLUMN_8" localSheetId="4" hidden="1">#REF!</definedName>
    <definedName name="XREF_COLUMN_8" hidden="1">#REF!</definedName>
    <definedName name="XREF_COLUMN_9" localSheetId="4" hidden="1">#REF!</definedName>
    <definedName name="XREF_COLUMN_9" hidden="1">#REF!</definedName>
    <definedName name="XRefActiveRow" localSheetId="4" hidden="1">#REF!</definedName>
    <definedName name="XRefActiveRow" hidden="1">#REF!</definedName>
    <definedName name="XRefColumnsCount" hidden="1">2</definedName>
    <definedName name="XRefCopy1" localSheetId="4" hidden="1">[48]Test!#REF!</definedName>
    <definedName name="XRefCopy1" hidden="1">[48]Test!#REF!</definedName>
    <definedName name="XRefCopy10" localSheetId="4" hidden="1">'[50]Bs. de Uso 2002'!#REF!</definedName>
    <definedName name="XRefCopy10" hidden="1">'[50]Bs. de Uso 2002'!#REF!</definedName>
    <definedName name="XRefCopy10Row" localSheetId="4" hidden="1">#REF!</definedName>
    <definedName name="XRefCopy10Row" hidden="1">#REF!</definedName>
    <definedName name="XRefCopy11" localSheetId="4" hidden="1">'[50]Bs. de Uso 2002'!#REF!</definedName>
    <definedName name="XRefCopy11" hidden="1">'[50]Bs. de Uso 2002'!#REF!</definedName>
    <definedName name="XRefCopy11Row" localSheetId="4" hidden="1">#REF!</definedName>
    <definedName name="XRefCopy11Row" hidden="1">#REF!</definedName>
    <definedName name="XRefCopy12" localSheetId="4" hidden="1">'[50]Bs. de Uso 2002'!#REF!</definedName>
    <definedName name="XRefCopy12" hidden="1">'[50]Bs. de Uso 2002'!#REF!</definedName>
    <definedName name="XRefCopy12Row" localSheetId="4" hidden="1">#REF!</definedName>
    <definedName name="XRefCopy12Row" hidden="1">#REF!</definedName>
    <definedName name="XRefCopy13" localSheetId="4" hidden="1">#REF!</definedName>
    <definedName name="XRefCopy13" hidden="1">#REF!</definedName>
    <definedName name="XRefCopy13Row" localSheetId="4" hidden="1">#REF!</definedName>
    <definedName name="XRefCopy13Row" hidden="1">#REF!</definedName>
    <definedName name="XRefCopy14" localSheetId="4" hidden="1">#REF!</definedName>
    <definedName name="XRefCopy14" hidden="1">#REF!</definedName>
    <definedName name="XRefCopy14Row" localSheetId="4" hidden="1">#REF!</definedName>
    <definedName name="XRefCopy14Row" hidden="1">#REF!</definedName>
    <definedName name="XRefCopy15" localSheetId="4" hidden="1">#REF!</definedName>
    <definedName name="XRefCopy15" hidden="1">#REF!</definedName>
    <definedName name="XRefCopy15Row" localSheetId="4" hidden="1">#REF!</definedName>
    <definedName name="XRefCopy15Row" hidden="1">#REF!</definedName>
    <definedName name="XRefCopy16" localSheetId="4" hidden="1">#REF!</definedName>
    <definedName name="XRefCopy16" hidden="1">#REF!</definedName>
    <definedName name="XRefCopy16Row" localSheetId="4" hidden="1">#REF!</definedName>
    <definedName name="XRefCopy16Row" hidden="1">#REF!</definedName>
    <definedName name="XRefCopy17" localSheetId="4" hidden="1">#REF!</definedName>
    <definedName name="XRefCopy17" hidden="1">#REF!</definedName>
    <definedName name="XRefCopy17Row" localSheetId="4" hidden="1">#REF!</definedName>
    <definedName name="XRefCopy17Row" hidden="1">#REF!</definedName>
    <definedName name="XRefCopy18" localSheetId="4" hidden="1">#REF!</definedName>
    <definedName name="XRefCopy18" hidden="1">#REF!</definedName>
    <definedName name="XRefCopy18Row" localSheetId="4" hidden="1">#REF!</definedName>
    <definedName name="XRefCopy18Row" hidden="1">#REF!</definedName>
    <definedName name="XRefCopy19" localSheetId="4" hidden="1">#REF!</definedName>
    <definedName name="XRefCopy19" hidden="1">#REF!</definedName>
    <definedName name="XRefCopy19Row" localSheetId="4" hidden="1">#REF!</definedName>
    <definedName name="XRefCopy19Row" hidden="1">#REF!</definedName>
    <definedName name="XRefCopy1Row" localSheetId="4" hidden="1">#REF!</definedName>
    <definedName name="XRefCopy1Row" hidden="1">#REF!</definedName>
    <definedName name="XRefCopy2" localSheetId="4" hidden="1">#REF!</definedName>
    <definedName name="XRefCopy2" hidden="1">#REF!</definedName>
    <definedName name="XRefCopy20" localSheetId="4" hidden="1">#REF!</definedName>
    <definedName name="XRefCopy20" hidden="1">#REF!</definedName>
    <definedName name="XRefCopy20Row" localSheetId="4" hidden="1">#REF!</definedName>
    <definedName name="XRefCopy20Row" hidden="1">#REF!</definedName>
    <definedName name="XRefCopy21" localSheetId="4" hidden="1">#REF!</definedName>
    <definedName name="XRefCopy21" hidden="1">#REF!</definedName>
    <definedName name="XRefCopy21Row" localSheetId="4" hidden="1">#REF!</definedName>
    <definedName name="XRefCopy21Row" hidden="1">#REF!</definedName>
    <definedName name="XRefCopy22" localSheetId="4" hidden="1">#REF!</definedName>
    <definedName name="XRefCopy22" hidden="1">#REF!</definedName>
    <definedName name="XRefCopy22Row" localSheetId="4" hidden="1">#REF!</definedName>
    <definedName name="XRefCopy22Row" hidden="1">#REF!</definedName>
    <definedName name="XRefCopy23" localSheetId="4" hidden="1">#REF!</definedName>
    <definedName name="XRefCopy23" hidden="1">#REF!</definedName>
    <definedName name="XRefCopy23Row" localSheetId="4" hidden="1">#REF!</definedName>
    <definedName name="XRefCopy23Row" hidden="1">#REF!</definedName>
    <definedName name="XRefCopy24" localSheetId="4" hidden="1">#REF!</definedName>
    <definedName name="XRefCopy24" hidden="1">#REF!</definedName>
    <definedName name="XRefCopy24Row" localSheetId="4" hidden="1">#REF!</definedName>
    <definedName name="XRefCopy24Row" hidden="1">#REF!</definedName>
    <definedName name="XRefCopy25" localSheetId="4" hidden="1">#REF!</definedName>
    <definedName name="XRefCopy25" hidden="1">#REF!</definedName>
    <definedName name="XRefCopy25Row" localSheetId="4" hidden="1">#REF!</definedName>
    <definedName name="XRefCopy25Row" hidden="1">#REF!</definedName>
    <definedName name="XRefCopy26" localSheetId="4" hidden="1">#REF!</definedName>
    <definedName name="XRefCopy26" hidden="1">#REF!</definedName>
    <definedName name="XRefCopy26Row" localSheetId="4" hidden="1">#REF!</definedName>
    <definedName name="XRefCopy26Row" hidden="1">#REF!</definedName>
    <definedName name="XRefCopy27" localSheetId="4" hidden="1">#REF!</definedName>
    <definedName name="XRefCopy27" hidden="1">#REF!</definedName>
    <definedName name="XRefCopy27Row" localSheetId="4" hidden="1">#REF!</definedName>
    <definedName name="XRefCopy27Row" hidden="1">#REF!</definedName>
    <definedName name="XRefCopy28" localSheetId="4" hidden="1">#REF!</definedName>
    <definedName name="XRefCopy28" hidden="1">#REF!</definedName>
    <definedName name="XRefCopy28Row" localSheetId="4" hidden="1">#REF!</definedName>
    <definedName name="XRefCopy28Row" hidden="1">#REF!</definedName>
    <definedName name="XRefCopy29" localSheetId="4" hidden="1">#REF!</definedName>
    <definedName name="XRefCopy29" hidden="1">#REF!</definedName>
    <definedName name="XRefCopy29Row" localSheetId="4" hidden="1">#REF!</definedName>
    <definedName name="XRefCopy29Row" hidden="1">#REF!</definedName>
    <definedName name="XRefCopy2Row" localSheetId="4" hidden="1">[55]XREF!#REF!</definedName>
    <definedName name="XRefCopy2Row" hidden="1">[55]XREF!#REF!</definedName>
    <definedName name="XRefCopy3" hidden="1">'[54]prov locales'!$G$684</definedName>
    <definedName name="XRefCopy30" localSheetId="4" hidden="1">#REF!</definedName>
    <definedName name="XRefCopy30" hidden="1">#REF!</definedName>
    <definedName name="XRefCopy30Row" localSheetId="4" hidden="1">#REF!</definedName>
    <definedName name="XRefCopy30Row" hidden="1">#REF!</definedName>
    <definedName name="XRefCopy31" localSheetId="4" hidden="1">#REF!</definedName>
    <definedName name="XRefCopy31" hidden="1">#REF!</definedName>
    <definedName name="XRefCopy31Row" localSheetId="4" hidden="1">#REF!</definedName>
    <definedName name="XRefCopy31Row" hidden="1">#REF!</definedName>
    <definedName name="XRefCopy32" localSheetId="4" hidden="1">#REF!</definedName>
    <definedName name="XRefCopy32" hidden="1">#REF!</definedName>
    <definedName name="XRefCopy32Row" localSheetId="4" hidden="1">#REF!</definedName>
    <definedName name="XRefCopy32Row" hidden="1">#REF!</definedName>
    <definedName name="XRefCopy33" localSheetId="4" hidden="1">#REF!</definedName>
    <definedName name="XRefCopy33" hidden="1">#REF!</definedName>
    <definedName name="XRefCopy33Row" localSheetId="4" hidden="1">#REF!</definedName>
    <definedName name="XRefCopy33Row" hidden="1">#REF!</definedName>
    <definedName name="XRefCopy34Row" localSheetId="4" hidden="1">#REF!</definedName>
    <definedName name="XRefCopy34Row" hidden="1">#REF!</definedName>
    <definedName name="XRefCopy35" localSheetId="4" hidden="1">#REF!</definedName>
    <definedName name="XRefCopy35" hidden="1">#REF!</definedName>
    <definedName name="XRefCopy36" localSheetId="4" hidden="1">#REF!</definedName>
    <definedName name="XRefCopy36" hidden="1">#REF!</definedName>
    <definedName name="XRefCopy36Row" localSheetId="4" hidden="1">#REF!</definedName>
    <definedName name="XRefCopy36Row" hidden="1">#REF!</definedName>
    <definedName name="XRefCopy38Row" localSheetId="4" hidden="1">#REF!</definedName>
    <definedName name="XRefCopy38Row" hidden="1">#REF!</definedName>
    <definedName name="XRefCopy39Row" localSheetId="4" hidden="1">#REF!</definedName>
    <definedName name="XRefCopy39Row" hidden="1">#REF!</definedName>
    <definedName name="XRefCopy3Row" localSheetId="4" hidden="1">#REF!</definedName>
    <definedName name="XRefCopy3Row" hidden="1">#REF!</definedName>
    <definedName name="XRefCopy4" hidden="1">'[54]prov locales'!$G$684</definedName>
    <definedName name="XRefCopy40Row" localSheetId="4" hidden="1">#REF!</definedName>
    <definedName name="XRefCopy40Row" hidden="1">#REF!</definedName>
    <definedName name="XRefCopy41Row" localSheetId="4" hidden="1">#REF!</definedName>
    <definedName name="XRefCopy41Row" hidden="1">#REF!</definedName>
    <definedName name="XRefCopy42Row" localSheetId="4" hidden="1">#REF!</definedName>
    <definedName name="XRefCopy42Row" hidden="1">#REF!</definedName>
    <definedName name="XRefCopy43Row" localSheetId="4" hidden="1">#REF!</definedName>
    <definedName name="XRefCopy43Row" hidden="1">#REF!</definedName>
    <definedName name="XRefCopy44" localSheetId="4" hidden="1">#REF!</definedName>
    <definedName name="XRefCopy44" hidden="1">#REF!</definedName>
    <definedName name="XRefCopy44Row" localSheetId="4" hidden="1">#REF!</definedName>
    <definedName name="XRefCopy44Row" hidden="1">#REF!</definedName>
    <definedName name="XRefCopy4Row" localSheetId="4" hidden="1">#REF!</definedName>
    <definedName name="XRefCopy4Row" hidden="1">#REF!</definedName>
    <definedName name="XRefCopy5" hidden="1">'[54]prov locales'!$G$689</definedName>
    <definedName name="XRefCopy5Row" localSheetId="4" hidden="1">#REF!</definedName>
    <definedName name="XRefCopy5Row" hidden="1">#REF!</definedName>
    <definedName name="XRefCopy6" hidden="1">'[54]prov locales'!$G$689</definedName>
    <definedName name="XRefCopy6Row" localSheetId="4" hidden="1">[55]XREF!#REF!</definedName>
    <definedName name="XRefCopy6Row" hidden="1">[55]XREF!#REF!</definedName>
    <definedName name="XRefCopy7" hidden="1">'[54]prov locales'!$G$685</definedName>
    <definedName name="XRefCopy7Row" localSheetId="4" hidden="1">[55]XREF!#REF!</definedName>
    <definedName name="XRefCopy7Row" hidden="1">[55]XREF!#REF!</definedName>
    <definedName name="XRefCopy8" localSheetId="4" hidden="1">#REF!</definedName>
    <definedName name="XRefCopy8" hidden="1">#REF!</definedName>
    <definedName name="XRefCopy8Row" localSheetId="4" hidden="1">[55]XREF!#REF!</definedName>
    <definedName name="XRefCopy8Row" hidden="1">[55]XREF!#REF!</definedName>
    <definedName name="XRefCopy9" localSheetId="4" hidden="1">'[50]Bs. de Uso 2002'!#REF!</definedName>
    <definedName name="XRefCopy9" hidden="1">'[50]Bs. de Uso 2002'!#REF!</definedName>
    <definedName name="XRefCopy9Row" localSheetId="4" hidden="1">#REF!</definedName>
    <definedName name="XRefCopy9Row" hidden="1">#REF!</definedName>
    <definedName name="XRefCopyRangeCount" hidden="1">3</definedName>
    <definedName name="XRefPaste1" localSheetId="4" hidden="1">'[50]Bs. de Uso 2002'!#REF!</definedName>
    <definedName name="XRefPaste1" hidden="1">'[50]Bs. de Uso 2002'!#REF!</definedName>
    <definedName name="XRefPaste10Row" localSheetId="4" hidden="1">#REF!</definedName>
    <definedName name="XRefPaste10Row" hidden="1">#REF!</definedName>
    <definedName name="XRefPaste11Row" localSheetId="4" hidden="1">#REF!</definedName>
    <definedName name="XRefPaste11Row" hidden="1">#REF!</definedName>
    <definedName name="XRefPaste12Row" localSheetId="4" hidden="1">#REF!</definedName>
    <definedName name="XRefPaste12Row" hidden="1">#REF!</definedName>
    <definedName name="XRefPaste13Row" localSheetId="4" hidden="1">#REF!</definedName>
    <definedName name="XRefPaste13Row" hidden="1">#REF!</definedName>
    <definedName name="XRefPaste14Row" localSheetId="4" hidden="1">#REF!</definedName>
    <definedName name="XRefPaste14Row" hidden="1">#REF!</definedName>
    <definedName name="XRefPaste15Row" localSheetId="4" hidden="1">#REF!</definedName>
    <definedName name="XRefPaste15Row" hidden="1">#REF!</definedName>
    <definedName name="XRefPaste16Row" localSheetId="4" hidden="1">#REF!</definedName>
    <definedName name="XRefPaste16Row" hidden="1">#REF!</definedName>
    <definedName name="XRefPaste17Row" localSheetId="4" hidden="1">#REF!</definedName>
    <definedName name="XRefPaste17Row" hidden="1">#REF!</definedName>
    <definedName name="XRefPaste18Row" localSheetId="4" hidden="1">#REF!</definedName>
    <definedName name="XRefPaste18Row" hidden="1">#REF!</definedName>
    <definedName name="XRefPaste19Row" localSheetId="4" hidden="1">#REF!</definedName>
    <definedName name="XRefPaste19Row" hidden="1">#REF!</definedName>
    <definedName name="XRefPaste1Row" localSheetId="4" hidden="1">#REF!</definedName>
    <definedName name="XRefPaste1Row" hidden="1">#REF!</definedName>
    <definedName name="XRefPaste2" localSheetId="4" hidden="1">#REF!</definedName>
    <definedName name="XRefPaste2" hidden="1">#REF!</definedName>
    <definedName name="XRefPaste20Row" localSheetId="4" hidden="1">#REF!</definedName>
    <definedName name="XRefPaste20Row" hidden="1">#REF!</definedName>
    <definedName name="XRefPaste21Row" localSheetId="4" hidden="1">#REF!</definedName>
    <definedName name="XRefPaste21Row" hidden="1">#REF!</definedName>
    <definedName name="XRefPaste2Row" localSheetId="4" hidden="1">[55]XREF!#REF!</definedName>
    <definedName name="XRefPaste2Row" hidden="1">[55]XREF!#REF!</definedName>
    <definedName name="XRefPaste3" localSheetId="4" hidden="1">#REF!</definedName>
    <definedName name="XRefPaste3" hidden="1">#REF!</definedName>
    <definedName name="XRefPaste3Row" localSheetId="4" hidden="1">#REF!</definedName>
    <definedName name="XRefPaste3Row" hidden="1">#REF!</definedName>
    <definedName name="XRefPaste4" localSheetId="4" hidden="1">#REF!</definedName>
    <definedName name="XRefPaste4" hidden="1">#REF!</definedName>
    <definedName name="XRefPaste4Row" localSheetId="4" hidden="1">#REF!</definedName>
    <definedName name="XRefPaste4Row" hidden="1">#REF!</definedName>
    <definedName name="XRefPaste6Row" localSheetId="4" hidden="1">[56]XREF!#REF!</definedName>
    <definedName name="XRefPaste6Row" hidden="1">[56]XREF!#REF!</definedName>
    <definedName name="XRefPaste8Row" localSheetId="4" hidden="1">#REF!</definedName>
    <definedName name="XRefPaste8Row" hidden="1">#REF!</definedName>
    <definedName name="XRefPaste9Row" localSheetId="4" hidden="1">#REF!</definedName>
    <definedName name="XRefPaste9Row" hidden="1">#REF!</definedName>
    <definedName name="XRefPasteRangeCount" hidden="1">17</definedName>
    <definedName name="xrefpastes" localSheetId="4" hidden="1">'[50]Bs. de Uso 2002'!#REF!</definedName>
    <definedName name="xrefpastes" hidden="1">'[50]Bs. de Uso 2002'!#REF!</definedName>
    <definedName name="Y" hidden="1">{"Schedule_I",#N/A,FALSE,"I"}</definedName>
    <definedName name="yfkfy" hidden="1">{"Schedule_IA",#N/A,FALSE,"I-A"}</definedName>
    <definedName name="YFLYFIL" hidden="1">{"Schedule_1C",#N/A,FALSE,"I-C"}</definedName>
    <definedName name="YJYD" hidden="1">{"Schedule_IA",#N/A,FALSE,"I-A"}</definedName>
    <definedName name="yu" hidden="1">{"Schedule_I",#N/A,FALSE,"I"}</definedName>
    <definedName name="ZCNZ" hidden="1">{"Schedule_1C",#N/A,FALSE,"I-C"}</definedName>
    <definedName name="ZCNZCN" hidden="1">{"Schedule_I",#N/A,FALSE,"I"}</definedName>
    <definedName name="ZCNZNCN" hidden="1">{"Schedule_1D",#N/A,FALSE,"I-D"}</definedName>
    <definedName name="ZNZN" hidden="1">{"Schedule_1D",#N/A,FALSE,"I-D"}</definedName>
    <definedName name="Zone_impres_MI" localSheetId="4">#REF!</definedName>
    <definedName name="Zone_impres_MI">#REF!</definedName>
    <definedName name="zzz">[0]!zzz</definedName>
    <definedName name="아" hidden="1">{#N/A,#N/A,FALSE,"Aging Summary";#N/A,#N/A,FALSE,"Ratio Analysis";#N/A,#N/A,FALSE,"Test 120 Day Accts";#N/A,#N/A,FALSE,"Tickmarks"}</definedName>
  </definedNames>
  <calcPr calcId="125725"/>
</workbook>
</file>

<file path=xl/calcChain.xml><?xml version="1.0" encoding="utf-8"?>
<calcChain xmlns="http://schemas.openxmlformats.org/spreadsheetml/2006/main">
  <c r="L55" i="31412"/>
  <c r="L56"/>
  <c r="L57"/>
  <c r="L58"/>
  <c r="L59"/>
  <c r="L60"/>
  <c r="L61"/>
  <c r="L62"/>
  <c r="L63"/>
  <c r="L64"/>
  <c r="L65"/>
  <c r="L66"/>
  <c r="L67"/>
  <c r="L68"/>
  <c r="L69"/>
  <c r="L70"/>
  <c r="L71"/>
  <c r="L72"/>
  <c r="L73"/>
  <c r="L74"/>
  <c r="L75"/>
  <c r="L76"/>
  <c r="L77"/>
  <c r="L78"/>
  <c r="L79"/>
  <c r="L80"/>
  <c r="L81"/>
  <c r="L82"/>
  <c r="L83"/>
  <c r="L84"/>
  <c r="L85"/>
  <c r="L86"/>
  <c r="L87"/>
  <c r="L88"/>
  <c r="L89"/>
  <c r="L54"/>
  <c r="K79"/>
  <c r="K80"/>
  <c r="K81"/>
  <c r="K82"/>
  <c r="K83"/>
  <c r="K84"/>
  <c r="K85"/>
  <c r="K86"/>
  <c r="K87"/>
  <c r="K88"/>
  <c r="K89"/>
  <c r="K78"/>
  <c r="K67"/>
  <c r="K68"/>
  <c r="K69"/>
  <c r="K70"/>
  <c r="K71"/>
  <c r="K72"/>
  <c r="K73"/>
  <c r="K74"/>
  <c r="K75"/>
  <c r="K76"/>
  <c r="K77"/>
  <c r="K66"/>
  <c r="K55"/>
  <c r="K56"/>
  <c r="K57"/>
  <c r="K58"/>
  <c r="K59"/>
  <c r="K60"/>
  <c r="K61"/>
  <c r="K62"/>
  <c r="K63"/>
  <c r="K64"/>
  <c r="K65"/>
  <c r="K54"/>
  <c r="L51"/>
  <c r="H13" i="31418"/>
  <c r="G13"/>
  <c r="F13"/>
  <c r="E13"/>
  <c r="D13"/>
  <c r="C13"/>
  <c r="B13"/>
  <c r="Q17" i="31419"/>
  <c r="Q16"/>
  <c r="Q12"/>
  <c r="Q11"/>
  <c r="Q10"/>
  <c r="S11"/>
  <c r="S12"/>
  <c r="S13"/>
  <c r="S10"/>
  <c r="R7"/>
  <c r="V7"/>
  <c r="U7"/>
  <c r="T7"/>
  <c r="S7"/>
  <c r="Q7"/>
  <c r="R18" l="1"/>
  <c r="Q18"/>
  <c r="S18" s="1"/>
  <c r="R16"/>
  <c r="S16" s="1"/>
  <c r="R17"/>
  <c r="K5"/>
  <c r="K6"/>
  <c r="K7"/>
  <c r="C28" i="31403"/>
  <c r="D28"/>
  <c r="E27"/>
  <c r="D27"/>
  <c r="D21" i="31410"/>
  <c r="G21" s="1"/>
  <c r="F21"/>
  <c r="D20"/>
  <c r="G20" s="1"/>
  <c r="F20"/>
  <c r="F19"/>
  <c r="D19"/>
  <c r="G19" s="1"/>
  <c r="D18"/>
  <c r="G18" s="1"/>
  <c r="F18"/>
  <c r="F17"/>
  <c r="D17"/>
  <c r="G17" s="1"/>
  <c r="D12"/>
  <c r="G12" s="1"/>
  <c r="F12"/>
  <c r="F16"/>
  <c r="D16"/>
  <c r="G16" s="1"/>
  <c r="F8"/>
  <c r="D8"/>
  <c r="G8" s="1"/>
  <c r="F7"/>
  <c r="F9"/>
  <c r="F11"/>
  <c r="F10"/>
  <c r="F13"/>
  <c r="F14"/>
  <c r="F15"/>
  <c r="D10"/>
  <c r="G10" s="1"/>
  <c r="D13"/>
  <c r="G13" s="1"/>
  <c r="D14"/>
  <c r="G14" s="1"/>
  <c r="D15"/>
  <c r="G15" s="1"/>
  <c r="D11"/>
  <c r="G11" s="1"/>
  <c r="D9"/>
  <c r="G9" s="1"/>
  <c r="D7"/>
  <c r="G7" s="1"/>
  <c r="D6"/>
  <c r="D5"/>
  <c r="D4"/>
  <c r="D3"/>
  <c r="U7" i="31417"/>
  <c r="K2"/>
  <c r="D32" i="31406"/>
  <c r="F28"/>
  <c r="E28"/>
  <c r="D28"/>
  <c r="F20"/>
  <c r="E20"/>
  <c r="D20"/>
  <c r="L91" i="31409"/>
  <c r="G89"/>
  <c r="Y35" i="31406"/>
  <c r="S17" i="31419" l="1"/>
  <c r="L7"/>
  <c r="L6"/>
  <c r="L5"/>
  <c r="K4"/>
  <c r="G93" i="31409"/>
  <c r="C81" s="1"/>
  <c r="F110" i="31415"/>
  <c r="F109"/>
  <c r="F108"/>
  <c r="E110"/>
  <c r="E109"/>
  <c r="E108"/>
  <c r="F112"/>
  <c r="E112"/>
  <c r="E118"/>
  <c r="F118"/>
  <c r="E119"/>
  <c r="F119"/>
  <c r="F117"/>
  <c r="E117"/>
  <c r="F95"/>
  <c r="F113" s="1"/>
  <c r="J87"/>
  <c r="E95" s="1"/>
  <c r="E113" s="1"/>
  <c r="F101"/>
  <c r="F100"/>
  <c r="F99"/>
  <c r="F93"/>
  <c r="F92"/>
  <c r="F91"/>
  <c r="F85"/>
  <c r="F84"/>
  <c r="F83"/>
  <c r="F80"/>
  <c r="F79"/>
  <c r="F78"/>
  <c r="F81"/>
  <c r="F86" s="1"/>
  <c r="F94" s="1"/>
  <c r="J85"/>
  <c r="E81" s="1"/>
  <c r="E86" s="1"/>
  <c r="E94" s="1"/>
  <c r="J84"/>
  <c r="E84" s="1"/>
  <c r="M5" i="31419" l="1"/>
  <c r="N5" s="1"/>
  <c r="M7"/>
  <c r="N7" s="1"/>
  <c r="M6"/>
  <c r="N6" s="1"/>
  <c r="E93" i="31415"/>
  <c r="E100"/>
  <c r="E99"/>
  <c r="E101"/>
  <c r="E91"/>
  <c r="E92"/>
  <c r="E79"/>
  <c r="E83"/>
  <c r="E85"/>
  <c r="E78"/>
  <c r="E80"/>
  <c r="B18" i="31409"/>
  <c r="B17"/>
  <c r="D7"/>
  <c r="D66" s="1"/>
  <c r="C5"/>
  <c r="C4"/>
  <c r="X5" i="31417"/>
  <c r="U5"/>
  <c r="C66"/>
  <c r="C53"/>
  <c r="C40"/>
  <c r="C27"/>
  <c r="L2"/>
  <c r="I29"/>
  <c r="I30"/>
  <c r="I31"/>
  <c r="I32"/>
  <c r="I33"/>
  <c r="I34"/>
  <c r="I35"/>
  <c r="I36"/>
  <c r="I37"/>
  <c r="I38"/>
  <c r="I39"/>
  <c r="I41" s="1"/>
  <c r="I42" s="1"/>
  <c r="I43" s="1"/>
  <c r="I44" s="1"/>
  <c r="I45" s="1"/>
  <c r="I46" s="1"/>
  <c r="I47" s="1"/>
  <c r="I48" s="1"/>
  <c r="I49" s="1"/>
  <c r="I50" s="1"/>
  <c r="I51" s="1"/>
  <c r="I52" s="1"/>
  <c r="I54" s="1"/>
  <c r="I55" s="1"/>
  <c r="I56" s="1"/>
  <c r="I57" s="1"/>
  <c r="I58" s="1"/>
  <c r="I59" s="1"/>
  <c r="I60" s="1"/>
  <c r="I61" s="1"/>
  <c r="I62" s="1"/>
  <c r="I63" s="1"/>
  <c r="I64" s="1"/>
  <c r="I65" s="1"/>
  <c r="I28"/>
  <c r="I16"/>
  <c r="I17"/>
  <c r="I18"/>
  <c r="I19"/>
  <c r="I20"/>
  <c r="I21"/>
  <c r="I22"/>
  <c r="I23"/>
  <c r="I24"/>
  <c r="I25"/>
  <c r="I26"/>
  <c r="I15"/>
  <c r="I3"/>
  <c r="I4"/>
  <c r="I5"/>
  <c r="I6"/>
  <c r="I7"/>
  <c r="I8"/>
  <c r="I9"/>
  <c r="I10"/>
  <c r="I11"/>
  <c r="I12"/>
  <c r="I13"/>
  <c r="I2"/>
  <c r="E29"/>
  <c r="E30"/>
  <c r="E31"/>
  <c r="E32"/>
  <c r="E33"/>
  <c r="E34"/>
  <c r="E35"/>
  <c r="E36"/>
  <c r="E37"/>
  <c r="E38"/>
  <c r="E39"/>
  <c r="E41"/>
  <c r="E42"/>
  <c r="E43"/>
  <c r="E44"/>
  <c r="E45"/>
  <c r="E46"/>
  <c r="E47"/>
  <c r="E48"/>
  <c r="E49"/>
  <c r="E50"/>
  <c r="E51"/>
  <c r="E52"/>
  <c r="E54"/>
  <c r="E55"/>
  <c r="E56"/>
  <c r="E57"/>
  <c r="E58"/>
  <c r="E59"/>
  <c r="E60"/>
  <c r="E61"/>
  <c r="E62"/>
  <c r="E63"/>
  <c r="E64"/>
  <c r="E65"/>
  <c r="E28"/>
  <c r="E16"/>
  <c r="E17"/>
  <c r="E18"/>
  <c r="E19"/>
  <c r="E20"/>
  <c r="E21"/>
  <c r="E22"/>
  <c r="E23"/>
  <c r="E24"/>
  <c r="E25"/>
  <c r="E26"/>
  <c r="C39" i="31397"/>
  <c r="G38"/>
  <c r="F38"/>
  <c r="F37"/>
  <c r="F39" s="1"/>
  <c r="G36"/>
  <c r="F36"/>
  <c r="G35"/>
  <c r="F35"/>
  <c r="E15" i="31417"/>
  <c r="E3"/>
  <c r="E4"/>
  <c r="E5"/>
  <c r="E6"/>
  <c r="E7"/>
  <c r="E8"/>
  <c r="E9"/>
  <c r="E10"/>
  <c r="E11"/>
  <c r="E12"/>
  <c r="E13"/>
  <c r="E2"/>
  <c r="C13" i="31400"/>
  <c r="C12"/>
  <c r="C11"/>
  <c r="C6" i="31416"/>
  <c r="E28" i="31403"/>
  <c r="C27"/>
  <c r="B44" i="31415"/>
  <c r="C48" s="1"/>
  <c r="E6" i="31399"/>
  <c r="E10" s="1"/>
  <c r="E43" i="31406"/>
  <c r="F43" s="1"/>
  <c r="G43" s="1"/>
  <c r="H43" s="1"/>
  <c r="D43"/>
  <c r="G28"/>
  <c r="H28" s="1"/>
  <c r="B35" i="31414"/>
  <c r="B36" s="1"/>
  <c r="B37" s="1"/>
  <c r="B38" s="1"/>
  <c r="B39" s="1"/>
  <c r="B40" s="1"/>
  <c r="B41" s="1"/>
  <c r="B42" s="1"/>
  <c r="B34"/>
  <c r="B33"/>
  <c r="B31"/>
  <c r="B32"/>
  <c r="C18" i="31415"/>
  <c r="C17"/>
  <c r="C8" i="31414"/>
  <c r="C7"/>
  <c r="C6"/>
  <c r="H37" i="31412"/>
  <c r="F12"/>
  <c r="E12"/>
  <c r="F11"/>
  <c r="E11"/>
  <c r="F10"/>
  <c r="E10"/>
  <c r="F9"/>
  <c r="E9"/>
  <c r="F8"/>
  <c r="E8"/>
  <c r="F7"/>
  <c r="D7"/>
  <c r="E6"/>
  <c r="D6"/>
  <c r="F6" s="1"/>
  <c r="D5"/>
  <c r="F5" s="1"/>
  <c r="F4"/>
  <c r="D4"/>
  <c r="B4"/>
  <c r="F3"/>
  <c r="D3"/>
  <c r="B3"/>
  <c r="E54"/>
  <c r="B35"/>
  <c r="D22" i="31406"/>
  <c r="C58" i="31413"/>
  <c r="C9" i="31401" l="1"/>
  <c r="H26" i="31406"/>
  <c r="D26"/>
  <c r="E26"/>
  <c r="F26"/>
  <c r="G26"/>
  <c r="E40" i="31417"/>
  <c r="E66"/>
  <c r="E27"/>
  <c r="E53"/>
  <c r="I27"/>
  <c r="I53"/>
  <c r="I40"/>
  <c r="I66"/>
  <c r="I14"/>
  <c r="E14"/>
  <c r="G37" i="31397"/>
  <c r="G39" s="1"/>
  <c r="E32" i="31406"/>
  <c r="C41" i="31414"/>
  <c r="C33"/>
  <c r="C31"/>
  <c r="C40"/>
  <c r="C32"/>
  <c r="C36"/>
  <c r="C39"/>
  <c r="C37"/>
  <c r="C35"/>
  <c r="C38"/>
  <c r="C42"/>
  <c r="C34"/>
  <c r="C43"/>
  <c r="B43"/>
  <c r="C21" i="31415"/>
  <c r="E5" i="31412"/>
  <c r="H38" i="31398"/>
  <c r="E38"/>
  <c r="G38" s="1"/>
  <c r="I38" s="1"/>
  <c r="D38"/>
  <c r="G36"/>
  <c r="I36" s="1"/>
  <c r="E36"/>
  <c r="D36"/>
  <c r="E37"/>
  <c r="G37" s="1"/>
  <c r="I37" s="1"/>
  <c r="D37"/>
  <c r="E35"/>
  <c r="D35"/>
  <c r="G35"/>
  <c r="I35" s="1"/>
  <c r="D34"/>
  <c r="G34" s="1"/>
  <c r="I34" s="1"/>
  <c r="E34"/>
  <c r="D33"/>
  <c r="E33"/>
  <c r="G33" s="1"/>
  <c r="I33" s="1"/>
  <c r="E32"/>
  <c r="G32" s="1"/>
  <c r="I32" s="1"/>
  <c r="D32"/>
  <c r="D31"/>
  <c r="E31"/>
  <c r="G31" s="1"/>
  <c r="I31" s="1"/>
  <c r="D30"/>
  <c r="E30"/>
  <c r="G30" s="1"/>
  <c r="I30" s="1"/>
  <c r="D29"/>
  <c r="G29" s="1"/>
  <c r="I29" s="1"/>
  <c r="E29"/>
  <c r="E28"/>
  <c r="D28"/>
  <c r="G28" s="1"/>
  <c r="I28" s="1"/>
  <c r="D24"/>
  <c r="E24"/>
  <c r="D21"/>
  <c r="E21"/>
  <c r="E18"/>
  <c r="D18"/>
  <c r="D23"/>
  <c r="E23"/>
  <c r="E22"/>
  <c r="D22"/>
  <c r="E19"/>
  <c r="D19"/>
  <c r="E20"/>
  <c r="D20"/>
  <c r="E17"/>
  <c r="D17"/>
  <c r="E15"/>
  <c r="D15"/>
  <c r="E16"/>
  <c r="D16"/>
  <c r="E14"/>
  <c r="D14"/>
  <c r="E13"/>
  <c r="D13"/>
  <c r="E11"/>
  <c r="D11"/>
  <c r="E12"/>
  <c r="D12"/>
  <c r="E10"/>
  <c r="D10"/>
  <c r="E8"/>
  <c r="G8" s="1"/>
  <c r="I8" s="1"/>
  <c r="E9"/>
  <c r="G9" s="1"/>
  <c r="I9" s="1"/>
  <c r="E7"/>
  <c r="G7" s="1"/>
  <c r="I7" s="1"/>
  <c r="F16" i="31413"/>
  <c r="F17" s="1"/>
  <c r="E16"/>
  <c r="D16"/>
  <c r="D17" s="1"/>
  <c r="C16"/>
  <c r="C17" s="1"/>
  <c r="C18" s="1"/>
  <c r="C12" s="1"/>
  <c r="B16"/>
  <c r="B17" s="1"/>
  <c r="B18" s="1"/>
  <c r="C19" i="31397"/>
  <c r="F27"/>
  <c r="G27" s="1"/>
  <c r="F26"/>
  <c r="G26" s="1"/>
  <c r="F17"/>
  <c r="G17"/>
  <c r="F18"/>
  <c r="G18" s="1"/>
  <c r="C29"/>
  <c r="F28"/>
  <c r="G28" s="1"/>
  <c r="F25"/>
  <c r="E55" i="31412"/>
  <c r="E73" s="1"/>
  <c r="E72"/>
  <c r="H44"/>
  <c r="B37"/>
  <c r="B38" s="1"/>
  <c r="B39" s="1"/>
  <c r="B40" s="1"/>
  <c r="D11" i="31409" l="1"/>
  <c r="F18" s="1"/>
  <c r="B12" i="31414"/>
  <c r="E93" i="31412"/>
  <c r="B3" i="31417"/>
  <c r="K3" s="1"/>
  <c r="B13" i="31414"/>
  <c r="E94" i="31412"/>
  <c r="B4" i="31417"/>
  <c r="F32" i="31406"/>
  <c r="D35" i="31414"/>
  <c r="D39"/>
  <c r="D31"/>
  <c r="D34"/>
  <c r="D38"/>
  <c r="D42"/>
  <c r="D33"/>
  <c r="D37"/>
  <c r="D41"/>
  <c r="D32"/>
  <c r="D36"/>
  <c r="D40"/>
  <c r="C13" i="31413"/>
  <c r="C14" s="1"/>
  <c r="C15" s="1"/>
  <c r="G16"/>
  <c r="B12"/>
  <c r="F18"/>
  <c r="F12" s="1"/>
  <c r="E17"/>
  <c r="E18" s="1"/>
  <c r="E12" s="1"/>
  <c r="D18"/>
  <c r="D12" s="1"/>
  <c r="G21" i="31398"/>
  <c r="I21" s="1"/>
  <c r="G24"/>
  <c r="I24" s="1"/>
  <c r="G22"/>
  <c r="I22" s="1"/>
  <c r="G23"/>
  <c r="I23" s="1"/>
  <c r="G18"/>
  <c r="I18" s="1"/>
  <c r="G12"/>
  <c r="I12" s="1"/>
  <c r="G19"/>
  <c r="I19" s="1"/>
  <c r="G20"/>
  <c r="I20" s="1"/>
  <c r="G17"/>
  <c r="I17" s="1"/>
  <c r="G14"/>
  <c r="I14" s="1"/>
  <c r="G13"/>
  <c r="I13" s="1"/>
  <c r="G15"/>
  <c r="I15" s="1"/>
  <c r="G16"/>
  <c r="I16" s="1"/>
  <c r="G11"/>
  <c r="I11" s="1"/>
  <c r="G10"/>
  <c r="I10" s="1"/>
  <c r="F29" i="31397"/>
  <c r="G25"/>
  <c r="G29" s="1"/>
  <c r="G45" i="31412"/>
  <c r="E45"/>
  <c r="F45"/>
  <c r="D18" i="31409" l="1"/>
  <c r="G18"/>
  <c r="E18"/>
  <c r="H18"/>
  <c r="L4" i="31417"/>
  <c r="K4"/>
  <c r="E56" i="31412"/>
  <c r="E47"/>
  <c r="E65" s="1"/>
  <c r="L3" i="31417"/>
  <c r="G32" i="31406"/>
  <c r="G45" i="31354" s="1"/>
  <c r="D43" i="31414"/>
  <c r="E22" i="31406"/>
  <c r="E31" i="31354" s="1"/>
  <c r="F27"/>
  <c r="B14" i="31413"/>
  <c r="B15" s="1"/>
  <c r="B13"/>
  <c r="F13"/>
  <c r="F14" s="1"/>
  <c r="F15" s="1"/>
  <c r="E13"/>
  <c r="E14" s="1"/>
  <c r="E15" s="1"/>
  <c r="D13"/>
  <c r="D14" s="1"/>
  <c r="D15" s="1"/>
  <c r="G17"/>
  <c r="G18" s="1"/>
  <c r="G12" s="1"/>
  <c r="F51" i="31412"/>
  <c r="F50"/>
  <c r="F49"/>
  <c r="F48"/>
  <c r="G51"/>
  <c r="G50"/>
  <c r="G49"/>
  <c r="E51"/>
  <c r="E50"/>
  <c r="E49"/>
  <c r="H45"/>
  <c r="J54" s="1"/>
  <c r="E48"/>
  <c r="E46"/>
  <c r="H46" s="1"/>
  <c r="A20" i="31406"/>
  <c r="F6" i="31410"/>
  <c r="G6"/>
  <c r="F5"/>
  <c r="G5"/>
  <c r="F4"/>
  <c r="G4"/>
  <c r="F3"/>
  <c r="G3"/>
  <c r="I63" i="31408"/>
  <c r="H63"/>
  <c r="G63"/>
  <c r="F63"/>
  <c r="E63"/>
  <c r="D63"/>
  <c r="I63" i="31407"/>
  <c r="H63"/>
  <c r="G63"/>
  <c r="F63"/>
  <c r="E63"/>
  <c r="D63"/>
  <c r="C20" i="31363"/>
  <c r="D2" i="31385"/>
  <c r="C6" i="31364"/>
  <c r="E7" i="31354"/>
  <c r="E6"/>
  <c r="E7" i="31381"/>
  <c r="E6"/>
  <c r="E7" i="31382"/>
  <c r="C5" i="105" s="1"/>
  <c r="E6" i="31382"/>
  <c r="C4" i="105" s="1"/>
  <c r="B63" i="31382"/>
  <c r="A63"/>
  <c r="L62"/>
  <c r="A62"/>
  <c r="B63" i="31381"/>
  <c r="A63"/>
  <c r="L62"/>
  <c r="A62"/>
  <c r="B63" i="31354"/>
  <c r="A63"/>
  <c r="L62"/>
  <c r="A62"/>
  <c r="B63" i="108"/>
  <c r="A63"/>
  <c r="L62"/>
  <c r="A62"/>
  <c r="I62" i="31408"/>
  <c r="H62"/>
  <c r="G62"/>
  <c r="F62"/>
  <c r="E62"/>
  <c r="D62"/>
  <c r="B63"/>
  <c r="A63"/>
  <c r="L62"/>
  <c r="A62"/>
  <c r="I62" i="31407"/>
  <c r="H62"/>
  <c r="G62"/>
  <c r="F62"/>
  <c r="E62"/>
  <c r="D62"/>
  <c r="B63"/>
  <c r="A63"/>
  <c r="L62"/>
  <c r="A62"/>
  <c r="B63" i="31405"/>
  <c r="A63"/>
  <c r="L62"/>
  <c r="A62"/>
  <c r="I49" i="31382"/>
  <c r="H49"/>
  <c r="G49"/>
  <c r="F49"/>
  <c r="E49"/>
  <c r="D49"/>
  <c r="I48"/>
  <c r="H48"/>
  <c r="G48"/>
  <c r="F48"/>
  <c r="E48"/>
  <c r="D48"/>
  <c r="I47"/>
  <c r="H47"/>
  <c r="G47"/>
  <c r="F47"/>
  <c r="E47"/>
  <c r="D47"/>
  <c r="I46"/>
  <c r="H46"/>
  <c r="G46"/>
  <c r="F46"/>
  <c r="E46"/>
  <c r="D46"/>
  <c r="I45"/>
  <c r="H45"/>
  <c r="G45"/>
  <c r="F45"/>
  <c r="E45"/>
  <c r="D45"/>
  <c r="I44"/>
  <c r="H44"/>
  <c r="G44"/>
  <c r="F44"/>
  <c r="E44"/>
  <c r="D44"/>
  <c r="I43"/>
  <c r="H43"/>
  <c r="G43"/>
  <c r="F43"/>
  <c r="E43"/>
  <c r="D43"/>
  <c r="I41"/>
  <c r="H41"/>
  <c r="G41"/>
  <c r="F41"/>
  <c r="E41"/>
  <c r="D41"/>
  <c r="I40"/>
  <c r="H40"/>
  <c r="G40"/>
  <c r="F40"/>
  <c r="E40"/>
  <c r="D40"/>
  <c r="I38"/>
  <c r="H38"/>
  <c r="G38"/>
  <c r="F38"/>
  <c r="E38"/>
  <c r="D38"/>
  <c r="I37"/>
  <c r="H37"/>
  <c r="G37"/>
  <c r="F37"/>
  <c r="E37"/>
  <c r="D37"/>
  <c r="I36"/>
  <c r="H36"/>
  <c r="G36"/>
  <c r="F36"/>
  <c r="E36"/>
  <c r="D36"/>
  <c r="I35"/>
  <c r="H35"/>
  <c r="G35"/>
  <c r="F35"/>
  <c r="E35"/>
  <c r="D35"/>
  <c r="I33"/>
  <c r="H33"/>
  <c r="G33"/>
  <c r="F33"/>
  <c r="E33"/>
  <c r="D33"/>
  <c r="I32"/>
  <c r="H32"/>
  <c r="G32"/>
  <c r="F32"/>
  <c r="E32"/>
  <c r="D32"/>
  <c r="I31"/>
  <c r="H31"/>
  <c r="G31"/>
  <c r="F31"/>
  <c r="E31"/>
  <c r="D31"/>
  <c r="I30"/>
  <c r="H30"/>
  <c r="G30"/>
  <c r="F30"/>
  <c r="E30"/>
  <c r="D30"/>
  <c r="I29"/>
  <c r="H29"/>
  <c r="G29"/>
  <c r="F29"/>
  <c r="E29"/>
  <c r="D29"/>
  <c r="I28"/>
  <c r="H28"/>
  <c r="G28"/>
  <c r="F28"/>
  <c r="E28"/>
  <c r="D28"/>
  <c r="I27"/>
  <c r="H27"/>
  <c r="G27"/>
  <c r="F27"/>
  <c r="E27"/>
  <c r="D27"/>
  <c r="I20"/>
  <c r="H20"/>
  <c r="G20"/>
  <c r="F20"/>
  <c r="E20"/>
  <c r="D20"/>
  <c r="I18"/>
  <c r="H18"/>
  <c r="G18"/>
  <c r="F18"/>
  <c r="E18"/>
  <c r="D18"/>
  <c r="I17"/>
  <c r="H17"/>
  <c r="G17"/>
  <c r="F17"/>
  <c r="E17"/>
  <c r="D17"/>
  <c r="I16"/>
  <c r="H16"/>
  <c r="G16"/>
  <c r="F16"/>
  <c r="E16"/>
  <c r="D16"/>
  <c r="I15"/>
  <c r="I62" s="1"/>
  <c r="H15"/>
  <c r="G15"/>
  <c r="F15"/>
  <c r="E15"/>
  <c r="E62" s="1"/>
  <c r="D15"/>
  <c r="I14"/>
  <c r="H14"/>
  <c r="G14"/>
  <c r="G62" s="1"/>
  <c r="F14"/>
  <c r="F62" s="1"/>
  <c r="E14"/>
  <c r="D14"/>
  <c r="I49" i="31381"/>
  <c r="H49"/>
  <c r="G49"/>
  <c r="F49"/>
  <c r="E49"/>
  <c r="D49"/>
  <c r="I48"/>
  <c r="H48"/>
  <c r="G48"/>
  <c r="F48"/>
  <c r="E48"/>
  <c r="D48"/>
  <c r="I47"/>
  <c r="H47"/>
  <c r="G47"/>
  <c r="F47"/>
  <c r="E47"/>
  <c r="D47"/>
  <c r="I46"/>
  <c r="H46"/>
  <c r="G46"/>
  <c r="F46"/>
  <c r="E46"/>
  <c r="D46"/>
  <c r="I45"/>
  <c r="H45"/>
  <c r="G45"/>
  <c r="F45"/>
  <c r="E45"/>
  <c r="D45"/>
  <c r="I44"/>
  <c r="H44"/>
  <c r="G44"/>
  <c r="F44"/>
  <c r="E44"/>
  <c r="D44"/>
  <c r="I43"/>
  <c r="H43"/>
  <c r="G43"/>
  <c r="F43"/>
  <c r="E43"/>
  <c r="D43"/>
  <c r="I41"/>
  <c r="H41"/>
  <c r="G41"/>
  <c r="F41"/>
  <c r="E41"/>
  <c r="D41"/>
  <c r="I40"/>
  <c r="H40"/>
  <c r="G40"/>
  <c r="F40"/>
  <c r="E40"/>
  <c r="D40"/>
  <c r="I38"/>
  <c r="H38"/>
  <c r="G38"/>
  <c r="F38"/>
  <c r="E38"/>
  <c r="D38"/>
  <c r="I37"/>
  <c r="H37"/>
  <c r="G37"/>
  <c r="F37"/>
  <c r="E37"/>
  <c r="D37"/>
  <c r="I36"/>
  <c r="H36"/>
  <c r="G36"/>
  <c r="F36"/>
  <c r="E36"/>
  <c r="D36"/>
  <c r="I35"/>
  <c r="H35"/>
  <c r="G35"/>
  <c r="F35"/>
  <c r="E35"/>
  <c r="D35"/>
  <c r="I33"/>
  <c r="H33"/>
  <c r="G33"/>
  <c r="F33"/>
  <c r="E33"/>
  <c r="D33"/>
  <c r="I32"/>
  <c r="H32"/>
  <c r="G32"/>
  <c r="F32"/>
  <c r="E32"/>
  <c r="D32"/>
  <c r="I31"/>
  <c r="H31"/>
  <c r="G31"/>
  <c r="F31"/>
  <c r="E31"/>
  <c r="D31"/>
  <c r="I30"/>
  <c r="H30"/>
  <c r="G30"/>
  <c r="F30"/>
  <c r="E30"/>
  <c r="D30"/>
  <c r="I29"/>
  <c r="H29"/>
  <c r="G29"/>
  <c r="F29"/>
  <c r="E29"/>
  <c r="D29"/>
  <c r="I28"/>
  <c r="H28"/>
  <c r="G28"/>
  <c r="F28"/>
  <c r="E28"/>
  <c r="D28"/>
  <c r="I27"/>
  <c r="H27"/>
  <c r="G27"/>
  <c r="F27"/>
  <c r="E27"/>
  <c r="D27"/>
  <c r="I20"/>
  <c r="H20"/>
  <c r="G20"/>
  <c r="F20"/>
  <c r="E20"/>
  <c r="D20"/>
  <c r="I18"/>
  <c r="H18"/>
  <c r="G18"/>
  <c r="F18"/>
  <c r="E18"/>
  <c r="D18"/>
  <c r="I17"/>
  <c r="H17"/>
  <c r="G17"/>
  <c r="F17"/>
  <c r="E17"/>
  <c r="D17"/>
  <c r="I16"/>
  <c r="H16"/>
  <c r="G16"/>
  <c r="F16"/>
  <c r="E16"/>
  <c r="D16"/>
  <c r="I15"/>
  <c r="H15"/>
  <c r="G15"/>
  <c r="F15"/>
  <c r="E15"/>
  <c r="D15"/>
  <c r="I14"/>
  <c r="H14"/>
  <c r="G14"/>
  <c r="G62" s="1"/>
  <c r="F14"/>
  <c r="F62" s="1"/>
  <c r="E14"/>
  <c r="D14"/>
  <c r="I49" i="31354"/>
  <c r="I48"/>
  <c r="I47"/>
  <c r="H47"/>
  <c r="G47"/>
  <c r="F47"/>
  <c r="E47"/>
  <c r="D47"/>
  <c r="I46"/>
  <c r="H46"/>
  <c r="G46"/>
  <c r="F46"/>
  <c r="E46"/>
  <c r="D46"/>
  <c r="I45"/>
  <c r="F45"/>
  <c r="E45"/>
  <c r="I44"/>
  <c r="I43"/>
  <c r="H43"/>
  <c r="G43"/>
  <c r="F43"/>
  <c r="E43"/>
  <c r="I41"/>
  <c r="I40"/>
  <c r="I38"/>
  <c r="H38"/>
  <c r="G38"/>
  <c r="F38"/>
  <c r="E38"/>
  <c r="D38"/>
  <c r="I37"/>
  <c r="H37"/>
  <c r="G37"/>
  <c r="F37"/>
  <c r="E37"/>
  <c r="D37"/>
  <c r="I36"/>
  <c r="H36"/>
  <c r="G36"/>
  <c r="F36"/>
  <c r="E36"/>
  <c r="I35"/>
  <c r="H35"/>
  <c r="G35"/>
  <c r="F35"/>
  <c r="E35"/>
  <c r="D35"/>
  <c r="I33"/>
  <c r="H33"/>
  <c r="G33"/>
  <c r="F33"/>
  <c r="E33"/>
  <c r="D33"/>
  <c r="I32"/>
  <c r="H32"/>
  <c r="G32"/>
  <c r="F32"/>
  <c r="E32"/>
  <c r="D32"/>
  <c r="I30"/>
  <c r="H30"/>
  <c r="G30"/>
  <c r="F30"/>
  <c r="E30"/>
  <c r="D30"/>
  <c r="I29"/>
  <c r="H29"/>
  <c r="G29"/>
  <c r="F29"/>
  <c r="E29"/>
  <c r="D29"/>
  <c r="I28"/>
  <c r="H28"/>
  <c r="G28"/>
  <c r="F28"/>
  <c r="E28"/>
  <c r="D28"/>
  <c r="I27"/>
  <c r="E27"/>
  <c r="D27"/>
  <c r="I20"/>
  <c r="I18"/>
  <c r="H18"/>
  <c r="G18"/>
  <c r="F18"/>
  <c r="E18"/>
  <c r="D18"/>
  <c r="I17"/>
  <c r="H17"/>
  <c r="G17"/>
  <c r="F17"/>
  <c r="E17"/>
  <c r="D17"/>
  <c r="I16"/>
  <c r="H16"/>
  <c r="G16"/>
  <c r="F16"/>
  <c r="E16"/>
  <c r="D16"/>
  <c r="I15"/>
  <c r="I14"/>
  <c r="H14"/>
  <c r="G14"/>
  <c r="F14"/>
  <c r="E14"/>
  <c r="D14"/>
  <c r="D13" i="108"/>
  <c r="E66" i="31409" s="1"/>
  <c r="F66" s="1"/>
  <c r="G66" s="1"/>
  <c r="H66" s="1"/>
  <c r="D36" i="31354"/>
  <c r="I31" i="31408"/>
  <c r="H31"/>
  <c r="G31"/>
  <c r="F31"/>
  <c r="E31"/>
  <c r="D31"/>
  <c r="I31" i="31407"/>
  <c r="H31"/>
  <c r="G31"/>
  <c r="F31"/>
  <c r="E31"/>
  <c r="D31"/>
  <c r="I22" i="31406"/>
  <c r="I31" i="31354" s="1"/>
  <c r="D31"/>
  <c r="E7" i="31409"/>
  <c r="F7" s="1"/>
  <c r="G7" s="1"/>
  <c r="H7" s="1"/>
  <c r="I7" s="1"/>
  <c r="J7" s="1"/>
  <c r="K7" s="1"/>
  <c r="L7" s="1"/>
  <c r="M7" s="1"/>
  <c r="N7" s="1"/>
  <c r="E67"/>
  <c r="F67" s="1"/>
  <c r="G67" s="1"/>
  <c r="H67" s="1"/>
  <c r="E55"/>
  <c r="F55" s="1"/>
  <c r="G55" s="1"/>
  <c r="H55" s="1"/>
  <c r="E51"/>
  <c r="E50"/>
  <c r="B40"/>
  <c r="B30"/>
  <c r="T18"/>
  <c r="Q18"/>
  <c r="T17"/>
  <c r="Q17"/>
  <c r="H13"/>
  <c r="H69" s="1"/>
  <c r="G13"/>
  <c r="G69" s="1"/>
  <c r="F13"/>
  <c r="F69" s="1"/>
  <c r="E13"/>
  <c r="E69" s="1"/>
  <c r="B12"/>
  <c r="A5"/>
  <c r="A4"/>
  <c r="C3" i="31364"/>
  <c r="B76" i="31408"/>
  <c r="B75"/>
  <c r="B74"/>
  <c r="B73"/>
  <c r="B72"/>
  <c r="B71"/>
  <c r="B70"/>
  <c r="A70"/>
  <c r="B69"/>
  <c r="A69"/>
  <c r="B68"/>
  <c r="B65"/>
  <c r="A65"/>
  <c r="B64"/>
  <c r="A64"/>
  <c r="B61"/>
  <c r="A61"/>
  <c r="L60"/>
  <c r="B60"/>
  <c r="A60"/>
  <c r="B59"/>
  <c r="A59"/>
  <c r="B58"/>
  <c r="A58"/>
  <c r="B57"/>
  <c r="A57"/>
  <c r="L56"/>
  <c r="B56"/>
  <c r="A56"/>
  <c r="B55"/>
  <c r="A55"/>
  <c r="B54"/>
  <c r="A54"/>
  <c r="B53"/>
  <c r="A53"/>
  <c r="B52"/>
  <c r="A52"/>
  <c r="B51"/>
  <c r="A51"/>
  <c r="I50"/>
  <c r="H50"/>
  <c r="G50"/>
  <c r="F50"/>
  <c r="E50"/>
  <c r="D50"/>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I21"/>
  <c r="H21"/>
  <c r="G21"/>
  <c r="F21"/>
  <c r="E21"/>
  <c r="D21"/>
  <c r="B21"/>
  <c r="A21"/>
  <c r="B20"/>
  <c r="A20"/>
  <c r="I19"/>
  <c r="I65" s="1"/>
  <c r="H19"/>
  <c r="H65" s="1"/>
  <c r="G19"/>
  <c r="G65" s="1"/>
  <c r="F19"/>
  <c r="F65" s="1"/>
  <c r="E19"/>
  <c r="E65" s="1"/>
  <c r="D19"/>
  <c r="D65" s="1"/>
  <c r="B19"/>
  <c r="A19"/>
  <c r="B18"/>
  <c r="A18"/>
  <c r="B17"/>
  <c r="B16"/>
  <c r="B15"/>
  <c r="A15"/>
  <c r="B14"/>
  <c r="A14"/>
  <c r="D13"/>
  <c r="E13" s="1"/>
  <c r="F13" s="1"/>
  <c r="G13" s="1"/>
  <c r="H13" s="1"/>
  <c r="I13" s="1"/>
  <c r="I12"/>
  <c r="H12"/>
  <c r="G12"/>
  <c r="F12"/>
  <c r="E12"/>
  <c r="D12"/>
  <c r="B7"/>
  <c r="B6"/>
  <c r="B4"/>
  <c r="E1"/>
  <c r="B76" i="31407"/>
  <c r="B75"/>
  <c r="B74"/>
  <c r="B73"/>
  <c r="B72"/>
  <c r="B71"/>
  <c r="B70"/>
  <c r="A70"/>
  <c r="B69"/>
  <c r="A69"/>
  <c r="B68"/>
  <c r="B65"/>
  <c r="A65"/>
  <c r="B64"/>
  <c r="A64"/>
  <c r="B61"/>
  <c r="A61"/>
  <c r="L60"/>
  <c r="B60"/>
  <c r="A60"/>
  <c r="B59"/>
  <c r="A59"/>
  <c r="B58"/>
  <c r="A58"/>
  <c r="B57"/>
  <c r="A57"/>
  <c r="L56"/>
  <c r="B56"/>
  <c r="A56"/>
  <c r="B55"/>
  <c r="A55"/>
  <c r="B54"/>
  <c r="A54"/>
  <c r="B53"/>
  <c r="A53"/>
  <c r="B52"/>
  <c r="A52"/>
  <c r="B51"/>
  <c r="A51"/>
  <c r="I50"/>
  <c r="H50"/>
  <c r="G50"/>
  <c r="F50"/>
  <c r="E50"/>
  <c r="D50"/>
  <c r="B50"/>
  <c r="A50"/>
  <c r="B49"/>
  <c r="A49"/>
  <c r="B48"/>
  <c r="A48"/>
  <c r="B47"/>
  <c r="A47"/>
  <c r="B46"/>
  <c r="A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I21"/>
  <c r="H21"/>
  <c r="G21"/>
  <c r="F21"/>
  <c r="E21"/>
  <c r="D21"/>
  <c r="B21"/>
  <c r="A21"/>
  <c r="B20"/>
  <c r="A20"/>
  <c r="I19"/>
  <c r="I65" s="1"/>
  <c r="H19"/>
  <c r="G19"/>
  <c r="G65" s="1"/>
  <c r="F19"/>
  <c r="E19"/>
  <c r="E65" s="1"/>
  <c r="D19"/>
  <c r="B19"/>
  <c r="A19"/>
  <c r="B18"/>
  <c r="A18"/>
  <c r="B17"/>
  <c r="B16"/>
  <c r="B15"/>
  <c r="A15"/>
  <c r="B14"/>
  <c r="A14"/>
  <c r="D13"/>
  <c r="E13" s="1"/>
  <c r="F13" s="1"/>
  <c r="G13" s="1"/>
  <c r="H13" s="1"/>
  <c r="I13" s="1"/>
  <c r="I12"/>
  <c r="H12"/>
  <c r="G12"/>
  <c r="F12"/>
  <c r="E12"/>
  <c r="D12"/>
  <c r="B7"/>
  <c r="B6"/>
  <c r="B4"/>
  <c r="E1"/>
  <c r="B43" i="31406"/>
  <c r="A39"/>
  <c r="A38"/>
  <c r="A37"/>
  <c r="A36"/>
  <c r="A35"/>
  <c r="A34"/>
  <c r="A33"/>
  <c r="A32"/>
  <c r="A29"/>
  <c r="A28"/>
  <c r="A31"/>
  <c r="A30"/>
  <c r="A27"/>
  <c r="A26"/>
  <c r="A25"/>
  <c r="A24"/>
  <c r="A23"/>
  <c r="A22"/>
  <c r="A21"/>
  <c r="A19"/>
  <c r="A18"/>
  <c r="I17"/>
  <c r="I17" i="31405" s="1"/>
  <c r="A17" i="31406"/>
  <c r="A16"/>
  <c r="I14"/>
  <c r="I14" i="31405" s="1"/>
  <c r="I26" i="31409" s="1"/>
  <c r="A14" i="31406"/>
  <c r="A13"/>
  <c r="E12"/>
  <c r="F12" s="1"/>
  <c r="G12" s="1"/>
  <c r="H12" s="1"/>
  <c r="I12" s="1"/>
  <c r="I11"/>
  <c r="B76" i="31405"/>
  <c r="B75"/>
  <c r="B74"/>
  <c r="B73"/>
  <c r="B72"/>
  <c r="B71"/>
  <c r="B70"/>
  <c r="A70"/>
  <c r="B69"/>
  <c r="A69"/>
  <c r="B68"/>
  <c r="B65"/>
  <c r="A65"/>
  <c r="B64"/>
  <c r="A64"/>
  <c r="B61"/>
  <c r="A61"/>
  <c r="L60"/>
  <c r="B60"/>
  <c r="A60"/>
  <c r="B59"/>
  <c r="A59"/>
  <c r="B58"/>
  <c r="A58"/>
  <c r="B57"/>
  <c r="L56"/>
  <c r="B56"/>
  <c r="B55"/>
  <c r="A55"/>
  <c r="B54"/>
  <c r="A54"/>
  <c r="B53"/>
  <c r="A53"/>
  <c r="B52"/>
  <c r="A52"/>
  <c r="B51"/>
  <c r="A51"/>
  <c r="B50"/>
  <c r="A50"/>
  <c r="B49"/>
  <c r="A49"/>
  <c r="B48"/>
  <c r="A48"/>
  <c r="B47"/>
  <c r="B46"/>
  <c r="B45"/>
  <c r="A45"/>
  <c r="B44"/>
  <c r="A44"/>
  <c r="B43"/>
  <c r="A43"/>
  <c r="B42"/>
  <c r="A42"/>
  <c r="B41"/>
  <c r="A41"/>
  <c r="B40"/>
  <c r="A40"/>
  <c r="B39"/>
  <c r="A39"/>
  <c r="B38"/>
  <c r="A38"/>
  <c r="B37"/>
  <c r="A37"/>
  <c r="B36"/>
  <c r="A36"/>
  <c r="B35"/>
  <c r="A35"/>
  <c r="B34"/>
  <c r="A34"/>
  <c r="B33"/>
  <c r="A33"/>
  <c r="B32"/>
  <c r="A32"/>
  <c r="B31"/>
  <c r="A31"/>
  <c r="B30"/>
  <c r="A30"/>
  <c r="B29"/>
  <c r="A29"/>
  <c r="B28"/>
  <c r="A28"/>
  <c r="B27"/>
  <c r="A27"/>
  <c r="B26"/>
  <c r="A26"/>
  <c r="B25"/>
  <c r="A25"/>
  <c r="B24"/>
  <c r="A24"/>
  <c r="B23"/>
  <c r="A23"/>
  <c r="B22"/>
  <c r="A22"/>
  <c r="B21"/>
  <c r="A21"/>
  <c r="B20"/>
  <c r="A20"/>
  <c r="B19"/>
  <c r="A19"/>
  <c r="B18"/>
  <c r="A18"/>
  <c r="B17"/>
  <c r="I16"/>
  <c r="B16"/>
  <c r="B15"/>
  <c r="A15"/>
  <c r="B14"/>
  <c r="A14"/>
  <c r="E13"/>
  <c r="F13" s="1"/>
  <c r="G13" s="1"/>
  <c r="H13" s="1"/>
  <c r="I13" s="1"/>
  <c r="I12"/>
  <c r="H12"/>
  <c r="G12"/>
  <c r="F12"/>
  <c r="E12"/>
  <c r="D12"/>
  <c r="E7" i="108"/>
  <c r="B7" i="31405"/>
  <c r="B6"/>
  <c r="D4" i="31408"/>
  <c r="B4" i="31405"/>
  <c r="E1"/>
  <c r="H18" i="31401"/>
  <c r="G18"/>
  <c r="F18"/>
  <c r="G17"/>
  <c r="H17" s="1"/>
  <c r="F17"/>
  <c r="H16"/>
  <c r="G16"/>
  <c r="F16"/>
  <c r="G15"/>
  <c r="H15" s="1"/>
  <c r="F15"/>
  <c r="G14"/>
  <c r="H14" s="1"/>
  <c r="F14"/>
  <c r="F13"/>
  <c r="G13" s="1"/>
  <c r="H13" s="1"/>
  <c r="F12"/>
  <c r="G12" s="1"/>
  <c r="H12" s="1"/>
  <c r="G11"/>
  <c r="H11" s="1"/>
  <c r="F11"/>
  <c r="F9"/>
  <c r="F15" i="31400"/>
  <c r="G15" s="1"/>
  <c r="F13"/>
  <c r="G13" s="1"/>
  <c r="F14"/>
  <c r="G14" s="1"/>
  <c r="F12"/>
  <c r="G12" s="1"/>
  <c r="F11"/>
  <c r="F10"/>
  <c r="G10" s="1"/>
  <c r="F9"/>
  <c r="G9" s="1"/>
  <c r="F8"/>
  <c r="F16" i="31397"/>
  <c r="G16" s="1"/>
  <c r="F15"/>
  <c r="C7"/>
  <c r="D62" i="31382" l="1"/>
  <c r="H62"/>
  <c r="G11" i="31400"/>
  <c r="D2" i="31417"/>
  <c r="D3"/>
  <c r="D4"/>
  <c r="D5" s="1"/>
  <c r="D6" s="1"/>
  <c r="D7" s="1"/>
  <c r="D8" s="1"/>
  <c r="D9" s="1"/>
  <c r="D10" s="1"/>
  <c r="D6" i="31368"/>
  <c r="G9" i="31401"/>
  <c r="H9" s="1"/>
  <c r="C2" i="31417"/>
  <c r="C3"/>
  <c r="E62" i="31381"/>
  <c r="I62"/>
  <c r="D62"/>
  <c r="H62"/>
  <c r="F51" i="31409"/>
  <c r="G51" s="1"/>
  <c r="H51" s="1"/>
  <c r="F50"/>
  <c r="D11" i="31417"/>
  <c r="H32" i="31406"/>
  <c r="G8" i="31400"/>
  <c r="G16" s="1"/>
  <c r="F16"/>
  <c r="F22" i="31406"/>
  <c r="F31" i="31354" s="1"/>
  <c r="G20" i="31406"/>
  <c r="H27" i="31413"/>
  <c r="G13"/>
  <c r="G14" s="1"/>
  <c r="G15" s="1"/>
  <c r="B56" s="1"/>
  <c r="D56" s="1"/>
  <c r="E56" s="1"/>
  <c r="G56" s="1"/>
  <c r="H21"/>
  <c r="H49" i="31412"/>
  <c r="H51"/>
  <c r="H50"/>
  <c r="H48"/>
  <c r="H26" i="31413"/>
  <c r="H22"/>
  <c r="H28"/>
  <c r="H25"/>
  <c r="H23"/>
  <c r="H24"/>
  <c r="F19" i="31397"/>
  <c r="G15"/>
  <c r="J55" i="31412"/>
  <c r="E64"/>
  <c r="E63"/>
  <c r="E62"/>
  <c r="E61"/>
  <c r="E60"/>
  <c r="E59"/>
  <c r="E58"/>
  <c r="E57"/>
  <c r="E74"/>
  <c r="H47"/>
  <c r="I15" i="31405"/>
  <c r="I62" i="31354"/>
  <c r="E7" i="31407"/>
  <c r="E7" i="31408"/>
  <c r="D65" i="31407"/>
  <c r="D61"/>
  <c r="D59"/>
  <c r="D57"/>
  <c r="D55"/>
  <c r="D53"/>
  <c r="F65"/>
  <c r="F61"/>
  <c r="F59"/>
  <c r="F57"/>
  <c r="F55"/>
  <c r="F53"/>
  <c r="H65"/>
  <c r="H61"/>
  <c r="H59"/>
  <c r="H57"/>
  <c r="H55"/>
  <c r="H53"/>
  <c r="I39"/>
  <c r="G39"/>
  <c r="E39"/>
  <c r="E28" i="31405"/>
  <c r="I39" i="31406"/>
  <c r="D22" i="31407"/>
  <c r="D25" s="1"/>
  <c r="H22"/>
  <c r="H25" s="1"/>
  <c r="F23"/>
  <c r="F26"/>
  <c r="D39"/>
  <c r="H39"/>
  <c r="I18" i="31406"/>
  <c r="I19"/>
  <c r="I37"/>
  <c r="D4" i="31407"/>
  <c r="F22"/>
  <c r="F25" s="1"/>
  <c r="D23"/>
  <c r="H23"/>
  <c r="D26"/>
  <c r="H26"/>
  <c r="F39"/>
  <c r="E22"/>
  <c r="E25" s="1"/>
  <c r="G22"/>
  <c r="G25" s="1"/>
  <c r="I22"/>
  <c r="I25" s="1"/>
  <c r="E23"/>
  <c r="G23"/>
  <c r="I23"/>
  <c r="E26"/>
  <c r="G26"/>
  <c r="I26"/>
  <c r="E53"/>
  <c r="G53"/>
  <c r="I53"/>
  <c r="E55"/>
  <c r="G55"/>
  <c r="I55"/>
  <c r="E57"/>
  <c r="G57"/>
  <c r="I57"/>
  <c r="E59"/>
  <c r="G59"/>
  <c r="I59"/>
  <c r="E61"/>
  <c r="G61"/>
  <c r="I61"/>
  <c r="D22" i="31408"/>
  <c r="D25" s="1"/>
  <c r="F22"/>
  <c r="F25" s="1"/>
  <c r="H22"/>
  <c r="H25" s="1"/>
  <c r="D23"/>
  <c r="F23"/>
  <c r="H23"/>
  <c r="D26"/>
  <c r="F26"/>
  <c r="H26"/>
  <c r="D39"/>
  <c r="F39"/>
  <c r="H39"/>
  <c r="D53"/>
  <c r="F53"/>
  <c r="H53"/>
  <c r="D55"/>
  <c r="F55"/>
  <c r="H55"/>
  <c r="D57"/>
  <c r="F57"/>
  <c r="H57"/>
  <c r="D59"/>
  <c r="F59"/>
  <c r="H59"/>
  <c r="D61"/>
  <c r="F61"/>
  <c r="H61"/>
  <c r="E22"/>
  <c r="E25" s="1"/>
  <c r="G22"/>
  <c r="G25" s="1"/>
  <c r="I22"/>
  <c r="I25" s="1"/>
  <c r="E23"/>
  <c r="G23"/>
  <c r="I23"/>
  <c r="E26"/>
  <c r="G26"/>
  <c r="I26"/>
  <c r="E39"/>
  <c r="G39"/>
  <c r="I39"/>
  <c r="E53"/>
  <c r="G53"/>
  <c r="I53"/>
  <c r="E55"/>
  <c r="G55"/>
  <c r="I55"/>
  <c r="E57"/>
  <c r="G57"/>
  <c r="I57"/>
  <c r="E59"/>
  <c r="G59"/>
  <c r="I59"/>
  <c r="E61"/>
  <c r="G61"/>
  <c r="I61"/>
  <c r="D30" i="31406" l="1"/>
  <c r="C25" i="31403"/>
  <c r="D25"/>
  <c r="E95" i="31412"/>
  <c r="B30" i="31415"/>
  <c r="B5" i="31417"/>
  <c r="K5" s="1"/>
  <c r="G50" i="31409"/>
  <c r="D12" i="31417"/>
  <c r="E25" i="31403"/>
  <c r="H45" i="31354"/>
  <c r="G22" i="31406"/>
  <c r="G31" i="31354" s="1"/>
  <c r="H20" i="31406"/>
  <c r="G27" i="31354"/>
  <c r="B54" i="31413"/>
  <c r="D54" s="1"/>
  <c r="E54" s="1"/>
  <c r="G54" s="1"/>
  <c r="B51"/>
  <c r="D51" s="1"/>
  <c r="B55"/>
  <c r="D55" s="1"/>
  <c r="B58"/>
  <c r="D58" s="1"/>
  <c r="E58" s="1"/>
  <c r="G58" s="1"/>
  <c r="B57"/>
  <c r="D57" s="1"/>
  <c r="B53"/>
  <c r="D53" s="1"/>
  <c r="B52"/>
  <c r="D52" s="1"/>
  <c r="B47"/>
  <c r="D47"/>
  <c r="C47"/>
  <c r="E83" i="31412"/>
  <c r="F64"/>
  <c r="F60"/>
  <c r="F65"/>
  <c r="F83" s="1"/>
  <c r="F61"/>
  <c r="F59"/>
  <c r="F62"/>
  <c r="F56"/>
  <c r="F63"/>
  <c r="B14" i="31414"/>
  <c r="J64" i="31412"/>
  <c r="E82"/>
  <c r="J59"/>
  <c r="E77"/>
  <c r="J58"/>
  <c r="E76"/>
  <c r="J62"/>
  <c r="E80"/>
  <c r="J60"/>
  <c r="E78"/>
  <c r="J63"/>
  <c r="E81"/>
  <c r="J57"/>
  <c r="E75"/>
  <c r="J61"/>
  <c r="E79"/>
  <c r="E57" i="31413"/>
  <c r="G57" s="1"/>
  <c r="E53"/>
  <c r="G53" s="1"/>
  <c r="E52"/>
  <c r="E55"/>
  <c r="G55" s="1"/>
  <c r="G19" i="31397"/>
  <c r="J65" i="31412"/>
  <c r="F58"/>
  <c r="F57"/>
  <c r="F55"/>
  <c r="F54"/>
  <c r="F72" s="1"/>
  <c r="J56"/>
  <c r="E66"/>
  <c r="I18" i="31405"/>
  <c r="I39" i="31354"/>
  <c r="D39"/>
  <c r="F39"/>
  <c r="G39"/>
  <c r="E39"/>
  <c r="H39"/>
  <c r="D45"/>
  <c r="D43"/>
  <c r="I42" i="31408"/>
  <c r="I39" i="31382"/>
  <c r="F42" i="31408"/>
  <c r="F39" i="31382"/>
  <c r="H42" i="31407"/>
  <c r="H39" i="31381"/>
  <c r="E42" i="31407"/>
  <c r="E39" i="31381"/>
  <c r="I42" i="31407"/>
  <c r="I39" i="31381"/>
  <c r="E42" i="31408"/>
  <c r="E39" i="31382"/>
  <c r="G42" i="31408"/>
  <c r="G39" i="31382"/>
  <c r="H42" i="31408"/>
  <c r="H39" i="31382"/>
  <c r="D42" i="31408"/>
  <c r="D39" i="31382"/>
  <c r="F42" i="31407"/>
  <c r="F39" i="31381"/>
  <c r="D42" i="31407"/>
  <c r="D39" i="31381"/>
  <c r="G42" i="31407"/>
  <c r="G39" i="31381"/>
  <c r="I34" i="31408"/>
  <c r="D32" i="31405"/>
  <c r="H28"/>
  <c r="D28"/>
  <c r="I34" i="31407"/>
  <c r="I28" i="31405"/>
  <c r="F28"/>
  <c r="G28"/>
  <c r="I25" i="31406"/>
  <c r="I31"/>
  <c r="I43"/>
  <c r="E51" i="31413" l="1"/>
  <c r="H86" i="31415"/>
  <c r="C4" i="31416"/>
  <c r="C23" i="31414"/>
  <c r="E116" i="31412"/>
  <c r="B28" i="31417"/>
  <c r="K28" s="1"/>
  <c r="C39" i="31415"/>
  <c r="B19" i="31414"/>
  <c r="E100" i="31412"/>
  <c r="B10" i="31417"/>
  <c r="B35" i="31415"/>
  <c r="B20" i="31414"/>
  <c r="E101" i="31412"/>
  <c r="B11" i="31417"/>
  <c r="B36" i="31415"/>
  <c r="L5" i="31417"/>
  <c r="V2"/>
  <c r="B15" i="31414"/>
  <c r="E96" i="31412"/>
  <c r="B6" i="31417"/>
  <c r="K6" s="1"/>
  <c r="B31" i="31415"/>
  <c r="B18" i="31414"/>
  <c r="E99" i="31412"/>
  <c r="B9" i="31417"/>
  <c r="B34" i="31415"/>
  <c r="B16" i="31414"/>
  <c r="E97" i="31412"/>
  <c r="B7" i="31417"/>
  <c r="B32" i="31415"/>
  <c r="B22" i="31414"/>
  <c r="E103" i="31412"/>
  <c r="B13" i="31417"/>
  <c r="B38" i="31415"/>
  <c r="B21" i="31414"/>
  <c r="E102" i="31412"/>
  <c r="B12" i="31417"/>
  <c r="B37" i="31415"/>
  <c r="B17" i="31414"/>
  <c r="E98" i="31412"/>
  <c r="B8" i="31417"/>
  <c r="B33" i="31415"/>
  <c r="E105" i="31412"/>
  <c r="B16" i="31417"/>
  <c r="C28" i="31415"/>
  <c r="B23" i="31414"/>
  <c r="E104" i="31412"/>
  <c r="B15" i="31417"/>
  <c r="K15" s="1"/>
  <c r="B39" i="31415"/>
  <c r="H50" i="31409"/>
  <c r="D13" i="31417"/>
  <c r="D14" s="1"/>
  <c r="E30" i="31406"/>
  <c r="D41" i="31354"/>
  <c r="G32" i="31405"/>
  <c r="I35"/>
  <c r="I35" i="31406"/>
  <c r="H32" i="31405"/>
  <c r="E32"/>
  <c r="F32"/>
  <c r="I31"/>
  <c r="I29"/>
  <c r="I32"/>
  <c r="H22" i="31406"/>
  <c r="H31" i="31354" s="1"/>
  <c r="H27"/>
  <c r="C43" i="31413"/>
  <c r="D43"/>
  <c r="B43"/>
  <c r="G43" s="1"/>
  <c r="J69" i="31412"/>
  <c r="F75"/>
  <c r="J68"/>
  <c r="F74"/>
  <c r="J72"/>
  <c r="F78"/>
  <c r="J76"/>
  <c r="F82"/>
  <c r="J67"/>
  <c r="F73"/>
  <c r="J71"/>
  <c r="F77"/>
  <c r="J75"/>
  <c r="F81"/>
  <c r="C12" i="31414"/>
  <c r="J70" i="31412"/>
  <c r="F76"/>
  <c r="J74"/>
  <c r="F80"/>
  <c r="E84"/>
  <c r="D13" i="31406" s="1"/>
  <c r="J73" i="31412"/>
  <c r="F79"/>
  <c r="B44" i="31413"/>
  <c r="G52"/>
  <c r="G51"/>
  <c r="D44"/>
  <c r="C44"/>
  <c r="J77" i="31412"/>
  <c r="G65"/>
  <c r="G64"/>
  <c r="G63"/>
  <c r="G62"/>
  <c r="G61"/>
  <c r="G60"/>
  <c r="G59"/>
  <c r="G58"/>
  <c r="G57"/>
  <c r="G56"/>
  <c r="G55"/>
  <c r="G54"/>
  <c r="G72" s="1"/>
  <c r="J66"/>
  <c r="F66"/>
  <c r="I27" i="31405"/>
  <c r="H24"/>
  <c r="G24"/>
  <c r="E24"/>
  <c r="I24"/>
  <c r="I20"/>
  <c r="F24"/>
  <c r="D24"/>
  <c r="I33"/>
  <c r="I30"/>
  <c r="I19"/>
  <c r="E102" i="31415" l="1"/>
  <c r="E96"/>
  <c r="E82"/>
  <c r="E87"/>
  <c r="J86"/>
  <c r="E98"/>
  <c r="E104"/>
  <c r="C10" i="31401"/>
  <c r="F10" s="1"/>
  <c r="C7" i="31416"/>
  <c r="G60" i="31413"/>
  <c r="B40" i="31415"/>
  <c r="B24" i="31414"/>
  <c r="C24" i="31403"/>
  <c r="D15" i="31406"/>
  <c r="L16" i="31417"/>
  <c r="K16"/>
  <c r="L8"/>
  <c r="K8"/>
  <c r="L12"/>
  <c r="K12"/>
  <c r="L13"/>
  <c r="K13"/>
  <c r="L7"/>
  <c r="K7"/>
  <c r="L9"/>
  <c r="K9"/>
  <c r="L11"/>
  <c r="K11"/>
  <c r="L10"/>
  <c r="K10"/>
  <c r="C19" i="31414"/>
  <c r="E112" i="31412"/>
  <c r="C35" i="31415"/>
  <c r="B23" i="31417"/>
  <c r="C17" i="31414"/>
  <c r="E110" i="31412"/>
  <c r="B21" i="31417"/>
  <c r="C33" i="31415"/>
  <c r="C14" i="31414"/>
  <c r="E107" i="31412"/>
  <c r="C30" i="31415"/>
  <c r="B18" i="31417"/>
  <c r="E117" i="31412"/>
  <c r="B29" i="31417"/>
  <c r="D28" i="31415"/>
  <c r="I81"/>
  <c r="C16" i="31414"/>
  <c r="E109" i="31412"/>
  <c r="B20" i="31417"/>
  <c r="C32" i="31415"/>
  <c r="V3" i="31417"/>
  <c r="W3" s="1"/>
  <c r="L6"/>
  <c r="B14"/>
  <c r="C20" i="31414"/>
  <c r="E113" i="31412"/>
  <c r="B24" i="31417"/>
  <c r="C36" i="31415"/>
  <c r="C22" i="31414"/>
  <c r="E115" i="31412"/>
  <c r="C38" i="31415"/>
  <c r="B26" i="31417"/>
  <c r="L15"/>
  <c r="C21" i="31414"/>
  <c r="E114" i="31412"/>
  <c r="B25" i="31417"/>
  <c r="C37" i="31415"/>
  <c r="C13" i="31414"/>
  <c r="E106" i="31412"/>
  <c r="B17" i="31417"/>
  <c r="C29" i="31415"/>
  <c r="C18" i="31414"/>
  <c r="E111" i="31412"/>
  <c r="C34" i="31415"/>
  <c r="B22" i="31417"/>
  <c r="C15" i="31414"/>
  <c r="E108" i="31412"/>
  <c r="B19" i="31417"/>
  <c r="C31" i="31415"/>
  <c r="W2" i="31417"/>
  <c r="L28"/>
  <c r="B48" i="31413"/>
  <c r="G44"/>
  <c r="D15" i="31417"/>
  <c r="F30" i="31406"/>
  <c r="E41" i="31354"/>
  <c r="J82" i="31412"/>
  <c r="G76"/>
  <c r="D14" i="31406"/>
  <c r="D15" i="31354"/>
  <c r="D62" s="1"/>
  <c r="J81" i="31412"/>
  <c r="G75"/>
  <c r="J89"/>
  <c r="G83"/>
  <c r="J84"/>
  <c r="G78"/>
  <c r="J88"/>
  <c r="G82"/>
  <c r="J79"/>
  <c r="G73"/>
  <c r="J83"/>
  <c r="G77"/>
  <c r="J87"/>
  <c r="G81"/>
  <c r="F84"/>
  <c r="E13" i="31406" s="1"/>
  <c r="D12" i="31414"/>
  <c r="J86" i="31412"/>
  <c r="G80"/>
  <c r="J85"/>
  <c r="G79"/>
  <c r="J80"/>
  <c r="G74"/>
  <c r="D45" i="31413"/>
  <c r="D48"/>
  <c r="C45"/>
  <c r="C48"/>
  <c r="B45"/>
  <c r="J78" i="31412"/>
  <c r="G66"/>
  <c r="I34" i="31405"/>
  <c r="I31" i="31409" s="1"/>
  <c r="I21" i="31405"/>
  <c r="I22" s="1"/>
  <c r="I25" s="1"/>
  <c r="I28" i="31409"/>
  <c r="I23" i="31405"/>
  <c r="I53"/>
  <c r="I26"/>
  <c r="I65"/>
  <c r="I59"/>
  <c r="I55"/>
  <c r="I63"/>
  <c r="I57"/>
  <c r="I61"/>
  <c r="H20" i="31414" l="1"/>
  <c r="C59" i="31415" s="1"/>
  <c r="J59" s="1"/>
  <c r="G23" i="31417" s="1"/>
  <c r="L14"/>
  <c r="H17" i="31414"/>
  <c r="H18"/>
  <c r="E114" i="31415"/>
  <c r="E122" s="1"/>
  <c r="E106"/>
  <c r="E89"/>
  <c r="G10" i="31401"/>
  <c r="C6" i="31417"/>
  <c r="C14" s="1"/>
  <c r="F19" i="31401"/>
  <c r="D10" i="31409" s="1"/>
  <c r="C24" i="31414"/>
  <c r="C29" i="31403"/>
  <c r="D27" i="31406"/>
  <c r="D40" i="31354" s="1"/>
  <c r="C40" i="31415"/>
  <c r="L24" i="31417"/>
  <c r="K24"/>
  <c r="L29"/>
  <c r="K29"/>
  <c r="L19"/>
  <c r="K19"/>
  <c r="L17"/>
  <c r="K17"/>
  <c r="L25"/>
  <c r="K25"/>
  <c r="L26"/>
  <c r="K26"/>
  <c r="L20"/>
  <c r="K20"/>
  <c r="L21"/>
  <c r="K21"/>
  <c r="L22"/>
  <c r="K22"/>
  <c r="L18"/>
  <c r="K18"/>
  <c r="L23"/>
  <c r="K23"/>
  <c r="K14"/>
  <c r="V4"/>
  <c r="D21" i="31414"/>
  <c r="E126" i="31412"/>
  <c r="B38" i="31417"/>
  <c r="D37" i="31415"/>
  <c r="D13" i="31414"/>
  <c r="E118" i="31412"/>
  <c r="B30" i="31417"/>
  <c r="D29" i="31415"/>
  <c r="D18" i="31414"/>
  <c r="E123" i="31412"/>
  <c r="D34" i="31415"/>
  <c r="B35" i="31417"/>
  <c r="D15" i="31414"/>
  <c r="E120" i="31412"/>
  <c r="B32" i="31417"/>
  <c r="D31" i="31415"/>
  <c r="D16" i="31414"/>
  <c r="E121" i="31412"/>
  <c r="B33" i="31417"/>
  <c r="D32" i="31415"/>
  <c r="D14" i="31414"/>
  <c r="E119" i="31412"/>
  <c r="D30" i="31415"/>
  <c r="B31" i="31417"/>
  <c r="D20" i="31414"/>
  <c r="E125" i="31412"/>
  <c r="B37" i="31417"/>
  <c r="D36" i="31415"/>
  <c r="J81"/>
  <c r="D17" i="31414"/>
  <c r="E122" i="31412"/>
  <c r="B34" i="31417"/>
  <c r="D33" i="31415"/>
  <c r="D22" i="31414"/>
  <c r="E127" i="31412"/>
  <c r="B39" i="31417"/>
  <c r="D38" i="31415"/>
  <c r="D23" i="31414"/>
  <c r="I23" s="1"/>
  <c r="E128" i="31412"/>
  <c r="E129" s="1"/>
  <c r="E130" s="1"/>
  <c r="E131" s="1"/>
  <c r="E132" s="1"/>
  <c r="E133" s="1"/>
  <c r="E134" s="1"/>
  <c r="E135" s="1"/>
  <c r="E136" s="1"/>
  <c r="E137" s="1"/>
  <c r="E138" s="1"/>
  <c r="E139" s="1"/>
  <c r="E140" s="1"/>
  <c r="E141" s="1"/>
  <c r="E142" s="1"/>
  <c r="E143" s="1"/>
  <c r="E144" s="1"/>
  <c r="E145" s="1"/>
  <c r="E146" s="1"/>
  <c r="E147" s="1"/>
  <c r="E148" s="1"/>
  <c r="E149" s="1"/>
  <c r="E150" s="1"/>
  <c r="E151" s="1"/>
  <c r="E152" s="1"/>
  <c r="B41" i="31417"/>
  <c r="K41" s="1"/>
  <c r="D39" i="31415"/>
  <c r="D19" i="31414"/>
  <c r="I19" s="1"/>
  <c r="E124" i="31412"/>
  <c r="B36" i="31417"/>
  <c r="D35" i="31415"/>
  <c r="I69"/>
  <c r="J2" i="31417" s="1"/>
  <c r="I78" i="31415"/>
  <c r="J11" i="31417" s="1"/>
  <c r="I72" i="31415"/>
  <c r="J5" i="31417" s="1"/>
  <c r="I75" i="31415"/>
  <c r="J8" i="31417" s="1"/>
  <c r="D40" i="31415"/>
  <c r="B27" i="31417"/>
  <c r="D33" i="31406"/>
  <c r="D26" i="31409"/>
  <c r="I21" i="31414"/>
  <c r="D60" i="31415" s="1"/>
  <c r="K60" s="1"/>
  <c r="G37" i="31417" s="1"/>
  <c r="I13" i="31414"/>
  <c r="D52" i="31415" s="1"/>
  <c r="K52" s="1"/>
  <c r="G29" i="31417" s="1"/>
  <c r="I18" i="31414"/>
  <c r="I15"/>
  <c r="I16"/>
  <c r="D55" i="31415" s="1"/>
  <c r="K55" s="1"/>
  <c r="G32" i="31417" s="1"/>
  <c r="D54" i="31415"/>
  <c r="K54" s="1"/>
  <c r="G31" i="31417" s="1"/>
  <c r="G12" i="31414"/>
  <c r="G13"/>
  <c r="G21"/>
  <c r="G15"/>
  <c r="G23"/>
  <c r="G19"/>
  <c r="G14"/>
  <c r="H23"/>
  <c r="G16"/>
  <c r="G17"/>
  <c r="G18"/>
  <c r="G20"/>
  <c r="G22"/>
  <c r="I14"/>
  <c r="I20"/>
  <c r="H22"/>
  <c r="H12"/>
  <c r="H15"/>
  <c r="H16"/>
  <c r="B46" i="31413"/>
  <c r="I17" i="31414"/>
  <c r="I22"/>
  <c r="H14"/>
  <c r="H21"/>
  <c r="D57" i="31415"/>
  <c r="K57" s="1"/>
  <c r="G34" i="31417" s="1"/>
  <c r="C56" i="31415"/>
  <c r="J56" s="1"/>
  <c r="G20" i="31417" s="1"/>
  <c r="C57" i="31415"/>
  <c r="J57" s="1"/>
  <c r="G21" i="31417" s="1"/>
  <c r="I12" i="31414"/>
  <c r="H19"/>
  <c r="H13"/>
  <c r="D16" i="31417"/>
  <c r="G30" i="31406"/>
  <c r="F41" i="31354"/>
  <c r="D14" i="31405"/>
  <c r="D15"/>
  <c r="D24" i="31414"/>
  <c r="E14" i="31406"/>
  <c r="E15" i="31354"/>
  <c r="E62" s="1"/>
  <c r="G84" i="31412"/>
  <c r="F13" i="31406" s="1"/>
  <c r="M20" i="31414" l="1"/>
  <c r="H39" s="1"/>
  <c r="H10" i="31401"/>
  <c r="H19" s="1"/>
  <c r="G19"/>
  <c r="D13" i="31409"/>
  <c r="E17"/>
  <c r="E19" s="1"/>
  <c r="D17"/>
  <c r="D19" s="1"/>
  <c r="D20" s="1"/>
  <c r="E20" s="1"/>
  <c r="F20" s="1"/>
  <c r="G20" s="1"/>
  <c r="H20" s="1"/>
  <c r="H17"/>
  <c r="H19" s="1"/>
  <c r="F17"/>
  <c r="F19" s="1"/>
  <c r="G17"/>
  <c r="G19" s="1"/>
  <c r="D24" i="31403"/>
  <c r="E15" i="31406"/>
  <c r="E24" i="31403"/>
  <c r="F15" i="31406"/>
  <c r="D29" i="31403"/>
  <c r="E27" i="31406"/>
  <c r="B40" i="31417"/>
  <c r="L27"/>
  <c r="L36"/>
  <c r="K36"/>
  <c r="L39"/>
  <c r="K39"/>
  <c r="L34"/>
  <c r="K34"/>
  <c r="L31"/>
  <c r="K31"/>
  <c r="K40" s="1"/>
  <c r="L35"/>
  <c r="K35"/>
  <c r="L37"/>
  <c r="K37"/>
  <c r="L33"/>
  <c r="K33"/>
  <c r="L32"/>
  <c r="K32"/>
  <c r="L30"/>
  <c r="K30"/>
  <c r="L38"/>
  <c r="K38"/>
  <c r="K27"/>
  <c r="W4"/>
  <c r="W5" s="1"/>
  <c r="V5"/>
  <c r="J78" i="31415"/>
  <c r="J24" i="31417" s="1"/>
  <c r="J72" i="31415"/>
  <c r="J18" i="31417" s="1"/>
  <c r="J75" i="31415"/>
  <c r="J21" i="31417" s="1"/>
  <c r="J69" i="31415"/>
  <c r="J15" i="31417" s="1"/>
  <c r="E40" i="31354"/>
  <c r="J14" i="31417"/>
  <c r="E33" i="31406"/>
  <c r="E26" i="31409"/>
  <c r="E45" s="1"/>
  <c r="F14" i="31406"/>
  <c r="K81" i="31415"/>
  <c r="L41" i="31417"/>
  <c r="B42"/>
  <c r="K42" s="1"/>
  <c r="I24" i="31414"/>
  <c r="D48" i="31354"/>
  <c r="N16" i="31414"/>
  <c r="H32" i="31417" s="1"/>
  <c r="H23"/>
  <c r="M15" i="31414"/>
  <c r="C54" i="31415"/>
  <c r="J54" s="1"/>
  <c r="G18" i="31417" s="1"/>
  <c r="C58" i="31415"/>
  <c r="J58" s="1"/>
  <c r="G22" i="31417" s="1"/>
  <c r="M19" i="31414"/>
  <c r="N22"/>
  <c r="D61" i="31415"/>
  <c r="K61" s="1"/>
  <c r="G38" i="31417" s="1"/>
  <c r="M16" i="31414"/>
  <c r="C55" i="31415"/>
  <c r="J55" s="1"/>
  <c r="G19" i="31417" s="1"/>
  <c r="B59" i="31415"/>
  <c r="I59" s="1"/>
  <c r="G10" i="31417" s="1"/>
  <c r="L20" i="31414"/>
  <c r="C62" i="31415"/>
  <c r="J62" s="1"/>
  <c r="G26" i="31417" s="1"/>
  <c r="M23" i="31414"/>
  <c r="L15"/>
  <c r="B54" i="31415"/>
  <c r="I54" s="1"/>
  <c r="G5" i="31417" s="1"/>
  <c r="C52" i="31415"/>
  <c r="J52" s="1"/>
  <c r="G16" i="31417" s="1"/>
  <c r="M13" i="31414"/>
  <c r="D62" i="31415"/>
  <c r="K62" s="1"/>
  <c r="G39" i="31417" s="1"/>
  <c r="G41" s="1"/>
  <c r="N23" i="31414"/>
  <c r="F38" i="31417"/>
  <c r="F21"/>
  <c r="F65"/>
  <c r="F25"/>
  <c r="F11"/>
  <c r="F34"/>
  <c r="F17"/>
  <c r="F30"/>
  <c r="F3"/>
  <c r="F12"/>
  <c r="F18"/>
  <c r="F28"/>
  <c r="F16"/>
  <c r="F33"/>
  <c r="F7"/>
  <c r="F10"/>
  <c r="F22"/>
  <c r="F26"/>
  <c r="F29"/>
  <c r="F4"/>
  <c r="F35"/>
  <c r="F19"/>
  <c r="F2"/>
  <c r="F9"/>
  <c r="F8"/>
  <c r="F39"/>
  <c r="F15"/>
  <c r="F32"/>
  <c r="F20"/>
  <c r="F37"/>
  <c r="F6"/>
  <c r="F13"/>
  <c r="F31"/>
  <c r="F23"/>
  <c r="F5"/>
  <c r="F36"/>
  <c r="F24"/>
  <c r="C61" i="31415"/>
  <c r="J61" s="1"/>
  <c r="G25" i="31417" s="1"/>
  <c r="M22" i="31414"/>
  <c r="B61" i="31415"/>
  <c r="I61" s="1"/>
  <c r="G12" i="31417" s="1"/>
  <c r="L22" i="31414"/>
  <c r="B55" i="31415"/>
  <c r="I55" s="1"/>
  <c r="G6" i="31417" s="1"/>
  <c r="L16" i="31414"/>
  <c r="L23"/>
  <c r="B62" i="31415"/>
  <c r="I62" s="1"/>
  <c r="G13" i="31417" s="1"/>
  <c r="L12" i="31414"/>
  <c r="B51" i="31415"/>
  <c r="G24" i="31414"/>
  <c r="N15"/>
  <c r="N21"/>
  <c r="M18"/>
  <c r="N12"/>
  <c r="D51" i="31415"/>
  <c r="M21" i="31414"/>
  <c r="C60" i="31415"/>
  <c r="J60" s="1"/>
  <c r="G24" i="31417" s="1"/>
  <c r="D56" i="31415"/>
  <c r="K56" s="1"/>
  <c r="G33" i="31417" s="1"/>
  <c r="N17" i="31414"/>
  <c r="N20"/>
  <c r="D59" i="31415"/>
  <c r="K59" s="1"/>
  <c r="G36" i="31417" s="1"/>
  <c r="L18" i="31414"/>
  <c r="B57" i="31415"/>
  <c r="I57" s="1"/>
  <c r="G8" i="31417" s="1"/>
  <c r="L14" i="31414"/>
  <c r="B53" i="31415"/>
  <c r="I53" s="1"/>
  <c r="G4" i="31417" s="1"/>
  <c r="L21" i="31414"/>
  <c r="B60" i="31415"/>
  <c r="I60" s="1"/>
  <c r="G11" i="31417" s="1"/>
  <c r="D58" i="31415"/>
  <c r="K58" s="1"/>
  <c r="G35" i="31417" s="1"/>
  <c r="N19" i="31414"/>
  <c r="M14"/>
  <c r="C53" i="31415"/>
  <c r="J53" s="1"/>
  <c r="G17" i="31417" s="1"/>
  <c r="C51" i="31415"/>
  <c r="M12" i="31414"/>
  <c r="H24"/>
  <c r="D53" i="31415"/>
  <c r="K53" s="1"/>
  <c r="G30" i="31417" s="1"/>
  <c r="N14" i="31414"/>
  <c r="L17"/>
  <c r="B56" i="31415"/>
  <c r="I56" s="1"/>
  <c r="G7" i="31417" s="1"/>
  <c r="B58" i="31415"/>
  <c r="I58" s="1"/>
  <c r="G9" i="31417" s="1"/>
  <c r="L19" i="31414"/>
  <c r="L13"/>
  <c r="B52" i="31415"/>
  <c r="I52" s="1"/>
  <c r="G3" i="31417" s="1"/>
  <c r="N18" i="31414"/>
  <c r="M17"/>
  <c r="N13"/>
  <c r="D17" i="31417"/>
  <c r="H30" i="31406"/>
  <c r="G41" i="31354"/>
  <c r="E14" i="31405"/>
  <c r="E15"/>
  <c r="F41" i="31417" l="1"/>
  <c r="D34" i="31406"/>
  <c r="C30" i="31403"/>
  <c r="D30" s="1"/>
  <c r="E30" s="1"/>
  <c r="D69" i="31409"/>
  <c r="D14"/>
  <c r="E14" s="1"/>
  <c r="F14" s="1"/>
  <c r="G14" s="1"/>
  <c r="H14" s="1"/>
  <c r="D22"/>
  <c r="E29" i="31403"/>
  <c r="F27" i="31406"/>
  <c r="L40" i="31417"/>
  <c r="F33" i="31406"/>
  <c r="F26" i="31409"/>
  <c r="F45" s="1"/>
  <c r="F40" i="31354"/>
  <c r="K75" i="31415"/>
  <c r="J34" i="31417" s="1"/>
  <c r="K69" i="31415"/>
  <c r="J28" i="31417" s="1"/>
  <c r="K72" i="31415"/>
  <c r="J31" i="31417" s="1"/>
  <c r="K78" i="31415"/>
  <c r="J37" i="31417" s="1"/>
  <c r="E48" i="31354"/>
  <c r="F15"/>
  <c r="F62" s="1"/>
  <c r="I35" i="31414"/>
  <c r="L42" i="31417"/>
  <c r="B43"/>
  <c r="K43" s="1"/>
  <c r="J27"/>
  <c r="I32" i="31414"/>
  <c r="H29" i="31417"/>
  <c r="H7"/>
  <c r="M7" s="1"/>
  <c r="G36" i="31414"/>
  <c r="I38"/>
  <c r="H35" i="31417"/>
  <c r="H37" i="31414"/>
  <c r="H21" i="31417"/>
  <c r="G42" i="31414"/>
  <c r="H13" i="31417"/>
  <c r="M13" s="1"/>
  <c r="G34" i="31414"/>
  <c r="H5" i="31417"/>
  <c r="M5" s="1"/>
  <c r="H38"/>
  <c r="I41" i="31414"/>
  <c r="H11" i="31417"/>
  <c r="M11" s="1"/>
  <c r="G40" i="31414"/>
  <c r="I34"/>
  <c r="H31" i="31417"/>
  <c r="H12"/>
  <c r="M12" s="1"/>
  <c r="G41" i="31414"/>
  <c r="I42"/>
  <c r="H39" i="31417"/>
  <c r="H41" s="1"/>
  <c r="H10"/>
  <c r="M10" s="1"/>
  <c r="G39" i="31414"/>
  <c r="I37"/>
  <c r="H34" i="31417"/>
  <c r="I36" i="31414"/>
  <c r="H33" i="31417"/>
  <c r="K51" i="31415"/>
  <c r="D63"/>
  <c r="I40" i="31414"/>
  <c r="H37" i="31417"/>
  <c r="H2"/>
  <c r="G31" i="31414"/>
  <c r="L24"/>
  <c r="H19" i="31417"/>
  <c r="H35" i="31414"/>
  <c r="F40" i="31417"/>
  <c r="G32" i="31414"/>
  <c r="H3" i="31417"/>
  <c r="M3" s="1"/>
  <c r="H15"/>
  <c r="M24" i="31414"/>
  <c r="H31"/>
  <c r="F27" i="31417"/>
  <c r="F14"/>
  <c r="G42"/>
  <c r="G43" s="1"/>
  <c r="G44" s="1"/>
  <c r="G45" s="1"/>
  <c r="G46" s="1"/>
  <c r="G47" s="1"/>
  <c r="G48" s="1"/>
  <c r="G49" s="1"/>
  <c r="G50" s="1"/>
  <c r="G51" s="1"/>
  <c r="G52" s="1"/>
  <c r="G54" s="1"/>
  <c r="H18"/>
  <c r="H34" i="31414"/>
  <c r="H33"/>
  <c r="H17" i="31417"/>
  <c r="M17" s="1"/>
  <c r="H8"/>
  <c r="M8" s="1"/>
  <c r="G37" i="31414"/>
  <c r="H28" i="31417"/>
  <c r="I31" i="31414"/>
  <c r="N24"/>
  <c r="H36"/>
  <c r="H20" i="31417"/>
  <c r="H9"/>
  <c r="M9" s="1"/>
  <c r="G38" i="31414"/>
  <c r="H30" i="31417"/>
  <c r="I33" i="31414"/>
  <c r="C63" i="31415"/>
  <c r="J51"/>
  <c r="H4" i="31417"/>
  <c r="M4" s="1"/>
  <c r="G33" i="31414"/>
  <c r="H36" i="31417"/>
  <c r="I39" i="31414"/>
  <c r="H40"/>
  <c r="H24" i="31417"/>
  <c r="I51" i="31415"/>
  <c r="B63"/>
  <c r="G35" i="31414"/>
  <c r="H6" i="31417"/>
  <c r="M6" s="1"/>
  <c r="H25"/>
  <c r="H41" i="31414"/>
  <c r="H16" i="31417"/>
  <c r="M16" s="1"/>
  <c r="H32" i="31414"/>
  <c r="H26" i="31417"/>
  <c r="H42" i="31414"/>
  <c r="H22" i="31417"/>
  <c r="H38" i="31414"/>
  <c r="D18" i="31417"/>
  <c r="H41" i="31354"/>
  <c r="F14" i="31405"/>
  <c r="F15"/>
  <c r="E22" i="31409" l="1"/>
  <c r="D59"/>
  <c r="D49" i="31354"/>
  <c r="E34" i="31406"/>
  <c r="D35"/>
  <c r="D26" i="31403"/>
  <c r="E29" i="31406"/>
  <c r="E26" i="31403"/>
  <c r="F29" i="31406"/>
  <c r="C26" i="31403"/>
  <c r="D29" i="31406"/>
  <c r="L43" i="31417"/>
  <c r="B44"/>
  <c r="K44" s="1"/>
  <c r="F42"/>
  <c r="J40"/>
  <c r="F48" i="31354"/>
  <c r="G53" i="31417"/>
  <c r="I43" i="31414"/>
  <c r="G2" i="31417"/>
  <c r="I63" i="31415"/>
  <c r="K63"/>
  <c r="G28" i="31417"/>
  <c r="G40" s="1"/>
  <c r="H27"/>
  <c r="G15"/>
  <c r="J63" i="31415"/>
  <c r="H43" i="31414"/>
  <c r="H42" i="31417"/>
  <c r="H43" s="1"/>
  <c r="H44" s="1"/>
  <c r="H45" s="1"/>
  <c r="H46" s="1"/>
  <c r="H47" s="1"/>
  <c r="H48" s="1"/>
  <c r="H49" s="1"/>
  <c r="H50" s="1"/>
  <c r="H51" s="1"/>
  <c r="H52" s="1"/>
  <c r="H54" s="1"/>
  <c r="G43" i="31414"/>
  <c r="G55" i="31417"/>
  <c r="G56" s="1"/>
  <c r="G57" s="1"/>
  <c r="G58" s="1"/>
  <c r="G59" s="1"/>
  <c r="G60" s="1"/>
  <c r="G61" s="1"/>
  <c r="G62" s="1"/>
  <c r="G63" s="1"/>
  <c r="G64" s="1"/>
  <c r="G65" s="1"/>
  <c r="S3"/>
  <c r="T3" s="1"/>
  <c r="H40"/>
  <c r="H14"/>
  <c r="D19"/>
  <c r="M18"/>
  <c r="D35" i="31405" l="1"/>
  <c r="D33" i="31409"/>
  <c r="F22"/>
  <c r="E59"/>
  <c r="F34" i="31406"/>
  <c r="E49" i="31354"/>
  <c r="E35" i="31406"/>
  <c r="D23" i="31403"/>
  <c r="E16" i="31406"/>
  <c r="D22" i="31403" s="1"/>
  <c r="E23"/>
  <c r="F16" i="31406"/>
  <c r="E22" i="31403" s="1"/>
  <c r="C23"/>
  <c r="D16" i="31406"/>
  <c r="C22" i="31403" s="1"/>
  <c r="B45" i="31417"/>
  <c r="K45" s="1"/>
  <c r="L44"/>
  <c r="F43"/>
  <c r="G14"/>
  <c r="M2"/>
  <c r="O2" s="1"/>
  <c r="P2" s="1"/>
  <c r="E44" i="31354"/>
  <c r="E31" i="31406"/>
  <c r="E32" i="31409" s="1"/>
  <c r="G27" i="31417"/>
  <c r="M15"/>
  <c r="H53"/>
  <c r="G66"/>
  <c r="D44" i="31354"/>
  <c r="D31" i="31406"/>
  <c r="H55" i="31417"/>
  <c r="H56" s="1"/>
  <c r="H57" s="1"/>
  <c r="H58" s="1"/>
  <c r="H59" s="1"/>
  <c r="H60" s="1"/>
  <c r="H61" s="1"/>
  <c r="H62" s="1"/>
  <c r="H63" s="1"/>
  <c r="H64" s="1"/>
  <c r="H65" s="1"/>
  <c r="F44" i="31354"/>
  <c r="F31" i="31406"/>
  <c r="F32" i="31409" s="1"/>
  <c r="D20" i="31417"/>
  <c r="M19"/>
  <c r="G34" i="31406" l="1"/>
  <c r="F49" i="31354"/>
  <c r="F35" i="31406"/>
  <c r="E35" i="31405"/>
  <c r="E33" i="31409"/>
  <c r="G22"/>
  <c r="F59"/>
  <c r="H66" i="31417"/>
  <c r="L45"/>
  <c r="B46"/>
  <c r="K46" s="1"/>
  <c r="F44"/>
  <c r="E28" i="31409"/>
  <c r="D31" i="31403"/>
  <c r="E20" i="31354"/>
  <c r="E16" i="31405"/>
  <c r="E17" i="31406"/>
  <c r="D32" i="31409"/>
  <c r="D31" i="31405"/>
  <c r="F20" i="31354"/>
  <c r="F28" i="31409"/>
  <c r="F29" s="1"/>
  <c r="F16" i="31405"/>
  <c r="F17" i="31406"/>
  <c r="D28" i="31409"/>
  <c r="D20" i="31354"/>
  <c r="D17" i="31406"/>
  <c r="D16" i="31405"/>
  <c r="O3" i="31417"/>
  <c r="N2"/>
  <c r="N3" s="1"/>
  <c r="N4" s="1"/>
  <c r="N5" s="1"/>
  <c r="N6" s="1"/>
  <c r="N7" s="1"/>
  <c r="N8" s="1"/>
  <c r="N9" s="1"/>
  <c r="N10" s="1"/>
  <c r="N11" s="1"/>
  <c r="N12" s="1"/>
  <c r="N13" s="1"/>
  <c r="N15" s="1"/>
  <c r="N16" s="1"/>
  <c r="N17" s="1"/>
  <c r="N18" s="1"/>
  <c r="N19" s="1"/>
  <c r="S2"/>
  <c r="T2" s="1"/>
  <c r="M14"/>
  <c r="D21"/>
  <c r="M20"/>
  <c r="G49" i="31354" l="1"/>
  <c r="H34" i="31406"/>
  <c r="H49" i="31354" s="1"/>
  <c r="H22" i="31409"/>
  <c r="H59" s="1"/>
  <c r="G59"/>
  <c r="F35" i="31405"/>
  <c r="F33" i="31409"/>
  <c r="O4" i="31417"/>
  <c r="P4" s="1"/>
  <c r="P3"/>
  <c r="L46"/>
  <c r="B47"/>
  <c r="K47" s="1"/>
  <c r="F45"/>
  <c r="E29" i="31409"/>
  <c r="E46"/>
  <c r="C31" i="31403"/>
  <c r="F22" s="1"/>
  <c r="E31"/>
  <c r="G22"/>
  <c r="G30"/>
  <c r="G27"/>
  <c r="G29"/>
  <c r="G28"/>
  <c r="G25"/>
  <c r="G31"/>
  <c r="G24"/>
  <c r="G26"/>
  <c r="N20" i="31417"/>
  <c r="G23" i="31403"/>
  <c r="D46" i="31409"/>
  <c r="D29"/>
  <c r="E18" i="31406"/>
  <c r="E17" i="31405"/>
  <c r="D17"/>
  <c r="D18" i="31406"/>
  <c r="F17" i="31405"/>
  <c r="F18" i="31406"/>
  <c r="D22" i="31417"/>
  <c r="M21"/>
  <c r="O5" l="1"/>
  <c r="P5" s="1"/>
  <c r="O6"/>
  <c r="P6" s="1"/>
  <c r="B48"/>
  <c r="K48" s="1"/>
  <c r="L47"/>
  <c r="F46"/>
  <c r="F18" i="31405"/>
  <c r="F19" s="1"/>
  <c r="F19" i="31406"/>
  <c r="F20" i="31405" s="1"/>
  <c r="F21" s="1"/>
  <c r="H24" i="31403"/>
  <c r="H25"/>
  <c r="H30"/>
  <c r="H29"/>
  <c r="H31"/>
  <c r="H27"/>
  <c r="H28"/>
  <c r="H26"/>
  <c r="H23"/>
  <c r="D18" i="31405"/>
  <c r="D19" s="1"/>
  <c r="D19" i="31406"/>
  <c r="D20" i="31405" s="1"/>
  <c r="D21" s="1"/>
  <c r="F29" i="31403"/>
  <c r="F28"/>
  <c r="F25"/>
  <c r="F24"/>
  <c r="F31"/>
  <c r="F30"/>
  <c r="F27"/>
  <c r="F26"/>
  <c r="F23"/>
  <c r="H22"/>
  <c r="N21" i="31417"/>
  <c r="E18" i="31405"/>
  <c r="E19" s="1"/>
  <c r="E19" i="31406"/>
  <c r="E20" i="31405" s="1"/>
  <c r="E21" s="1"/>
  <c r="D23" i="31417"/>
  <c r="M22"/>
  <c r="O7" l="1"/>
  <c r="F22" i="31405"/>
  <c r="F25" s="1"/>
  <c r="F26" s="1"/>
  <c r="B49" i="31417"/>
  <c r="K49" s="1"/>
  <c r="F47"/>
  <c r="L48"/>
  <c r="N22"/>
  <c r="E22" i="31405"/>
  <c r="E25" s="1"/>
  <c r="E26" s="1"/>
  <c r="D22"/>
  <c r="D25" s="1"/>
  <c r="D26" s="1"/>
  <c r="D24" i="31417"/>
  <c r="M23"/>
  <c r="C48" i="31388"/>
  <c r="O8" i="31417" l="1"/>
  <c r="P7"/>
  <c r="N23"/>
  <c r="F23" i="31405"/>
  <c r="F48" i="31417"/>
  <c r="L49"/>
  <c r="B50"/>
  <c r="K50" s="1"/>
  <c r="E23" i="31405"/>
  <c r="D23"/>
  <c r="D25" i="31417"/>
  <c r="M24"/>
  <c r="C53" i="31358"/>
  <c r="B53"/>
  <c r="B62"/>
  <c r="B63"/>
  <c r="B64"/>
  <c r="B65"/>
  <c r="B61"/>
  <c r="B74"/>
  <c r="B75"/>
  <c r="B76"/>
  <c r="C49"/>
  <c r="C48"/>
  <c r="B49"/>
  <c r="B48"/>
  <c r="C50"/>
  <c r="B33"/>
  <c r="B32"/>
  <c r="B22"/>
  <c r="O9" i="31417" l="1"/>
  <c r="P8"/>
  <c r="F49"/>
  <c r="L50"/>
  <c r="B51"/>
  <c r="K51" s="1"/>
  <c r="N24"/>
  <c r="S4"/>
  <c r="D26"/>
  <c r="D27" s="1"/>
  <c r="M25"/>
  <c r="K9" i="31385"/>
  <c r="K11"/>
  <c r="K12"/>
  <c r="K13"/>
  <c r="K14"/>
  <c r="K15"/>
  <c r="K16"/>
  <c r="K17"/>
  <c r="K18"/>
  <c r="K19"/>
  <c r="K20"/>
  <c r="K10"/>
  <c r="J20"/>
  <c r="J19"/>
  <c r="J18"/>
  <c r="J17"/>
  <c r="J16"/>
  <c r="J15"/>
  <c r="J14"/>
  <c r="J13"/>
  <c r="J12"/>
  <c r="J11"/>
  <c r="J10"/>
  <c r="J9"/>
  <c r="B16"/>
  <c r="B17"/>
  <c r="B18"/>
  <c r="B19"/>
  <c r="B20"/>
  <c r="B10"/>
  <c r="B11"/>
  <c r="B12"/>
  <c r="B13"/>
  <c r="B14"/>
  <c r="B15"/>
  <c r="B9"/>
  <c r="O10" i="31417" l="1"/>
  <c r="P9"/>
  <c r="F50"/>
  <c r="L51"/>
  <c r="B52"/>
  <c r="J41" s="1"/>
  <c r="N25"/>
  <c r="T4"/>
  <c r="T5" s="1"/>
  <c r="S5"/>
  <c r="D28"/>
  <c r="M26"/>
  <c r="C8" i="31385"/>
  <c r="K8"/>
  <c r="J8"/>
  <c r="I8"/>
  <c r="H8"/>
  <c r="G8"/>
  <c r="F8"/>
  <c r="E8"/>
  <c r="D8"/>
  <c r="B8"/>
  <c r="B6"/>
  <c r="J60" i="31417" l="1"/>
  <c r="O11"/>
  <c r="P10"/>
  <c r="G13" i="31406"/>
  <c r="H13" s="1"/>
  <c r="K52" i="31417"/>
  <c r="K53" s="1"/>
  <c r="J47"/>
  <c r="J63"/>
  <c r="L52"/>
  <c r="L53" s="1"/>
  <c r="F51"/>
  <c r="B54"/>
  <c r="K54" s="1"/>
  <c r="J44"/>
  <c r="J50"/>
  <c r="J54"/>
  <c r="B53"/>
  <c r="J57"/>
  <c r="N26"/>
  <c r="M27"/>
  <c r="D29"/>
  <c r="M28"/>
  <c r="B4" i="31385"/>
  <c r="J53" i="31417" l="1"/>
  <c r="O12"/>
  <c r="P11"/>
  <c r="G16" i="31406"/>
  <c r="G15"/>
  <c r="H16"/>
  <c r="H15"/>
  <c r="G14"/>
  <c r="G15" i="31354"/>
  <c r="G62" s="1"/>
  <c r="F52" i="31417"/>
  <c r="F53" s="1"/>
  <c r="L54"/>
  <c r="B55"/>
  <c r="K55" s="1"/>
  <c r="J66"/>
  <c r="N28"/>
  <c r="D30"/>
  <c r="M29"/>
  <c r="A30" i="31364"/>
  <c r="R20" i="31385"/>
  <c r="R19"/>
  <c r="R18"/>
  <c r="R17"/>
  <c r="R16"/>
  <c r="R15"/>
  <c r="R14"/>
  <c r="R13"/>
  <c r="R12"/>
  <c r="R11"/>
  <c r="R10"/>
  <c r="R9"/>
  <c r="O13" i="31417" l="1"/>
  <c r="P12"/>
  <c r="G29" i="31406"/>
  <c r="G27"/>
  <c r="G33"/>
  <c r="G26" i="31409"/>
  <c r="G45" s="1"/>
  <c r="G14" i="31405"/>
  <c r="G15"/>
  <c r="G28" i="31409"/>
  <c r="G17" i="31406"/>
  <c r="G17" i="31405" s="1"/>
  <c r="G16"/>
  <c r="G20" i="31354"/>
  <c r="F54" i="31417"/>
  <c r="B56"/>
  <c r="K56" s="1"/>
  <c r="L55"/>
  <c r="H14" i="31406"/>
  <c r="H27" s="1"/>
  <c r="H15" i="31354"/>
  <c r="H62" s="1"/>
  <c r="N29" i="31417"/>
  <c r="D31"/>
  <c r="M30"/>
  <c r="H32" i="31363"/>
  <c r="G32"/>
  <c r="D30"/>
  <c r="A70" i="31390"/>
  <c r="J23"/>
  <c r="J22"/>
  <c r="J18"/>
  <c r="J17"/>
  <c r="J16"/>
  <c r="J15"/>
  <c r="J8"/>
  <c r="J6"/>
  <c r="A69"/>
  <c r="A68"/>
  <c r="J42"/>
  <c r="I42"/>
  <c r="H42"/>
  <c r="G42"/>
  <c r="F42"/>
  <c r="E42"/>
  <c r="D42"/>
  <c r="J28"/>
  <c r="I28"/>
  <c r="H28"/>
  <c r="G28"/>
  <c r="F28"/>
  <c r="E28"/>
  <c r="D28"/>
  <c r="J9"/>
  <c r="J34"/>
  <c r="P13" i="31417" l="1"/>
  <c r="O15"/>
  <c r="G29" i="31409"/>
  <c r="H33" i="31406"/>
  <c r="H26" i="31409"/>
  <c r="H45" s="1"/>
  <c r="H14" i="31405"/>
  <c r="H29" i="31406"/>
  <c r="H44" i="31354" s="1"/>
  <c r="G44"/>
  <c r="G48"/>
  <c r="G35" i="31406"/>
  <c r="B57" i="31417"/>
  <c r="K57" s="1"/>
  <c r="F55"/>
  <c r="L56"/>
  <c r="G18" i="31406"/>
  <c r="H17"/>
  <c r="H17" i="31405" s="1"/>
  <c r="H15"/>
  <c r="H28" i="31409"/>
  <c r="G31" i="31406"/>
  <c r="G32" i="31409" s="1"/>
  <c r="G40" i="31354"/>
  <c r="H20"/>
  <c r="H16" i="31405"/>
  <c r="N30" i="31417"/>
  <c r="D32"/>
  <c r="M31"/>
  <c r="J10" i="31390"/>
  <c r="J12"/>
  <c r="P15" i="31417" l="1"/>
  <c r="O16"/>
  <c r="H29" i="31409"/>
  <c r="H48" i="31354"/>
  <c r="H35" i="31406"/>
  <c r="G18" i="31405"/>
  <c r="G19" s="1"/>
  <c r="G19" i="31406"/>
  <c r="G20" i="31405" s="1"/>
  <c r="G21" s="1"/>
  <c r="G35"/>
  <c r="G33" i="31409"/>
  <c r="H18" i="31406"/>
  <c r="F56" i="31417"/>
  <c r="B58"/>
  <c r="K58" s="1"/>
  <c r="L57"/>
  <c r="H40" i="31354"/>
  <c r="H31" i="31406"/>
  <c r="H32" i="31409" s="1"/>
  <c r="N31" i="31417"/>
  <c r="D33"/>
  <c r="M32"/>
  <c r="J13" i="31390"/>
  <c r="J20"/>
  <c r="J25" s="1"/>
  <c r="O17" i="31417" l="1"/>
  <c r="P16"/>
  <c r="F57"/>
  <c r="L58"/>
  <c r="B59"/>
  <c r="K59" s="1"/>
  <c r="H35" i="31405"/>
  <c r="H33" i="31409"/>
  <c r="H18" i="31405"/>
  <c r="H19" s="1"/>
  <c r="H19" i="31406"/>
  <c r="H20" i="31405" s="1"/>
  <c r="H21" s="1"/>
  <c r="G22"/>
  <c r="G25" s="1"/>
  <c r="G26" s="1"/>
  <c r="N32" i="31417"/>
  <c r="D34"/>
  <c r="M33"/>
  <c r="J68" i="31390"/>
  <c r="J55"/>
  <c r="J30"/>
  <c r="J26"/>
  <c r="O18" i="31417" l="1"/>
  <c r="P17"/>
  <c r="G23" i="31405"/>
  <c r="H22"/>
  <c r="H25" s="1"/>
  <c r="H26" s="1"/>
  <c r="F58" i="31417"/>
  <c r="B60"/>
  <c r="K60" s="1"/>
  <c r="L59"/>
  <c r="N33"/>
  <c r="D35"/>
  <c r="M34"/>
  <c r="A36" i="31364"/>
  <c r="A35"/>
  <c r="C64" i="31388"/>
  <c r="B64"/>
  <c r="B51"/>
  <c r="B32"/>
  <c r="B35" s="1"/>
  <c r="B30"/>
  <c r="C30" s="1"/>
  <c r="C29"/>
  <c r="C65" s="1"/>
  <c r="BJ85" i="31368"/>
  <c r="BJ84"/>
  <c r="BJ83"/>
  <c r="AV85"/>
  <c r="AV84"/>
  <c r="AV83"/>
  <c r="AH85"/>
  <c r="AH84"/>
  <c r="AH83"/>
  <c r="T85"/>
  <c r="T84"/>
  <c r="T83"/>
  <c r="H44" i="31367"/>
  <c r="H13"/>
  <c r="G44"/>
  <c r="G27"/>
  <c r="E44"/>
  <c r="E36"/>
  <c r="D49"/>
  <c r="I6"/>
  <c r="I5"/>
  <c r="C6"/>
  <c r="D34"/>
  <c r="D11"/>
  <c r="BP56" i="31368"/>
  <c r="BP55" s="1"/>
  <c r="BP54"/>
  <c r="BP53"/>
  <c r="BP52"/>
  <c r="H24" i="31367" s="1"/>
  <c r="BP51" i="31368"/>
  <c r="BP50" s="1"/>
  <c r="BP49" s="1"/>
  <c r="BB56"/>
  <c r="BB55" s="1"/>
  <c r="BB54"/>
  <c r="BB53"/>
  <c r="BB52"/>
  <c r="BB50" s="1"/>
  <c r="BB51"/>
  <c r="AN56"/>
  <c r="AN55"/>
  <c r="F44" i="31367" s="1"/>
  <c r="AN54" i="31368"/>
  <c r="AN53"/>
  <c r="F24" i="31367" s="1"/>
  <c r="AN52" i="31368"/>
  <c r="AN51"/>
  <c r="AN50" s="1"/>
  <c r="AN49" s="1"/>
  <c r="Z56"/>
  <c r="Z55" s="1"/>
  <c r="Z54"/>
  <c r="Z53"/>
  <c r="Z52"/>
  <c r="E24" i="31367" s="1"/>
  <c r="Z51" i="31368"/>
  <c r="BJ80"/>
  <c r="H52" i="31367" s="1"/>
  <c r="BM75" i="31368"/>
  <c r="BM74"/>
  <c r="BM72" s="1"/>
  <c r="H40" i="31367" s="1"/>
  <c r="BM73" i="31368"/>
  <c r="BM71"/>
  <c r="BM70"/>
  <c r="BM69"/>
  <c r="BM66"/>
  <c r="BM65"/>
  <c r="BM64"/>
  <c r="BM62"/>
  <c r="BM61"/>
  <c r="BM60"/>
  <c r="BP48"/>
  <c r="BM48"/>
  <c r="BJ48"/>
  <c r="BP47"/>
  <c r="BM47"/>
  <c r="BM46" s="1"/>
  <c r="BJ47"/>
  <c r="BJ46" s="1"/>
  <c r="H36" i="31367" s="1"/>
  <c r="BP45" i="31368"/>
  <c r="BM45"/>
  <c r="BJ45"/>
  <c r="BJ81" s="1"/>
  <c r="H53" i="31367" s="1"/>
  <c r="BP44" i="31368"/>
  <c r="BM44"/>
  <c r="BJ44"/>
  <c r="BJ78" s="1"/>
  <c r="H51" i="31367" s="1"/>
  <c r="BP41" i="31368"/>
  <c r="BM41"/>
  <c r="BJ41"/>
  <c r="BP40"/>
  <c r="BM40"/>
  <c r="BJ40"/>
  <c r="BP39"/>
  <c r="BM39"/>
  <c r="BJ39"/>
  <c r="BP38"/>
  <c r="BM38"/>
  <c r="BJ38"/>
  <c r="BP37"/>
  <c r="BM37"/>
  <c r="BJ37"/>
  <c r="BP36"/>
  <c r="BM36"/>
  <c r="BJ36"/>
  <c r="BP35"/>
  <c r="BM35"/>
  <c r="BJ35"/>
  <c r="BP34"/>
  <c r="BM34"/>
  <c r="BJ34"/>
  <c r="BP32"/>
  <c r="BM32"/>
  <c r="BJ32"/>
  <c r="BP31"/>
  <c r="BP30" s="1"/>
  <c r="BM31"/>
  <c r="BJ31"/>
  <c r="BP29"/>
  <c r="BM29"/>
  <c r="BJ29"/>
  <c r="BP28"/>
  <c r="BM28"/>
  <c r="BM27" s="1"/>
  <c r="BJ28"/>
  <c r="BJ27" s="1"/>
  <c r="H15" i="31367" s="1"/>
  <c r="BP26" i="31368"/>
  <c r="BM26"/>
  <c r="BJ26"/>
  <c r="BP25"/>
  <c r="BM25"/>
  <c r="BJ25"/>
  <c r="BP24"/>
  <c r="BM24"/>
  <c r="BJ24"/>
  <c r="BP23"/>
  <c r="BM23"/>
  <c r="BJ23"/>
  <c r="BP22"/>
  <c r="BM22"/>
  <c r="BJ22"/>
  <c r="BP21"/>
  <c r="BM21"/>
  <c r="BJ21"/>
  <c r="BP20"/>
  <c r="BM20"/>
  <c r="BJ20"/>
  <c r="BP19"/>
  <c r="BM19"/>
  <c r="BJ19"/>
  <c r="BP18"/>
  <c r="BM18"/>
  <c r="BJ18"/>
  <c r="BP16"/>
  <c r="BM16"/>
  <c r="BJ16"/>
  <c r="BP15"/>
  <c r="BP14" s="1"/>
  <c r="BM15"/>
  <c r="BJ15"/>
  <c r="BJ14" s="1"/>
  <c r="BP13"/>
  <c r="BM13"/>
  <c r="BJ13"/>
  <c r="BP12"/>
  <c r="BM12"/>
  <c r="BJ12"/>
  <c r="BP11"/>
  <c r="BP10" s="1"/>
  <c r="BM11"/>
  <c r="BJ11"/>
  <c r="AY75"/>
  <c r="AY74"/>
  <c r="AY73"/>
  <c r="AY71"/>
  <c r="AY70"/>
  <c r="AY69"/>
  <c r="AY66"/>
  <c r="AY65"/>
  <c r="AY64"/>
  <c r="AY63" s="1"/>
  <c r="G22" i="31367" s="1"/>
  <c r="AY62" i="31368"/>
  <c r="AY61"/>
  <c r="AY60"/>
  <c r="BB48"/>
  <c r="AY48"/>
  <c r="AV48"/>
  <c r="AV78" s="1"/>
  <c r="G51" i="31367" s="1"/>
  <c r="BB47" i="31368"/>
  <c r="BB46" s="1"/>
  <c r="G43" i="31367" s="1"/>
  <c r="AY47" i="31368"/>
  <c r="AV47"/>
  <c r="AV46" s="1"/>
  <c r="G36" i="31367" s="1"/>
  <c r="BB45" i="31368"/>
  <c r="AY45"/>
  <c r="AV45"/>
  <c r="AV81" s="1"/>
  <c r="G53" i="31367" s="1"/>
  <c r="BB44" i="31368"/>
  <c r="AY44"/>
  <c r="AV44"/>
  <c r="AY43"/>
  <c r="BB41"/>
  <c r="AY41"/>
  <c r="AV41"/>
  <c r="BB40"/>
  <c r="AY40"/>
  <c r="AV40"/>
  <c r="BB39"/>
  <c r="AY39"/>
  <c r="AV39"/>
  <c r="BB38"/>
  <c r="AY38"/>
  <c r="AV38"/>
  <c r="BB37"/>
  <c r="AY37"/>
  <c r="AV37"/>
  <c r="BB36"/>
  <c r="AY36"/>
  <c r="AV36"/>
  <c r="BB35"/>
  <c r="AY35"/>
  <c r="AV35"/>
  <c r="BB34"/>
  <c r="AY34"/>
  <c r="AV34"/>
  <c r="BB32"/>
  <c r="AY32"/>
  <c r="AV32"/>
  <c r="BB31"/>
  <c r="AY31"/>
  <c r="AV31"/>
  <c r="BB29"/>
  <c r="AY29"/>
  <c r="AV29"/>
  <c r="BB28"/>
  <c r="BB27" s="1"/>
  <c r="AY28"/>
  <c r="AY27" s="1"/>
  <c r="AV28"/>
  <c r="BB26"/>
  <c r="AY26"/>
  <c r="AV26"/>
  <c r="BB25"/>
  <c r="AY25"/>
  <c r="AV25"/>
  <c r="BB24"/>
  <c r="AY24"/>
  <c r="AV24"/>
  <c r="BB23"/>
  <c r="AY23"/>
  <c r="AV23"/>
  <c r="BB22"/>
  <c r="AY22"/>
  <c r="AV22"/>
  <c r="BB21"/>
  <c r="AY21"/>
  <c r="AV21"/>
  <c r="BB20"/>
  <c r="AY20"/>
  <c r="AV20"/>
  <c r="BB19"/>
  <c r="AY19"/>
  <c r="AV19"/>
  <c r="BB18"/>
  <c r="AY18"/>
  <c r="AV18"/>
  <c r="AV77" s="1"/>
  <c r="G50" i="31367" s="1"/>
  <c r="BB16" i="31368"/>
  <c r="AY16"/>
  <c r="AV16"/>
  <c r="BB15"/>
  <c r="BB14" s="1"/>
  <c r="AY15"/>
  <c r="AV15"/>
  <c r="BB13"/>
  <c r="AY13"/>
  <c r="AV13"/>
  <c r="BB12"/>
  <c r="AY12"/>
  <c r="AV12"/>
  <c r="BB11"/>
  <c r="AY11"/>
  <c r="AV11"/>
  <c r="AV10" s="1"/>
  <c r="G12" i="31367" s="1"/>
  <c r="AK75" i="31368"/>
  <c r="AK74"/>
  <c r="AK73"/>
  <c r="AK72" s="1"/>
  <c r="F40" i="31367" s="1"/>
  <c r="AK71" i="31368"/>
  <c r="AK70"/>
  <c r="AK69"/>
  <c r="AK68" s="1"/>
  <c r="AK66"/>
  <c r="AK65"/>
  <c r="AK64"/>
  <c r="AK62"/>
  <c r="AK61"/>
  <c r="AK60"/>
  <c r="AN48"/>
  <c r="AK48"/>
  <c r="AH48"/>
  <c r="AH78" s="1"/>
  <c r="F51" i="31367" s="1"/>
  <c r="AN47" i="31368"/>
  <c r="AN46" s="1"/>
  <c r="F43" i="31367" s="1"/>
  <c r="AK47" i="31368"/>
  <c r="AH47"/>
  <c r="AH46"/>
  <c r="F36" i="31367" s="1"/>
  <c r="AN45" i="31368"/>
  <c r="AK45"/>
  <c r="AH45"/>
  <c r="AH81" s="1"/>
  <c r="F53" i="31367" s="1"/>
  <c r="AN44" i="31368"/>
  <c r="AN43" s="1"/>
  <c r="AN42" s="1"/>
  <c r="AK44"/>
  <c r="AK43" s="1"/>
  <c r="AH44"/>
  <c r="AH43" s="1"/>
  <c r="AN41"/>
  <c r="AK41"/>
  <c r="AH41"/>
  <c r="AN40"/>
  <c r="AK40"/>
  <c r="AH40"/>
  <c r="AN39"/>
  <c r="AK39"/>
  <c r="AH39"/>
  <c r="AN38"/>
  <c r="AK38"/>
  <c r="AH38"/>
  <c r="AN37"/>
  <c r="AK37"/>
  <c r="AH37"/>
  <c r="AN36"/>
  <c r="AK36"/>
  <c r="AH36"/>
  <c r="AN35"/>
  <c r="AK35"/>
  <c r="AH35"/>
  <c r="AN34"/>
  <c r="AK34"/>
  <c r="AH34"/>
  <c r="AN32"/>
  <c r="AK32"/>
  <c r="AH32"/>
  <c r="AN31"/>
  <c r="AK31"/>
  <c r="AH31"/>
  <c r="AH30" s="1"/>
  <c r="F16" i="31367" s="1"/>
  <c r="AN29" i="31368"/>
  <c r="AK29"/>
  <c r="AH29"/>
  <c r="AN28"/>
  <c r="AK28"/>
  <c r="AH28"/>
  <c r="AN26"/>
  <c r="AK26"/>
  <c r="AH26"/>
  <c r="AN25"/>
  <c r="AK25"/>
  <c r="AH25"/>
  <c r="AN24"/>
  <c r="AK24"/>
  <c r="AH24"/>
  <c r="AN23"/>
  <c r="AK23"/>
  <c r="AH23"/>
  <c r="AN22"/>
  <c r="AK22"/>
  <c r="AH22"/>
  <c r="AN21"/>
  <c r="AK21"/>
  <c r="AH21"/>
  <c r="AN20"/>
  <c r="AK20"/>
  <c r="AH20"/>
  <c r="AN19"/>
  <c r="AK19"/>
  <c r="AH19"/>
  <c r="AN18"/>
  <c r="AK18"/>
  <c r="AH18"/>
  <c r="AN16"/>
  <c r="AK16"/>
  <c r="AH16"/>
  <c r="AN15"/>
  <c r="AK15"/>
  <c r="AH15"/>
  <c r="AN13"/>
  <c r="AK13"/>
  <c r="AH13"/>
  <c r="AN12"/>
  <c r="AK12"/>
  <c r="AH12"/>
  <c r="AN11"/>
  <c r="AN10" s="1"/>
  <c r="AK11"/>
  <c r="AH11"/>
  <c r="AH80" s="1"/>
  <c r="F52" i="31367" s="1"/>
  <c r="R6" i="31368"/>
  <c r="AF6" s="1"/>
  <c r="AT6" s="1"/>
  <c r="BH6" s="1"/>
  <c r="W75"/>
  <c r="W74"/>
  <c r="W73"/>
  <c r="W71"/>
  <c r="W70"/>
  <c r="W69"/>
  <c r="W66"/>
  <c r="W65"/>
  <c r="W64"/>
  <c r="W62"/>
  <c r="W61"/>
  <c r="W60"/>
  <c r="Z48"/>
  <c r="W48"/>
  <c r="T48"/>
  <c r="Z47"/>
  <c r="W47"/>
  <c r="T47"/>
  <c r="T46" s="1"/>
  <c r="Z45"/>
  <c r="W45"/>
  <c r="T45"/>
  <c r="Z44"/>
  <c r="Z43" s="1"/>
  <c r="E26" i="31367" s="1"/>
  <c r="W44" i="31368"/>
  <c r="T44"/>
  <c r="T78" s="1"/>
  <c r="E51" i="31367" s="1"/>
  <c r="Z41" i="31368"/>
  <c r="W41"/>
  <c r="T41"/>
  <c r="Z40"/>
  <c r="W40"/>
  <c r="T40"/>
  <c r="Z39"/>
  <c r="W39"/>
  <c r="T39"/>
  <c r="Z38"/>
  <c r="W38"/>
  <c r="T38"/>
  <c r="Z37"/>
  <c r="W37"/>
  <c r="T37"/>
  <c r="Z36"/>
  <c r="W36"/>
  <c r="T36"/>
  <c r="Z35"/>
  <c r="W35"/>
  <c r="T35"/>
  <c r="Z34"/>
  <c r="W34"/>
  <c r="T34"/>
  <c r="Z32"/>
  <c r="W32"/>
  <c r="T32"/>
  <c r="Z31"/>
  <c r="W31"/>
  <c r="T31"/>
  <c r="Z29"/>
  <c r="Z27" s="1"/>
  <c r="W29"/>
  <c r="T29"/>
  <c r="Z28"/>
  <c r="W28"/>
  <c r="W27" s="1"/>
  <c r="T28"/>
  <c r="Z26"/>
  <c r="W26"/>
  <c r="T26"/>
  <c r="Z25"/>
  <c r="W25"/>
  <c r="T25"/>
  <c r="Z24"/>
  <c r="W24"/>
  <c r="T24"/>
  <c r="Z23"/>
  <c r="W23"/>
  <c r="T23"/>
  <c r="Z22"/>
  <c r="W22"/>
  <c r="T22"/>
  <c r="Z21"/>
  <c r="W21"/>
  <c r="T21"/>
  <c r="Z20"/>
  <c r="W20"/>
  <c r="T20"/>
  <c r="Z19"/>
  <c r="W19"/>
  <c r="T19"/>
  <c r="Z18"/>
  <c r="W18"/>
  <c r="T18"/>
  <c r="Z16"/>
  <c r="W16"/>
  <c r="W14" s="1"/>
  <c r="T16"/>
  <c r="T14" s="1"/>
  <c r="E13" i="31367" s="1"/>
  <c r="Z15" i="31368"/>
  <c r="W15"/>
  <c r="T15"/>
  <c r="Z13"/>
  <c r="W13"/>
  <c r="T13"/>
  <c r="Z12"/>
  <c r="W12"/>
  <c r="T12"/>
  <c r="Z11"/>
  <c r="W11"/>
  <c r="W10" s="1"/>
  <c r="T11"/>
  <c r="L29"/>
  <c r="I29"/>
  <c r="F29"/>
  <c r="D2"/>
  <c r="L56"/>
  <c r="L55" s="1"/>
  <c r="D44" i="31367" s="1"/>
  <c r="L54" i="31368"/>
  <c r="L53"/>
  <c r="L50" s="1"/>
  <c r="L52"/>
  <c r="D24" i="31367" s="1"/>
  <c r="L51" i="31368"/>
  <c r="D27" i="31367" s="1"/>
  <c r="L48" i="31368"/>
  <c r="L47"/>
  <c r="L45"/>
  <c r="L44"/>
  <c r="L38"/>
  <c r="L39"/>
  <c r="L40"/>
  <c r="L41"/>
  <c r="L36"/>
  <c r="L37"/>
  <c r="L24"/>
  <c r="I48"/>
  <c r="I46" s="1"/>
  <c r="I47"/>
  <c r="I45"/>
  <c r="I44"/>
  <c r="I43" s="1"/>
  <c r="I41"/>
  <c r="I36"/>
  <c r="I37"/>
  <c r="I38"/>
  <c r="I39"/>
  <c r="I40"/>
  <c r="I24"/>
  <c r="F45"/>
  <c r="F44"/>
  <c r="F13"/>
  <c r="B12" i="31364"/>
  <c r="K3" i="31371"/>
  <c r="O19" i="31417" l="1"/>
  <c r="P18"/>
  <c r="H23" i="31405"/>
  <c r="F59" i="31417"/>
  <c r="B61"/>
  <c r="K61" s="1"/>
  <c r="L60"/>
  <c r="N34"/>
  <c r="D36"/>
  <c r="M35"/>
  <c r="B37" i="31388"/>
  <c r="B36"/>
  <c r="C67"/>
  <c r="D30"/>
  <c r="C19"/>
  <c r="C68"/>
  <c r="C31" s="1"/>
  <c r="C66"/>
  <c r="D29"/>
  <c r="C32"/>
  <c r="D64"/>
  <c r="F27" i="31367"/>
  <c r="F26"/>
  <c r="AN27" i="31368"/>
  <c r="H27" i="31367"/>
  <c r="BP46" i="31368"/>
  <c r="H43" i="31367" s="1"/>
  <c r="BP33" i="31368"/>
  <c r="H42" i="31367" s="1"/>
  <c r="BM68" i="31368"/>
  <c r="BM43"/>
  <c r="BM42" s="1"/>
  <c r="BM10"/>
  <c r="BM30"/>
  <c r="AH82"/>
  <c r="F31" i="31367" s="1"/>
  <c r="AV82" i="31368"/>
  <c r="G31" i="31367" s="1"/>
  <c r="BJ82" i="31368"/>
  <c r="H31" i="31367" s="1"/>
  <c r="BJ10" i="31368"/>
  <c r="H12" i="31367" s="1"/>
  <c r="BJ30" i="31368"/>
  <c r="H16" i="31367" s="1"/>
  <c r="G24"/>
  <c r="BB43" i="31368"/>
  <c r="BB17"/>
  <c r="BB30"/>
  <c r="AY68"/>
  <c r="AY67" s="1"/>
  <c r="AY72"/>
  <c r="G40" i="31367" s="1"/>
  <c r="AY14" i="31368"/>
  <c r="AV27"/>
  <c r="G15" i="31367" s="1"/>
  <c r="AV14" i="31368"/>
  <c r="G13" i="31367" s="1"/>
  <c r="AV30" i="31368"/>
  <c r="G16" i="31367" s="1"/>
  <c r="AK67" i="31368"/>
  <c r="AK14"/>
  <c r="AH42"/>
  <c r="F18" i="31367"/>
  <c r="AH14" i="31368"/>
  <c r="F13" i="31367" s="1"/>
  <c r="AH27" i="31368"/>
  <c r="F15" i="31367" s="1"/>
  <c r="AH10" i="31368"/>
  <c r="F12" i="31367" s="1"/>
  <c r="Z50" i="31368"/>
  <c r="Z49" s="1"/>
  <c r="Z14"/>
  <c r="W46"/>
  <c r="W30"/>
  <c r="T82"/>
  <c r="E31" i="31367" s="1"/>
  <c r="L49" i="31368"/>
  <c r="L46"/>
  <c r="D43" i="31367" s="1"/>
  <c r="I24"/>
  <c r="I44"/>
  <c r="BJ77" i="31368"/>
  <c r="H50" i="31367" s="1"/>
  <c r="BJ33" i="31368"/>
  <c r="H35" i="31367" s="1"/>
  <c r="H37" s="1"/>
  <c r="E27"/>
  <c r="BB49" i="31368"/>
  <c r="BM67"/>
  <c r="AV80"/>
  <c r="G52" i="31367" s="1"/>
  <c r="T17" i="31368"/>
  <c r="E14" i="31367" s="1"/>
  <c r="W63" i="31368"/>
  <c r="E22" i="31367" s="1"/>
  <c r="Z10" i="31368"/>
  <c r="T77"/>
  <c r="E50" i="31367" s="1"/>
  <c r="Z30" i="31368"/>
  <c r="T33"/>
  <c r="E35" i="31367" s="1"/>
  <c r="E37" s="1"/>
  <c r="AK27" i="31368"/>
  <c r="AN30"/>
  <c r="AY10"/>
  <c r="AY17"/>
  <c r="AY30"/>
  <c r="AY9" s="1"/>
  <c r="AY46"/>
  <c r="AY42" s="1"/>
  <c r="AY59"/>
  <c r="AY58" s="1"/>
  <c r="BM14"/>
  <c r="BP27"/>
  <c r="BM33"/>
  <c r="H39" i="31367" s="1"/>
  <c r="H41" s="1"/>
  <c r="BJ43" i="31368"/>
  <c r="BP43"/>
  <c r="H26" i="31367" s="1"/>
  <c r="L43" i="31368"/>
  <c r="T27"/>
  <c r="E15" i="31367" s="1"/>
  <c r="AY33" i="31368"/>
  <c r="AV43"/>
  <c r="BM17"/>
  <c r="BM9" s="1"/>
  <c r="BM59"/>
  <c r="BM58" s="1"/>
  <c r="T30"/>
  <c r="E16" i="31367" s="1"/>
  <c r="W43" i="31368"/>
  <c r="AK33"/>
  <c r="BB10"/>
  <c r="AV33"/>
  <c r="G35" i="31367" s="1"/>
  <c r="G37" s="1"/>
  <c r="BB33" i="31368"/>
  <c r="G42" i="31367" s="1"/>
  <c r="BJ17" i="31368"/>
  <c r="H14" i="31367" s="1"/>
  <c r="H17" s="1"/>
  <c r="BP17" i="31368"/>
  <c r="BP9" s="1"/>
  <c r="BM63"/>
  <c r="H22" i="31367" s="1"/>
  <c r="AV17" i="31368"/>
  <c r="I42"/>
  <c r="W42"/>
  <c r="F43"/>
  <c r="D18" i="31367" s="1"/>
  <c r="W68" i="31368"/>
  <c r="AH33"/>
  <c r="F35" i="31367" s="1"/>
  <c r="F37" s="1"/>
  <c r="AN33" i="31368"/>
  <c r="F42" i="31367" s="1"/>
  <c r="F45" s="1"/>
  <c r="T80" i="31368"/>
  <c r="E52" i="31367" s="1"/>
  <c r="T43" i="31368"/>
  <c r="W72"/>
  <c r="E40" i="31367" s="1"/>
  <c r="T81" i="31368"/>
  <c r="E53" i="31367" s="1"/>
  <c r="AK10" i="31368"/>
  <c r="AK17"/>
  <c r="AK30"/>
  <c r="AK46"/>
  <c r="AK42" s="1"/>
  <c r="AK59"/>
  <c r="W17"/>
  <c r="Z17"/>
  <c r="W33"/>
  <c r="Z33"/>
  <c r="E42" i="31367" s="1"/>
  <c r="Z46" i="31368"/>
  <c r="E43" i="31367" s="1"/>
  <c r="W59" i="31368"/>
  <c r="W58" s="1"/>
  <c r="AN14"/>
  <c r="F25" i="31367" s="1"/>
  <c r="AH77" i="31368"/>
  <c r="F50" i="31367" s="1"/>
  <c r="AN17" i="31368"/>
  <c r="AK63"/>
  <c r="F22" i="31367" s="1"/>
  <c r="AH17" i="31368"/>
  <c r="F14" i="31367" s="1"/>
  <c r="Z42" i="31368"/>
  <c r="T10"/>
  <c r="E12" i="31367" s="1"/>
  <c r="I50" i="31382"/>
  <c r="H50"/>
  <c r="G50"/>
  <c r="F50"/>
  <c r="E50"/>
  <c r="D50"/>
  <c r="I21"/>
  <c r="I63" s="1"/>
  <c r="H21"/>
  <c r="H63" s="1"/>
  <c r="G21"/>
  <c r="G63" s="1"/>
  <c r="F21"/>
  <c r="F63" s="1"/>
  <c r="E21"/>
  <c r="E63" s="1"/>
  <c r="D21"/>
  <c r="D63" s="1"/>
  <c r="I19"/>
  <c r="H19"/>
  <c r="H65" s="1"/>
  <c r="G19"/>
  <c r="G65" s="1"/>
  <c r="F19"/>
  <c r="E19"/>
  <c r="D19"/>
  <c r="D65" s="1"/>
  <c r="D13"/>
  <c r="E13" s="1"/>
  <c r="F13" s="1"/>
  <c r="G13" s="1"/>
  <c r="H13" s="1"/>
  <c r="I13" s="1"/>
  <c r="I12"/>
  <c r="H12"/>
  <c r="G12"/>
  <c r="F12"/>
  <c r="E12"/>
  <c r="D12"/>
  <c r="I50" i="31381"/>
  <c r="H50"/>
  <c r="G50"/>
  <c r="F50"/>
  <c r="E50"/>
  <c r="D50"/>
  <c r="I21"/>
  <c r="I63" s="1"/>
  <c r="H21"/>
  <c r="H63" s="1"/>
  <c r="G21"/>
  <c r="G63" s="1"/>
  <c r="F21"/>
  <c r="F63" s="1"/>
  <c r="E21"/>
  <c r="E63" s="1"/>
  <c r="D21"/>
  <c r="D63" s="1"/>
  <c r="I19"/>
  <c r="H19"/>
  <c r="H65" s="1"/>
  <c r="G19"/>
  <c r="G65" s="1"/>
  <c r="F19"/>
  <c r="E19"/>
  <c r="D19"/>
  <c r="D65" s="1"/>
  <c r="D13"/>
  <c r="E13" s="1"/>
  <c r="F13" s="1"/>
  <c r="G13" s="1"/>
  <c r="H13" s="1"/>
  <c r="I13" s="1"/>
  <c r="I12"/>
  <c r="H12"/>
  <c r="G12"/>
  <c r="F12"/>
  <c r="E12"/>
  <c r="D12"/>
  <c r="H35" i="31363"/>
  <c r="G35"/>
  <c r="D6"/>
  <c r="H6"/>
  <c r="E12" i="31364"/>
  <c r="N37" i="105"/>
  <c r="M37"/>
  <c r="L37"/>
  <c r="K37"/>
  <c r="J37"/>
  <c r="I37"/>
  <c r="H37"/>
  <c r="G37"/>
  <c r="F37"/>
  <c r="E37"/>
  <c r="D37"/>
  <c r="N33"/>
  <c r="M33"/>
  <c r="L33"/>
  <c r="K33"/>
  <c r="J33"/>
  <c r="I33"/>
  <c r="H33"/>
  <c r="G33"/>
  <c r="F33"/>
  <c r="E33"/>
  <c r="D33"/>
  <c r="N32"/>
  <c r="M32"/>
  <c r="L32"/>
  <c r="K32"/>
  <c r="J32"/>
  <c r="I46" i="108"/>
  <c r="I41"/>
  <c r="D49"/>
  <c r="D46"/>
  <c r="E37"/>
  <c r="E48"/>
  <c r="D48"/>
  <c r="F47"/>
  <c r="E47"/>
  <c r="D47"/>
  <c r="G46"/>
  <c r="F46"/>
  <c r="E46"/>
  <c r="D45"/>
  <c r="F44"/>
  <c r="E44"/>
  <c r="D44"/>
  <c r="F43"/>
  <c r="E43"/>
  <c r="D43"/>
  <c r="G41"/>
  <c r="F41"/>
  <c r="E41"/>
  <c r="D41"/>
  <c r="E40"/>
  <c r="D40"/>
  <c r="D37"/>
  <c r="D36"/>
  <c r="D35"/>
  <c r="I24"/>
  <c r="H24"/>
  <c r="G24"/>
  <c r="F24"/>
  <c r="E24"/>
  <c r="D24"/>
  <c r="I20"/>
  <c r="H20"/>
  <c r="G20"/>
  <c r="F20"/>
  <c r="E20"/>
  <c r="D20"/>
  <c r="I18"/>
  <c r="H18"/>
  <c r="G18"/>
  <c r="F18"/>
  <c r="E18"/>
  <c r="D18"/>
  <c r="I17"/>
  <c r="H17"/>
  <c r="G17"/>
  <c r="F17"/>
  <c r="E17"/>
  <c r="D17"/>
  <c r="I16"/>
  <c r="H16"/>
  <c r="G16"/>
  <c r="F16"/>
  <c r="E16"/>
  <c r="D16"/>
  <c r="I15"/>
  <c r="H15"/>
  <c r="G15"/>
  <c r="F15"/>
  <c r="E15"/>
  <c r="D15"/>
  <c r="I14"/>
  <c r="H14"/>
  <c r="G14"/>
  <c r="F14"/>
  <c r="E14"/>
  <c r="D14"/>
  <c r="P32" i="31363"/>
  <c r="E17" i="31367" l="1"/>
  <c r="O20" i="31417"/>
  <c r="P19"/>
  <c r="F60"/>
  <c r="B62"/>
  <c r="K62" s="1"/>
  <c r="L61"/>
  <c r="F22" i="31381"/>
  <c r="F25" s="1"/>
  <c r="E22" i="31382"/>
  <c r="E25" s="1"/>
  <c r="I22"/>
  <c r="I25" s="1"/>
  <c r="E22" i="31381"/>
  <c r="E25" s="1"/>
  <c r="I22"/>
  <c r="I25" s="1"/>
  <c r="N35" i="31417"/>
  <c r="D37"/>
  <c r="M36"/>
  <c r="F22" i="31382"/>
  <c r="F25" s="1"/>
  <c r="F23"/>
  <c r="E26"/>
  <c r="I26"/>
  <c r="F53"/>
  <c r="E55"/>
  <c r="I55"/>
  <c r="F57"/>
  <c r="E59"/>
  <c r="I59"/>
  <c r="F61"/>
  <c r="E65"/>
  <c r="I65"/>
  <c r="E23"/>
  <c r="I23"/>
  <c r="F26"/>
  <c r="E53"/>
  <c r="I53"/>
  <c r="F55"/>
  <c r="E57"/>
  <c r="I57"/>
  <c r="F59"/>
  <c r="E61"/>
  <c r="I61"/>
  <c r="F65"/>
  <c r="E23" i="31381"/>
  <c r="I23"/>
  <c r="F26"/>
  <c r="E53"/>
  <c r="I53"/>
  <c r="F55"/>
  <c r="E57"/>
  <c r="I57"/>
  <c r="F59"/>
  <c r="E61"/>
  <c r="I61"/>
  <c r="F65"/>
  <c r="F23"/>
  <c r="E26"/>
  <c r="I26"/>
  <c r="F53"/>
  <c r="E55"/>
  <c r="I55"/>
  <c r="F57"/>
  <c r="E59"/>
  <c r="I59"/>
  <c r="F61"/>
  <c r="E65"/>
  <c r="I65"/>
  <c r="D27" i="31409"/>
  <c r="D45" s="1"/>
  <c r="E27"/>
  <c r="G27"/>
  <c r="I30"/>
  <c r="I41"/>
  <c r="F27"/>
  <c r="H27"/>
  <c r="F10" i="31358"/>
  <c r="J10"/>
  <c r="N10"/>
  <c r="R10"/>
  <c r="V10"/>
  <c r="Z10"/>
  <c r="AD10"/>
  <c r="AH10"/>
  <c r="AL10"/>
  <c r="I10"/>
  <c r="M10"/>
  <c r="Q10"/>
  <c r="U10"/>
  <c r="Y10"/>
  <c r="AC10"/>
  <c r="AG10"/>
  <c r="AK10"/>
  <c r="H10"/>
  <c r="L10"/>
  <c r="P10"/>
  <c r="T10"/>
  <c r="X10"/>
  <c r="AB10"/>
  <c r="AF10"/>
  <c r="AJ10"/>
  <c r="G10"/>
  <c r="K10"/>
  <c r="O10"/>
  <c r="S10"/>
  <c r="W10"/>
  <c r="AA10"/>
  <c r="AE10"/>
  <c r="AI10"/>
  <c r="AM10"/>
  <c r="E10"/>
  <c r="F12"/>
  <c r="J12"/>
  <c r="N12"/>
  <c r="R12"/>
  <c r="V12"/>
  <c r="Z12"/>
  <c r="AD12"/>
  <c r="AH12"/>
  <c r="AL12"/>
  <c r="I12"/>
  <c r="M12"/>
  <c r="Q12"/>
  <c r="U12"/>
  <c r="Y12"/>
  <c r="AC12"/>
  <c r="AG12"/>
  <c r="AK12"/>
  <c r="E12"/>
  <c r="H12"/>
  <c r="L12"/>
  <c r="P12"/>
  <c r="T12"/>
  <c r="X12"/>
  <c r="AB12"/>
  <c r="AF12"/>
  <c r="AJ12"/>
  <c r="D12"/>
  <c r="D32" s="1"/>
  <c r="G12"/>
  <c r="K12"/>
  <c r="O12"/>
  <c r="S12"/>
  <c r="W12"/>
  <c r="AA12"/>
  <c r="AE12"/>
  <c r="AI12"/>
  <c r="AM12"/>
  <c r="D48" i="105"/>
  <c r="D75" s="1"/>
  <c r="H9" i="31358"/>
  <c r="L9"/>
  <c r="P9"/>
  <c r="T9"/>
  <c r="X9"/>
  <c r="AB9"/>
  <c r="AF9"/>
  <c r="AJ9"/>
  <c r="E9"/>
  <c r="G9"/>
  <c r="K9"/>
  <c r="O9"/>
  <c r="S9"/>
  <c r="W9"/>
  <c r="AA9"/>
  <c r="AE9"/>
  <c r="AI9"/>
  <c r="AM9"/>
  <c r="F9"/>
  <c r="J9"/>
  <c r="N9"/>
  <c r="R9"/>
  <c r="V9"/>
  <c r="Z9"/>
  <c r="AD9"/>
  <c r="AH9"/>
  <c r="AL9"/>
  <c r="I9"/>
  <c r="M9"/>
  <c r="Q9"/>
  <c r="U9"/>
  <c r="Y9"/>
  <c r="AC9"/>
  <c r="AG9"/>
  <c r="AK9"/>
  <c r="H11"/>
  <c r="L11"/>
  <c r="P11"/>
  <c r="T11"/>
  <c r="X11"/>
  <c r="AB11"/>
  <c r="AF11"/>
  <c r="AJ11"/>
  <c r="G11"/>
  <c r="K11"/>
  <c r="O11"/>
  <c r="S11"/>
  <c r="W11"/>
  <c r="AA11"/>
  <c r="AE11"/>
  <c r="AI11"/>
  <c r="AM11"/>
  <c r="D11"/>
  <c r="D31" s="1"/>
  <c r="F11"/>
  <c r="J11"/>
  <c r="N11"/>
  <c r="R11"/>
  <c r="V11"/>
  <c r="Z11"/>
  <c r="AD11"/>
  <c r="AH11"/>
  <c r="AL11"/>
  <c r="E11"/>
  <c r="I11"/>
  <c r="M11"/>
  <c r="Q11"/>
  <c r="U11"/>
  <c r="Y11"/>
  <c r="AC11"/>
  <c r="AG11"/>
  <c r="AK11"/>
  <c r="H13"/>
  <c r="L13"/>
  <c r="P13"/>
  <c r="T13"/>
  <c r="X13"/>
  <c r="AB13"/>
  <c r="AF13"/>
  <c r="AJ13"/>
  <c r="E13"/>
  <c r="G13"/>
  <c r="K13"/>
  <c r="O13"/>
  <c r="S13"/>
  <c r="W13"/>
  <c r="AA13"/>
  <c r="AE13"/>
  <c r="AI13"/>
  <c r="AM13"/>
  <c r="F13"/>
  <c r="J13"/>
  <c r="N13"/>
  <c r="R13"/>
  <c r="V13"/>
  <c r="Z13"/>
  <c r="AD13"/>
  <c r="AH13"/>
  <c r="AL13"/>
  <c r="I13"/>
  <c r="M13"/>
  <c r="Q13"/>
  <c r="U13"/>
  <c r="Y13"/>
  <c r="AC13"/>
  <c r="AG13"/>
  <c r="AK13"/>
  <c r="D13"/>
  <c r="D33" s="1"/>
  <c r="E45" i="31367"/>
  <c r="C73" i="31388"/>
  <c r="D67"/>
  <c r="E30"/>
  <c r="D19"/>
  <c r="B52"/>
  <c r="B54" s="1"/>
  <c r="C47"/>
  <c r="D65"/>
  <c r="E64"/>
  <c r="E29"/>
  <c r="F28" i="31367"/>
  <c r="AN9" i="31368"/>
  <c r="AN77" s="1"/>
  <c r="I27" i="31367"/>
  <c r="H45"/>
  <c r="H46" s="1"/>
  <c r="I43"/>
  <c r="BP42" i="31368"/>
  <c r="H25" i="31367"/>
  <c r="H28" s="1"/>
  <c r="BM57" i="31368"/>
  <c r="BM77" s="1"/>
  <c r="H21" i="31367"/>
  <c r="H23" s="1"/>
  <c r="BJ42" i="31368"/>
  <c r="H18" i="31367"/>
  <c r="H19" s="1"/>
  <c r="BB42" i="31368"/>
  <c r="G26" i="31367"/>
  <c r="G25"/>
  <c r="G39"/>
  <c r="G41" s="1"/>
  <c r="AY57" i="31368"/>
  <c r="G21" i="31367"/>
  <c r="G23" s="1"/>
  <c r="AV9" i="31368"/>
  <c r="G14" i="31367"/>
  <c r="G17" s="1"/>
  <c r="F21"/>
  <c r="F23" s="1"/>
  <c r="F39"/>
  <c r="F41" s="1"/>
  <c r="F46" s="1"/>
  <c r="F17"/>
  <c r="F19" s="1"/>
  <c r="E25"/>
  <c r="E28" s="1"/>
  <c r="E21"/>
  <c r="E23" s="1"/>
  <c r="W9" i="31368"/>
  <c r="E39" i="31367"/>
  <c r="E41" s="1"/>
  <c r="E46" s="1"/>
  <c r="T42" i="31368"/>
  <c r="E18" i="31367"/>
  <c r="E19" s="1"/>
  <c r="L42" i="31368"/>
  <c r="D26" i="31367"/>
  <c r="I26" s="1"/>
  <c r="G45"/>
  <c r="BB9" i="31368"/>
  <c r="BB77" s="1"/>
  <c r="BJ9"/>
  <c r="AV42"/>
  <c r="G18" i="31367"/>
  <c r="AH9" i="31368"/>
  <c r="W67"/>
  <c r="BP77"/>
  <c r="T9"/>
  <c r="AY77"/>
  <c r="Z9"/>
  <c r="Z77" s="1"/>
  <c r="AK9"/>
  <c r="AK58"/>
  <c r="AK57" s="1"/>
  <c r="W57"/>
  <c r="H22" i="31382"/>
  <c r="H25" s="1"/>
  <c r="G22"/>
  <c r="G25" s="1"/>
  <c r="G23"/>
  <c r="G26"/>
  <c r="G53"/>
  <c r="G55"/>
  <c r="G57"/>
  <c r="G59"/>
  <c r="G61"/>
  <c r="D22"/>
  <c r="D25" s="1"/>
  <c r="D23"/>
  <c r="H23"/>
  <c r="D26"/>
  <c r="H26"/>
  <c r="D53"/>
  <c r="H53"/>
  <c r="D55"/>
  <c r="H55"/>
  <c r="D57"/>
  <c r="H57"/>
  <c r="D59"/>
  <c r="H59"/>
  <c r="D61"/>
  <c r="H61"/>
  <c r="H22" i="31381"/>
  <c r="H25" s="1"/>
  <c r="G22"/>
  <c r="G25" s="1"/>
  <c r="G23"/>
  <c r="G26"/>
  <c r="G53"/>
  <c r="G55"/>
  <c r="G57"/>
  <c r="G59"/>
  <c r="G61"/>
  <c r="D22"/>
  <c r="D25" s="1"/>
  <c r="D23"/>
  <c r="H23"/>
  <c r="D26"/>
  <c r="H26"/>
  <c r="D53"/>
  <c r="H53"/>
  <c r="D55"/>
  <c r="H55"/>
  <c r="D57"/>
  <c r="H57"/>
  <c r="D59"/>
  <c r="H59"/>
  <c r="D61"/>
  <c r="H61"/>
  <c r="H43" i="108"/>
  <c r="I43"/>
  <c r="F45"/>
  <c r="F49"/>
  <c r="G48"/>
  <c r="G44"/>
  <c r="I47"/>
  <c r="H47"/>
  <c r="G43"/>
  <c r="F48"/>
  <c r="E49"/>
  <c r="G47"/>
  <c r="E45"/>
  <c r="H46"/>
  <c r="F40"/>
  <c r="H41"/>
  <c r="I36"/>
  <c r="F36"/>
  <c r="E36"/>
  <c r="E35"/>
  <c r="G37"/>
  <c r="F35"/>
  <c r="H36"/>
  <c r="F37"/>
  <c r="F20" i="31385"/>
  <c r="F19"/>
  <c r="F18"/>
  <c r="H34" i="105"/>
  <c r="G34"/>
  <c r="F34"/>
  <c r="E34"/>
  <c r="D34"/>
  <c r="N34"/>
  <c r="M34"/>
  <c r="L34"/>
  <c r="K34"/>
  <c r="J34"/>
  <c r="I34"/>
  <c r="N28"/>
  <c r="M28"/>
  <c r="L28"/>
  <c r="K28"/>
  <c r="J28"/>
  <c r="I28"/>
  <c r="H28"/>
  <c r="G28"/>
  <c r="F28"/>
  <c r="E28"/>
  <c r="D28"/>
  <c r="J38"/>
  <c r="F35"/>
  <c r="H29" i="31364"/>
  <c r="AC30"/>
  <c r="H53"/>
  <c r="A50"/>
  <c r="H42" i="31363"/>
  <c r="F17" i="31385"/>
  <c r="F16"/>
  <c r="F15"/>
  <c r="F14"/>
  <c r="F13"/>
  <c r="F12"/>
  <c r="F11"/>
  <c r="F10"/>
  <c r="F9"/>
  <c r="O21" i="31417" l="1"/>
  <c r="P20"/>
  <c r="F61"/>
  <c r="L62"/>
  <c r="B63"/>
  <c r="K63" s="1"/>
  <c r="N36"/>
  <c r="D38"/>
  <c r="M37"/>
  <c r="AM61" i="31358"/>
  <c r="AF63"/>
  <c r="AK63"/>
  <c r="E63"/>
  <c r="AH64"/>
  <c r="D63"/>
  <c r="P63"/>
  <c r="U63"/>
  <c r="R64"/>
  <c r="D65"/>
  <c r="AC63"/>
  <c r="M63"/>
  <c r="Z64"/>
  <c r="J64"/>
  <c r="J41" i="31409"/>
  <c r="G46" i="31367"/>
  <c r="H29"/>
  <c r="AE64" i="31358"/>
  <c r="W64"/>
  <c r="O64"/>
  <c r="AD63"/>
  <c r="N63"/>
  <c r="AB63"/>
  <c r="L63"/>
  <c r="AG63"/>
  <c r="Q63"/>
  <c r="Z63"/>
  <c r="J63"/>
  <c r="AA63"/>
  <c r="K63"/>
  <c r="AD64"/>
  <c r="N64"/>
  <c r="AI64"/>
  <c r="S64"/>
  <c r="D64"/>
  <c r="X64"/>
  <c r="H64"/>
  <c r="Y64"/>
  <c r="I64"/>
  <c r="AE63"/>
  <c r="O63"/>
  <c r="G64"/>
  <c r="AB64"/>
  <c r="L64"/>
  <c r="AC64"/>
  <c r="M64"/>
  <c r="AL64"/>
  <c r="AM64"/>
  <c r="AJ63"/>
  <c r="T63"/>
  <c r="Y63"/>
  <c r="I63"/>
  <c r="AH63"/>
  <c r="R63"/>
  <c r="AI63"/>
  <c r="S63"/>
  <c r="V64"/>
  <c r="F64"/>
  <c r="AA64"/>
  <c r="K64"/>
  <c r="AF64"/>
  <c r="P64"/>
  <c r="AG64"/>
  <c r="Q64"/>
  <c r="AM63"/>
  <c r="AL63"/>
  <c r="X63"/>
  <c r="H63"/>
  <c r="V63"/>
  <c r="F63"/>
  <c r="W63"/>
  <c r="G63"/>
  <c r="AJ64"/>
  <c r="T64"/>
  <c r="AK64"/>
  <c r="U64"/>
  <c r="E64"/>
  <c r="AC17"/>
  <c r="AC14"/>
  <c r="M14"/>
  <c r="M17"/>
  <c r="AD14"/>
  <c r="AD17"/>
  <c r="N14"/>
  <c r="N17"/>
  <c r="AI14"/>
  <c r="AI17"/>
  <c r="S17"/>
  <c r="S14"/>
  <c r="E17"/>
  <c r="E14"/>
  <c r="X17"/>
  <c r="X14"/>
  <c r="H17"/>
  <c r="H14"/>
  <c r="AG14"/>
  <c r="AG17"/>
  <c r="Q14"/>
  <c r="Q17"/>
  <c r="AH17"/>
  <c r="AH14"/>
  <c r="R14"/>
  <c r="R17"/>
  <c r="AM14"/>
  <c r="AM17"/>
  <c r="W14"/>
  <c r="W17"/>
  <c r="G14"/>
  <c r="G17"/>
  <c r="AB17"/>
  <c r="AB14"/>
  <c r="L17"/>
  <c r="L14"/>
  <c r="AK14"/>
  <c r="AK17"/>
  <c r="U17"/>
  <c r="U14"/>
  <c r="AL17"/>
  <c r="AL14"/>
  <c r="V17"/>
  <c r="V14"/>
  <c r="F17"/>
  <c r="F14"/>
  <c r="AA17"/>
  <c r="AA14"/>
  <c r="K14"/>
  <c r="K17"/>
  <c r="AF17"/>
  <c r="AF14"/>
  <c r="P17"/>
  <c r="P14"/>
  <c r="Y17"/>
  <c r="Y14"/>
  <c r="I17"/>
  <c r="I14"/>
  <c r="Z17"/>
  <c r="Z14"/>
  <c r="J17"/>
  <c r="J14"/>
  <c r="AE17"/>
  <c r="AE14"/>
  <c r="O17"/>
  <c r="O14"/>
  <c r="AJ17"/>
  <c r="AJ14"/>
  <c r="T17"/>
  <c r="T14"/>
  <c r="F29" i="31388"/>
  <c r="E67"/>
  <c r="D66"/>
  <c r="D68"/>
  <c r="D31" s="1"/>
  <c r="D32" s="1"/>
  <c r="F30"/>
  <c r="E19"/>
  <c r="E65"/>
  <c r="F64"/>
  <c r="D47"/>
  <c r="F29" i="31367"/>
  <c r="H54"/>
  <c r="G28"/>
  <c r="G29" s="1"/>
  <c r="G54"/>
  <c r="AK77" i="31368"/>
  <c r="F54" i="31367" s="1"/>
  <c r="W77" i="31368"/>
  <c r="E54" i="31367" s="1"/>
  <c r="E29"/>
  <c r="I18"/>
  <c r="G19"/>
  <c r="G36" i="108"/>
  <c r="H44"/>
  <c r="I44"/>
  <c r="G49"/>
  <c r="G45"/>
  <c r="H48"/>
  <c r="I48"/>
  <c r="G40"/>
  <c r="G35"/>
  <c r="I37"/>
  <c r="H37"/>
  <c r="J35" i="31380"/>
  <c r="I35"/>
  <c r="J16"/>
  <c r="I16"/>
  <c r="O22" i="31417" l="1"/>
  <c r="P21"/>
  <c r="F62"/>
  <c r="L63"/>
  <c r="B64"/>
  <c r="K64" s="1"/>
  <c r="N37"/>
  <c r="D39"/>
  <c r="D40" s="1"/>
  <c r="M38"/>
  <c r="K41" i="31409"/>
  <c r="F65" i="31388"/>
  <c r="G64"/>
  <c r="G65" s="1"/>
  <c r="G30"/>
  <c r="G19" s="1"/>
  <c r="F19"/>
  <c r="F67"/>
  <c r="G67" s="1"/>
  <c r="E66"/>
  <c r="E47" s="1"/>
  <c r="E68"/>
  <c r="E31" s="1"/>
  <c r="E32" s="1"/>
  <c r="G29"/>
  <c r="H45" i="108"/>
  <c r="I45"/>
  <c r="H49"/>
  <c r="I49"/>
  <c r="H40"/>
  <c r="I40"/>
  <c r="I35"/>
  <c r="H35"/>
  <c r="C47" i="31364"/>
  <c r="B47"/>
  <c r="A47"/>
  <c r="C46"/>
  <c r="B46"/>
  <c r="A46"/>
  <c r="P22" i="31417" l="1"/>
  <c r="O23"/>
  <c r="F63"/>
  <c r="L64"/>
  <c r="B65"/>
  <c r="K65" s="1"/>
  <c r="K66" s="1"/>
  <c r="N38"/>
  <c r="D41"/>
  <c r="M39"/>
  <c r="L41" i="31409"/>
  <c r="F68" i="31388"/>
  <c r="F31" s="1"/>
  <c r="F32" s="1"/>
  <c r="F66"/>
  <c r="G68"/>
  <c r="G31" s="1"/>
  <c r="G32" s="1"/>
  <c r="G66"/>
  <c r="G47"/>
  <c r="F47"/>
  <c r="E86" i="105"/>
  <c r="F86" s="1"/>
  <c r="G86" s="1"/>
  <c r="H86" s="1"/>
  <c r="I86" s="1"/>
  <c r="J86" s="1"/>
  <c r="K86" s="1"/>
  <c r="L86" s="1"/>
  <c r="M86" s="1"/>
  <c r="N86" s="1"/>
  <c r="B86"/>
  <c r="E85"/>
  <c r="F85" s="1"/>
  <c r="G85" s="1"/>
  <c r="H85" s="1"/>
  <c r="I85" s="1"/>
  <c r="J85" s="1"/>
  <c r="K85" s="1"/>
  <c r="L85" s="1"/>
  <c r="M85" s="1"/>
  <c r="N85" s="1"/>
  <c r="B85"/>
  <c r="B77"/>
  <c r="B76"/>
  <c r="B61"/>
  <c r="I51"/>
  <c r="H51"/>
  <c r="H77" s="1"/>
  <c r="G51"/>
  <c r="G77" s="1"/>
  <c r="F51"/>
  <c r="F77" s="1"/>
  <c r="E51"/>
  <c r="E77" s="1"/>
  <c r="D51"/>
  <c r="D77" s="1"/>
  <c r="I50"/>
  <c r="H50"/>
  <c r="G50"/>
  <c r="F50"/>
  <c r="E50"/>
  <c r="E76" s="1"/>
  <c r="D50"/>
  <c r="D76" s="1"/>
  <c r="B51"/>
  <c r="B50"/>
  <c r="B76" i="31381"/>
  <c r="B75"/>
  <c r="B74"/>
  <c r="B73"/>
  <c r="B76" i="31382"/>
  <c r="B75"/>
  <c r="B74"/>
  <c r="B73"/>
  <c r="B76" i="31354"/>
  <c r="B75"/>
  <c r="B74"/>
  <c r="B73"/>
  <c r="B75" i="108"/>
  <c r="I50" i="31354"/>
  <c r="H50"/>
  <c r="G50"/>
  <c r="F50"/>
  <c r="E50"/>
  <c r="D50"/>
  <c r="A61" i="31382"/>
  <c r="A60"/>
  <c r="A59"/>
  <c r="A58"/>
  <c r="A57"/>
  <c r="A56"/>
  <c r="A55"/>
  <c r="A54"/>
  <c r="A53"/>
  <c r="A61" i="31381"/>
  <c r="A60"/>
  <c r="A59"/>
  <c r="A58"/>
  <c r="A57"/>
  <c r="A56"/>
  <c r="A55"/>
  <c r="A54"/>
  <c r="A53"/>
  <c r="A56" i="31354"/>
  <c r="A57"/>
  <c r="A60"/>
  <c r="L80" i="114"/>
  <c r="L79"/>
  <c r="L63"/>
  <c r="L62"/>
  <c r="L46"/>
  <c r="L45"/>
  <c r="M20"/>
  <c r="M19"/>
  <c r="L7"/>
  <c r="L8"/>
  <c r="B57" i="31354"/>
  <c r="B56"/>
  <c r="B55"/>
  <c r="B57" i="31381"/>
  <c r="B56"/>
  <c r="B55"/>
  <c r="B57" i="31382"/>
  <c r="B56"/>
  <c r="B55"/>
  <c r="B57" i="108"/>
  <c r="B56"/>
  <c r="B55"/>
  <c r="L56" i="31354"/>
  <c r="L56" i="31381"/>
  <c r="L56" i="31382"/>
  <c r="L56" i="108"/>
  <c r="A55" i="31354"/>
  <c r="B54"/>
  <c r="A54"/>
  <c r="B54" i="31381"/>
  <c r="B54" i="31382"/>
  <c r="A55" i="108"/>
  <c r="B54"/>
  <c r="A54"/>
  <c r="B17" i="31381"/>
  <c r="B17" i="31382"/>
  <c r="B17" i="31354"/>
  <c r="B16" i="31381"/>
  <c r="B16" i="31382"/>
  <c r="B16" i="31354"/>
  <c r="B17" i="108"/>
  <c r="B16"/>
  <c r="B40" i="105"/>
  <c r="B39"/>
  <c r="B31"/>
  <c r="B12"/>
  <c r="B11"/>
  <c r="B10"/>
  <c r="B13"/>
  <c r="B14"/>
  <c r="B15"/>
  <c r="B16"/>
  <c r="B17"/>
  <c r="B18"/>
  <c r="B19"/>
  <c r="B20"/>
  <c r="B21"/>
  <c r="B23"/>
  <c r="B22"/>
  <c r="C49" i="31364"/>
  <c r="B49"/>
  <c r="A49"/>
  <c r="C48"/>
  <c r="B48"/>
  <c r="A48"/>
  <c r="P23" i="31417" l="1"/>
  <c r="O24"/>
  <c r="F64"/>
  <c r="F66" s="1"/>
  <c r="L65"/>
  <c r="L66" s="1"/>
  <c r="B66"/>
  <c r="N39"/>
  <c r="M40"/>
  <c r="D42"/>
  <c r="M41"/>
  <c r="M41" i="31409"/>
  <c r="F76" i="105"/>
  <c r="H76"/>
  <c r="G76"/>
  <c r="AR12" i="31358"/>
  <c r="AR11"/>
  <c r="B11" s="1"/>
  <c r="J50" i="105"/>
  <c r="I76"/>
  <c r="J51"/>
  <c r="I77"/>
  <c r="B70"/>
  <c r="B69"/>
  <c r="B66"/>
  <c r="B67"/>
  <c r="V58" i="31371"/>
  <c r="W58"/>
  <c r="X58"/>
  <c r="Y58"/>
  <c r="Z58"/>
  <c r="AB58"/>
  <c r="AC58"/>
  <c r="AD58"/>
  <c r="AE58"/>
  <c r="AF58"/>
  <c r="AH58"/>
  <c r="AI58"/>
  <c r="AJ58"/>
  <c r="AK58"/>
  <c r="AL58"/>
  <c r="AO58"/>
  <c r="AP58"/>
  <c r="AQ58"/>
  <c r="AR58"/>
  <c r="AS58"/>
  <c r="AU58"/>
  <c r="AV58"/>
  <c r="AW58"/>
  <c r="AX58"/>
  <c r="AY58"/>
  <c r="BA58"/>
  <c r="BB58"/>
  <c r="BC58"/>
  <c r="BD58"/>
  <c r="BE58"/>
  <c r="BG58"/>
  <c r="BH58"/>
  <c r="BI58"/>
  <c r="BJ58"/>
  <c r="BK58"/>
  <c r="BM58"/>
  <c r="BN58"/>
  <c r="BO58"/>
  <c r="BP58"/>
  <c r="BQ58"/>
  <c r="BS58"/>
  <c r="BT58"/>
  <c r="BU58"/>
  <c r="BV58"/>
  <c r="BW58"/>
  <c r="BY58"/>
  <c r="BZ58"/>
  <c r="CA58"/>
  <c r="CB58"/>
  <c r="CC58"/>
  <c r="CL58"/>
  <c r="CM58"/>
  <c r="CN58"/>
  <c r="CO58"/>
  <c r="CP58"/>
  <c r="CR58"/>
  <c r="CS58"/>
  <c r="CT58"/>
  <c r="CU58"/>
  <c r="CV58"/>
  <c r="CX58"/>
  <c r="CY58"/>
  <c r="CZ58"/>
  <c r="DA58"/>
  <c r="DB58"/>
  <c r="DJ58"/>
  <c r="DK58"/>
  <c r="DL58"/>
  <c r="DM58"/>
  <c r="DN58"/>
  <c r="V57"/>
  <c r="W57"/>
  <c r="X57"/>
  <c r="Y57"/>
  <c r="Z57"/>
  <c r="AB57"/>
  <c r="AC57"/>
  <c r="AD57"/>
  <c r="AE57"/>
  <c r="AF57"/>
  <c r="AH57"/>
  <c r="AI57"/>
  <c r="AJ57"/>
  <c r="AK57"/>
  <c r="AL57"/>
  <c r="AO57"/>
  <c r="AP57"/>
  <c r="AQ57"/>
  <c r="AR57"/>
  <c r="AS57"/>
  <c r="AU57"/>
  <c r="AV57"/>
  <c r="AW57"/>
  <c r="AX57"/>
  <c r="AY57"/>
  <c r="BA57"/>
  <c r="BB57"/>
  <c r="BC57"/>
  <c r="BD57"/>
  <c r="BE57"/>
  <c r="BG57"/>
  <c r="BH57"/>
  <c r="BI57"/>
  <c r="BJ57"/>
  <c r="BK57"/>
  <c r="BM57"/>
  <c r="BN57"/>
  <c r="BO57"/>
  <c r="BP57"/>
  <c r="BQ57"/>
  <c r="BS57"/>
  <c r="BT57"/>
  <c r="BU57"/>
  <c r="BV57"/>
  <c r="BW57"/>
  <c r="BY57"/>
  <c r="BZ57"/>
  <c r="CA57"/>
  <c r="CB57"/>
  <c r="CC57"/>
  <c r="CL57"/>
  <c r="CM57"/>
  <c r="CN57"/>
  <c r="CO57"/>
  <c r="CP57"/>
  <c r="CR57"/>
  <c r="CS57"/>
  <c r="CT57"/>
  <c r="CU57"/>
  <c r="CV57"/>
  <c r="CX57"/>
  <c r="CY57"/>
  <c r="CZ57"/>
  <c r="DA57"/>
  <c r="DB57"/>
  <c r="DJ57"/>
  <c r="DK57"/>
  <c r="DL57"/>
  <c r="DM57"/>
  <c r="DN57"/>
  <c r="V56"/>
  <c r="W56"/>
  <c r="X56"/>
  <c r="Y56"/>
  <c r="Z56"/>
  <c r="AB56"/>
  <c r="AC56"/>
  <c r="AD56"/>
  <c r="AE56"/>
  <c r="AF56"/>
  <c r="AH56"/>
  <c r="AI56"/>
  <c r="AJ56"/>
  <c r="AK56"/>
  <c r="AL56"/>
  <c r="AO56"/>
  <c r="AP56"/>
  <c r="AQ56"/>
  <c r="AR56"/>
  <c r="AS56"/>
  <c r="AU56"/>
  <c r="AV56"/>
  <c r="AW56"/>
  <c r="AX56"/>
  <c r="AY56"/>
  <c r="BA56"/>
  <c r="BB56"/>
  <c r="BC56"/>
  <c r="BD56"/>
  <c r="BE56"/>
  <c r="BG56"/>
  <c r="BH56"/>
  <c r="BI56"/>
  <c r="BJ56"/>
  <c r="BK56"/>
  <c r="BM56"/>
  <c r="BN56"/>
  <c r="BO56"/>
  <c r="BP56"/>
  <c r="BQ56"/>
  <c r="BS56"/>
  <c r="BT56"/>
  <c r="BU56"/>
  <c r="BV56"/>
  <c r="BW56"/>
  <c r="BY56"/>
  <c r="BZ56"/>
  <c r="CA56"/>
  <c r="CB56"/>
  <c r="CC56"/>
  <c r="CL56"/>
  <c r="CM56"/>
  <c r="CN56"/>
  <c r="CO56"/>
  <c r="CP56"/>
  <c r="CR56"/>
  <c r="CS56"/>
  <c r="CT56"/>
  <c r="CU56"/>
  <c r="CV56"/>
  <c r="CX56"/>
  <c r="CY56"/>
  <c r="CZ56"/>
  <c r="DA56"/>
  <c r="DB56"/>
  <c r="DJ56"/>
  <c r="DK56"/>
  <c r="DL56"/>
  <c r="DM56"/>
  <c r="DN56"/>
  <c r="V55"/>
  <c r="W55"/>
  <c r="X55"/>
  <c r="Y55"/>
  <c r="Z55"/>
  <c r="AB55"/>
  <c r="AC55"/>
  <c r="AD55"/>
  <c r="AE55"/>
  <c r="AF55"/>
  <c r="AH55"/>
  <c r="AI55"/>
  <c r="AJ55"/>
  <c r="AK55"/>
  <c r="AL55"/>
  <c r="AO55"/>
  <c r="AP55"/>
  <c r="AQ55"/>
  <c r="AR55"/>
  <c r="AS55"/>
  <c r="AU55"/>
  <c r="AV55"/>
  <c r="AW55"/>
  <c r="AX55"/>
  <c r="AY55"/>
  <c r="BA55"/>
  <c r="BB55"/>
  <c r="BC55"/>
  <c r="BD55"/>
  <c r="BE55"/>
  <c r="BG55"/>
  <c r="BH55"/>
  <c r="BI55"/>
  <c r="BJ55"/>
  <c r="BK55"/>
  <c r="BM55"/>
  <c r="BN55"/>
  <c r="BO55"/>
  <c r="BP55"/>
  <c r="BQ55"/>
  <c r="BS55"/>
  <c r="BT55"/>
  <c r="BU55"/>
  <c r="BV55"/>
  <c r="BW55"/>
  <c r="BY55"/>
  <c r="BZ55"/>
  <c r="CA55"/>
  <c r="CB55"/>
  <c r="CC55"/>
  <c r="CL55"/>
  <c r="CM55"/>
  <c r="CN55"/>
  <c r="CO55"/>
  <c r="CP55"/>
  <c r="CR55"/>
  <c r="CS55"/>
  <c r="CT55"/>
  <c r="CU55"/>
  <c r="CV55"/>
  <c r="CX55"/>
  <c r="CY55"/>
  <c r="CZ55"/>
  <c r="DA55"/>
  <c r="DB55"/>
  <c r="DJ55"/>
  <c r="DK55"/>
  <c r="DL55"/>
  <c r="DM55"/>
  <c r="DN55"/>
  <c r="V53"/>
  <c r="W53"/>
  <c r="X53"/>
  <c r="Y53"/>
  <c r="Z53"/>
  <c r="AB53"/>
  <c r="AC53"/>
  <c r="AD53"/>
  <c r="AE53"/>
  <c r="AF53"/>
  <c r="AH53"/>
  <c r="AI53"/>
  <c r="AJ53"/>
  <c r="AK53"/>
  <c r="AL53"/>
  <c r="AO53"/>
  <c r="AP53"/>
  <c r="AQ53"/>
  <c r="AR53"/>
  <c r="AS53"/>
  <c r="AU53"/>
  <c r="AV53"/>
  <c r="AW53"/>
  <c r="AX53"/>
  <c r="AY53"/>
  <c r="BA53"/>
  <c r="BB53"/>
  <c r="BC53"/>
  <c r="BD53"/>
  <c r="BE53"/>
  <c r="BG53"/>
  <c r="BH53"/>
  <c r="BI53"/>
  <c r="BJ53"/>
  <c r="BK53"/>
  <c r="BM53"/>
  <c r="BN53"/>
  <c r="BO53"/>
  <c r="BP53"/>
  <c r="BQ53"/>
  <c r="BS53"/>
  <c r="BT53"/>
  <c r="BU53"/>
  <c r="BV53"/>
  <c r="BW53"/>
  <c r="BY53"/>
  <c r="BZ53"/>
  <c r="CA53"/>
  <c r="CB53"/>
  <c r="CC53"/>
  <c r="CL53"/>
  <c r="CM53"/>
  <c r="CN53"/>
  <c r="CO53"/>
  <c r="CP53"/>
  <c r="CR53"/>
  <c r="CS53"/>
  <c r="CT53"/>
  <c r="CU53"/>
  <c r="CV53"/>
  <c r="CX53"/>
  <c r="CY53"/>
  <c r="CZ53"/>
  <c r="DA53"/>
  <c r="DB53"/>
  <c r="DJ53"/>
  <c r="DK53"/>
  <c r="DL53"/>
  <c r="DM53"/>
  <c r="DN53"/>
  <c r="V52"/>
  <c r="W52"/>
  <c r="X52"/>
  <c r="Y52"/>
  <c r="Z52"/>
  <c r="AB52"/>
  <c r="AC52"/>
  <c r="AD52"/>
  <c r="AE52"/>
  <c r="AF52"/>
  <c r="AH52"/>
  <c r="AI52"/>
  <c r="AJ52"/>
  <c r="AK52"/>
  <c r="AL52"/>
  <c r="AO52"/>
  <c r="AP52"/>
  <c r="AQ52"/>
  <c r="AR52"/>
  <c r="AS52"/>
  <c r="AU52"/>
  <c r="AV52"/>
  <c r="AW52"/>
  <c r="AX52"/>
  <c r="AY52"/>
  <c r="BA52"/>
  <c r="BB52"/>
  <c r="BC52"/>
  <c r="BD52"/>
  <c r="BE52"/>
  <c r="BG52"/>
  <c r="BH52"/>
  <c r="BI52"/>
  <c r="BJ52"/>
  <c r="BK52"/>
  <c r="BM52"/>
  <c r="BN52"/>
  <c r="BO52"/>
  <c r="BP52"/>
  <c r="BQ52"/>
  <c r="BS52"/>
  <c r="BT52"/>
  <c r="BU52"/>
  <c r="BV52"/>
  <c r="BW52"/>
  <c r="BY52"/>
  <c r="BZ52"/>
  <c r="CA52"/>
  <c r="CB52"/>
  <c r="CC52"/>
  <c r="CL52"/>
  <c r="CM52"/>
  <c r="CN52"/>
  <c r="CO52"/>
  <c r="CP52"/>
  <c r="CR52"/>
  <c r="CS52"/>
  <c r="CT52"/>
  <c r="CU52"/>
  <c r="CV52"/>
  <c r="CX52"/>
  <c r="CY52"/>
  <c r="CZ52"/>
  <c r="DA52"/>
  <c r="DB52"/>
  <c r="DJ52"/>
  <c r="DK52"/>
  <c r="DL52"/>
  <c r="DM52"/>
  <c r="DN52"/>
  <c r="V51"/>
  <c r="W51"/>
  <c r="X51"/>
  <c r="Y51"/>
  <c r="Z51"/>
  <c r="AB51"/>
  <c r="AC51"/>
  <c r="AD51"/>
  <c r="AE51"/>
  <c r="AF51"/>
  <c r="AH51"/>
  <c r="AI51"/>
  <c r="AJ51"/>
  <c r="AK51"/>
  <c r="AL51"/>
  <c r="AO51"/>
  <c r="AP51"/>
  <c r="AQ51"/>
  <c r="AR51"/>
  <c r="AS51"/>
  <c r="AU51"/>
  <c r="AV51"/>
  <c r="AW51"/>
  <c r="AX51"/>
  <c r="AY51"/>
  <c r="BA51"/>
  <c r="BB51"/>
  <c r="BC51"/>
  <c r="BD51"/>
  <c r="BE51"/>
  <c r="BG51"/>
  <c r="BH51"/>
  <c r="BI51"/>
  <c r="BJ51"/>
  <c r="BK51"/>
  <c r="BM51"/>
  <c r="BN51"/>
  <c r="BO51"/>
  <c r="BP51"/>
  <c r="BQ51"/>
  <c r="BS51"/>
  <c r="BT51"/>
  <c r="BU51"/>
  <c r="BV51"/>
  <c r="BW51"/>
  <c r="BY51"/>
  <c r="BZ51"/>
  <c r="CA51"/>
  <c r="CB51"/>
  <c r="CC51"/>
  <c r="CL51"/>
  <c r="CM51"/>
  <c r="CN51"/>
  <c r="CO51"/>
  <c r="CP51"/>
  <c r="CR51"/>
  <c r="CS51"/>
  <c r="CT51"/>
  <c r="CU51"/>
  <c r="CV51"/>
  <c r="CX51"/>
  <c r="CY51"/>
  <c r="CZ51"/>
  <c r="DA51"/>
  <c r="DB51"/>
  <c r="DJ51"/>
  <c r="DK51"/>
  <c r="DL51"/>
  <c r="DM51"/>
  <c r="DN51"/>
  <c r="E87" i="105"/>
  <c r="P24" i="31417" l="1"/>
  <c r="O25"/>
  <c r="N41"/>
  <c r="D43"/>
  <c r="M42"/>
  <c r="H25" i="31406"/>
  <c r="H31" i="31409" s="1"/>
  <c r="F25" i="31406"/>
  <c r="F31" i="31409" s="1"/>
  <c r="D25" i="31406"/>
  <c r="N41" i="31409"/>
  <c r="G25" i="31406"/>
  <c r="G31" i="31409" s="1"/>
  <c r="E25" i="31406"/>
  <c r="E31" i="31409" s="1"/>
  <c r="B12" i="31358"/>
  <c r="K50" i="105"/>
  <c r="J76"/>
  <c r="K51"/>
  <c r="J77"/>
  <c r="A45" i="31364"/>
  <c r="C45"/>
  <c r="B45"/>
  <c r="L95" i="114"/>
  <c r="L90"/>
  <c r="L85"/>
  <c r="L81"/>
  <c r="L76"/>
  <c r="L72"/>
  <c r="L68"/>
  <c r="L64"/>
  <c r="L59"/>
  <c r="L55"/>
  <c r="L51"/>
  <c r="L47"/>
  <c r="L42"/>
  <c r="L21"/>
  <c r="L17"/>
  <c r="L13"/>
  <c r="L9"/>
  <c r="K95"/>
  <c r="M95" s="1"/>
  <c r="J95"/>
  <c r="I95"/>
  <c r="H95"/>
  <c r="G95"/>
  <c r="F95"/>
  <c r="E95"/>
  <c r="D95"/>
  <c r="C95"/>
  <c r="K94"/>
  <c r="M94" s="1"/>
  <c r="J94"/>
  <c r="I94"/>
  <c r="H94"/>
  <c r="G94"/>
  <c r="F94"/>
  <c r="E94"/>
  <c r="D94"/>
  <c r="C94"/>
  <c r="K93"/>
  <c r="J93"/>
  <c r="I93"/>
  <c r="H93"/>
  <c r="G93"/>
  <c r="F93"/>
  <c r="E93"/>
  <c r="D93"/>
  <c r="C93"/>
  <c r="K92"/>
  <c r="J92"/>
  <c r="I92"/>
  <c r="H92"/>
  <c r="G92"/>
  <c r="F92"/>
  <c r="E92"/>
  <c r="D92"/>
  <c r="C92"/>
  <c r="K91"/>
  <c r="J91"/>
  <c r="I91"/>
  <c r="H91"/>
  <c r="G91"/>
  <c r="F91"/>
  <c r="E91"/>
  <c r="D91"/>
  <c r="C91"/>
  <c r="K90"/>
  <c r="M90" s="1"/>
  <c r="J90"/>
  <c r="I90"/>
  <c r="H90"/>
  <c r="G90"/>
  <c r="F90"/>
  <c r="E90"/>
  <c r="D90"/>
  <c r="C90"/>
  <c r="K89"/>
  <c r="M89" s="1"/>
  <c r="J89"/>
  <c r="I89"/>
  <c r="H89"/>
  <c r="G89"/>
  <c r="F89"/>
  <c r="E89"/>
  <c r="D89"/>
  <c r="C89"/>
  <c r="K88"/>
  <c r="J88"/>
  <c r="I88"/>
  <c r="H88"/>
  <c r="G88"/>
  <c r="F88"/>
  <c r="E88"/>
  <c r="D88"/>
  <c r="C88"/>
  <c r="K87"/>
  <c r="J87"/>
  <c r="I87"/>
  <c r="H87"/>
  <c r="G87"/>
  <c r="F87"/>
  <c r="E87"/>
  <c r="D87"/>
  <c r="C87"/>
  <c r="K86"/>
  <c r="J86"/>
  <c r="I86"/>
  <c r="H86"/>
  <c r="G86"/>
  <c r="F86"/>
  <c r="E86"/>
  <c r="D86"/>
  <c r="C86"/>
  <c r="K85"/>
  <c r="M85" s="1"/>
  <c r="J85"/>
  <c r="I85"/>
  <c r="H85"/>
  <c r="G85"/>
  <c r="F85"/>
  <c r="E85"/>
  <c r="D85"/>
  <c r="C85"/>
  <c r="K84"/>
  <c r="M84" s="1"/>
  <c r="J84"/>
  <c r="I84"/>
  <c r="H84"/>
  <c r="G84"/>
  <c r="F84"/>
  <c r="E84"/>
  <c r="D84"/>
  <c r="C84"/>
  <c r="K83"/>
  <c r="J83"/>
  <c r="I83"/>
  <c r="H83"/>
  <c r="G83"/>
  <c r="F83"/>
  <c r="E83"/>
  <c r="D83"/>
  <c r="C83"/>
  <c r="K82"/>
  <c r="J82"/>
  <c r="I82"/>
  <c r="H82"/>
  <c r="G82"/>
  <c r="F82"/>
  <c r="E82"/>
  <c r="D82"/>
  <c r="C82"/>
  <c r="K81"/>
  <c r="M81" s="1"/>
  <c r="J81"/>
  <c r="I81"/>
  <c r="H81"/>
  <c r="G81"/>
  <c r="F81"/>
  <c r="E81"/>
  <c r="D81"/>
  <c r="C81"/>
  <c r="K80"/>
  <c r="M80" s="1"/>
  <c r="J80"/>
  <c r="I80"/>
  <c r="H80"/>
  <c r="G80"/>
  <c r="F80"/>
  <c r="E80"/>
  <c r="D80"/>
  <c r="C80"/>
  <c r="K79"/>
  <c r="J79"/>
  <c r="I79"/>
  <c r="H79"/>
  <c r="G79"/>
  <c r="F79"/>
  <c r="E79"/>
  <c r="D79"/>
  <c r="C79"/>
  <c r="K78"/>
  <c r="J78"/>
  <c r="I78"/>
  <c r="H78"/>
  <c r="G78"/>
  <c r="F78"/>
  <c r="E78"/>
  <c r="D78"/>
  <c r="C78"/>
  <c r="K77"/>
  <c r="J77"/>
  <c r="I77"/>
  <c r="H77"/>
  <c r="G77"/>
  <c r="F77"/>
  <c r="E77"/>
  <c r="D77"/>
  <c r="C77"/>
  <c r="K76"/>
  <c r="M76" s="1"/>
  <c r="J76"/>
  <c r="I76"/>
  <c r="H76"/>
  <c r="G76"/>
  <c r="F76"/>
  <c r="E76"/>
  <c r="D76"/>
  <c r="C76"/>
  <c r="K75"/>
  <c r="M75" s="1"/>
  <c r="J75"/>
  <c r="I75"/>
  <c r="H75"/>
  <c r="G75"/>
  <c r="F75"/>
  <c r="E75"/>
  <c r="D75"/>
  <c r="C75"/>
  <c r="K74"/>
  <c r="J74"/>
  <c r="I74"/>
  <c r="H74"/>
  <c r="G74"/>
  <c r="F74"/>
  <c r="E74"/>
  <c r="D74"/>
  <c r="C74"/>
  <c r="K73"/>
  <c r="J73"/>
  <c r="I73"/>
  <c r="H73"/>
  <c r="G73"/>
  <c r="F73"/>
  <c r="E73"/>
  <c r="D73"/>
  <c r="C73"/>
  <c r="K72"/>
  <c r="M72" s="1"/>
  <c r="J72"/>
  <c r="I72"/>
  <c r="H72"/>
  <c r="G72"/>
  <c r="F72"/>
  <c r="E72"/>
  <c r="D72"/>
  <c r="C72"/>
  <c r="K71"/>
  <c r="M71" s="1"/>
  <c r="J71"/>
  <c r="I71"/>
  <c r="H71"/>
  <c r="G71"/>
  <c r="F71"/>
  <c r="E71"/>
  <c r="D71"/>
  <c r="C71"/>
  <c r="K70"/>
  <c r="J70"/>
  <c r="I70"/>
  <c r="H70"/>
  <c r="G70"/>
  <c r="F70"/>
  <c r="E70"/>
  <c r="D70"/>
  <c r="C70"/>
  <c r="K69"/>
  <c r="J69"/>
  <c r="I69"/>
  <c r="H69"/>
  <c r="G69"/>
  <c r="F69"/>
  <c r="E69"/>
  <c r="D69"/>
  <c r="C69"/>
  <c r="K68"/>
  <c r="M68" s="1"/>
  <c r="J68"/>
  <c r="I68"/>
  <c r="H68"/>
  <c r="G68"/>
  <c r="F68"/>
  <c r="E68"/>
  <c r="D68"/>
  <c r="C68"/>
  <c r="K67"/>
  <c r="M67" s="1"/>
  <c r="J67"/>
  <c r="I67"/>
  <c r="H67"/>
  <c r="G67"/>
  <c r="F67"/>
  <c r="E67"/>
  <c r="D67"/>
  <c r="C67"/>
  <c r="K66"/>
  <c r="J66"/>
  <c r="I66"/>
  <c r="H66"/>
  <c r="G66"/>
  <c r="F66"/>
  <c r="E66"/>
  <c r="D66"/>
  <c r="C66"/>
  <c r="K65"/>
  <c r="J65"/>
  <c r="I65"/>
  <c r="H65"/>
  <c r="G65"/>
  <c r="F65"/>
  <c r="E65"/>
  <c r="D65"/>
  <c r="C65"/>
  <c r="K64"/>
  <c r="M64" s="1"/>
  <c r="J64"/>
  <c r="I64"/>
  <c r="H64"/>
  <c r="G64"/>
  <c r="F64"/>
  <c r="E64"/>
  <c r="D64"/>
  <c r="C64"/>
  <c r="K63"/>
  <c r="M63" s="1"/>
  <c r="J63"/>
  <c r="I63"/>
  <c r="H63"/>
  <c r="G63"/>
  <c r="F63"/>
  <c r="E63"/>
  <c r="D63"/>
  <c r="C63"/>
  <c r="K62"/>
  <c r="J62"/>
  <c r="I62"/>
  <c r="H62"/>
  <c r="G62"/>
  <c r="F62"/>
  <c r="E62"/>
  <c r="D62"/>
  <c r="C62"/>
  <c r="K61"/>
  <c r="J61"/>
  <c r="I61"/>
  <c r="H61"/>
  <c r="G61"/>
  <c r="F61"/>
  <c r="E61"/>
  <c r="D61"/>
  <c r="C61"/>
  <c r="K60"/>
  <c r="J60"/>
  <c r="I60"/>
  <c r="H60"/>
  <c r="G60"/>
  <c r="F60"/>
  <c r="E60"/>
  <c r="D60"/>
  <c r="C60"/>
  <c r="K59"/>
  <c r="M59" s="1"/>
  <c r="J59"/>
  <c r="I59"/>
  <c r="H59"/>
  <c r="G59"/>
  <c r="F59"/>
  <c r="E59"/>
  <c r="D59"/>
  <c r="C59"/>
  <c r="K58"/>
  <c r="M58" s="1"/>
  <c r="J58"/>
  <c r="I58"/>
  <c r="H58"/>
  <c r="G58"/>
  <c r="F58"/>
  <c r="E58"/>
  <c r="D58"/>
  <c r="C58"/>
  <c r="K57"/>
  <c r="J57"/>
  <c r="I57"/>
  <c r="H57"/>
  <c r="G57"/>
  <c r="F57"/>
  <c r="E57"/>
  <c r="D57"/>
  <c r="C57"/>
  <c r="K56"/>
  <c r="J56"/>
  <c r="I56"/>
  <c r="H56"/>
  <c r="G56"/>
  <c r="F56"/>
  <c r="E56"/>
  <c r="D56"/>
  <c r="C56"/>
  <c r="K55"/>
  <c r="M55" s="1"/>
  <c r="J55"/>
  <c r="I55"/>
  <c r="H55"/>
  <c r="G55"/>
  <c r="F55"/>
  <c r="E55"/>
  <c r="D55"/>
  <c r="C55"/>
  <c r="K54"/>
  <c r="M54" s="1"/>
  <c r="J54"/>
  <c r="I54"/>
  <c r="H54"/>
  <c r="G54"/>
  <c r="F54"/>
  <c r="E54"/>
  <c r="D54"/>
  <c r="C54"/>
  <c r="K53"/>
  <c r="J53"/>
  <c r="I53"/>
  <c r="H53"/>
  <c r="G53"/>
  <c r="F53"/>
  <c r="E53"/>
  <c r="D53"/>
  <c r="C53"/>
  <c r="K52"/>
  <c r="J52"/>
  <c r="I52"/>
  <c r="H52"/>
  <c r="G52"/>
  <c r="F52"/>
  <c r="E52"/>
  <c r="D52"/>
  <c r="C52"/>
  <c r="K51"/>
  <c r="M51" s="1"/>
  <c r="J51"/>
  <c r="I51"/>
  <c r="H51"/>
  <c r="G51"/>
  <c r="F51"/>
  <c r="E51"/>
  <c r="D51"/>
  <c r="C51"/>
  <c r="K50"/>
  <c r="M50" s="1"/>
  <c r="J50"/>
  <c r="I50"/>
  <c r="H50"/>
  <c r="G50"/>
  <c r="F50"/>
  <c r="E50"/>
  <c r="D50"/>
  <c r="C50"/>
  <c r="K49"/>
  <c r="J49"/>
  <c r="I49"/>
  <c r="H49"/>
  <c r="G49"/>
  <c r="F49"/>
  <c r="E49"/>
  <c r="D49"/>
  <c r="C49"/>
  <c r="K48"/>
  <c r="J48"/>
  <c r="I48"/>
  <c r="H48"/>
  <c r="G48"/>
  <c r="F48"/>
  <c r="E48"/>
  <c r="D48"/>
  <c r="C48"/>
  <c r="K47"/>
  <c r="M47" s="1"/>
  <c r="J47"/>
  <c r="I47"/>
  <c r="H47"/>
  <c r="G47"/>
  <c r="F47"/>
  <c r="E47"/>
  <c r="D47"/>
  <c r="C47"/>
  <c r="K46"/>
  <c r="M46" s="1"/>
  <c r="J46"/>
  <c r="I46"/>
  <c r="H46"/>
  <c r="G46"/>
  <c r="F46"/>
  <c r="E46"/>
  <c r="D46"/>
  <c r="C46"/>
  <c r="K45"/>
  <c r="J45"/>
  <c r="I45"/>
  <c r="H45"/>
  <c r="G45"/>
  <c r="F45"/>
  <c r="E45"/>
  <c r="D45"/>
  <c r="C45"/>
  <c r="K44"/>
  <c r="J44"/>
  <c r="I44"/>
  <c r="H44"/>
  <c r="G44"/>
  <c r="F44"/>
  <c r="E44"/>
  <c r="D44"/>
  <c r="C44"/>
  <c r="K43"/>
  <c r="J43"/>
  <c r="I43"/>
  <c r="H43"/>
  <c r="G43"/>
  <c r="F43"/>
  <c r="E43"/>
  <c r="D43"/>
  <c r="C43"/>
  <c r="K42"/>
  <c r="M42" s="1"/>
  <c r="J42"/>
  <c r="I42"/>
  <c r="H42"/>
  <c r="G42"/>
  <c r="F42"/>
  <c r="E42"/>
  <c r="D42"/>
  <c r="C42"/>
  <c r="K41"/>
  <c r="M41" s="1"/>
  <c r="J41"/>
  <c r="I41"/>
  <c r="H41"/>
  <c r="G41"/>
  <c r="F41"/>
  <c r="E41"/>
  <c r="D41"/>
  <c r="C41"/>
  <c r="K40"/>
  <c r="J40"/>
  <c r="I40"/>
  <c r="H40"/>
  <c r="G40"/>
  <c r="F40"/>
  <c r="E40"/>
  <c r="D40"/>
  <c r="C40"/>
  <c r="K39"/>
  <c r="J39"/>
  <c r="I39"/>
  <c r="H39"/>
  <c r="G39"/>
  <c r="F39"/>
  <c r="E39"/>
  <c r="D39"/>
  <c r="C39"/>
  <c r="K38"/>
  <c r="J38"/>
  <c r="I38"/>
  <c r="H38"/>
  <c r="G38"/>
  <c r="F38"/>
  <c r="E38"/>
  <c r="D38"/>
  <c r="C38"/>
  <c r="K37"/>
  <c r="J37"/>
  <c r="I37"/>
  <c r="H37"/>
  <c r="G37"/>
  <c r="F37"/>
  <c r="M37" s="1"/>
  <c r="E37"/>
  <c r="D37"/>
  <c r="C37"/>
  <c r="K36"/>
  <c r="J36"/>
  <c r="I36"/>
  <c r="H36"/>
  <c r="G36"/>
  <c r="F36"/>
  <c r="E36"/>
  <c r="D36"/>
  <c r="C36"/>
  <c r="K35"/>
  <c r="J35"/>
  <c r="I35"/>
  <c r="H35"/>
  <c r="G35"/>
  <c r="F35"/>
  <c r="E35"/>
  <c r="D35"/>
  <c r="C35"/>
  <c r="K34"/>
  <c r="J34"/>
  <c r="I34"/>
  <c r="H34"/>
  <c r="G34"/>
  <c r="F34"/>
  <c r="E34"/>
  <c r="D34"/>
  <c r="C34"/>
  <c r="K33"/>
  <c r="J33"/>
  <c r="I33"/>
  <c r="H33"/>
  <c r="G33"/>
  <c r="F33"/>
  <c r="M33" s="1"/>
  <c r="E33"/>
  <c r="D33"/>
  <c r="C33"/>
  <c r="K32"/>
  <c r="J32"/>
  <c r="I32"/>
  <c r="H32"/>
  <c r="G32"/>
  <c r="F32"/>
  <c r="E32"/>
  <c r="D32"/>
  <c r="C32"/>
  <c r="K31"/>
  <c r="J31"/>
  <c r="I31"/>
  <c r="H31"/>
  <c r="G31"/>
  <c r="F31"/>
  <c r="E31"/>
  <c r="D31"/>
  <c r="C31"/>
  <c r="K30"/>
  <c r="J30"/>
  <c r="I30"/>
  <c r="H30"/>
  <c r="G30"/>
  <c r="F30"/>
  <c r="E30"/>
  <c r="D30"/>
  <c r="C30"/>
  <c r="K29"/>
  <c r="J29"/>
  <c r="I29"/>
  <c r="H29"/>
  <c r="G29"/>
  <c r="F29"/>
  <c r="M29" s="1"/>
  <c r="E29"/>
  <c r="D29"/>
  <c r="C29"/>
  <c r="K28"/>
  <c r="J28"/>
  <c r="I28"/>
  <c r="H28"/>
  <c r="G28"/>
  <c r="F28"/>
  <c r="E28"/>
  <c r="D28"/>
  <c r="C28"/>
  <c r="K27"/>
  <c r="J27"/>
  <c r="I27"/>
  <c r="H27"/>
  <c r="G27"/>
  <c r="F27"/>
  <c r="E27"/>
  <c r="D27"/>
  <c r="C27"/>
  <c r="K26"/>
  <c r="J26"/>
  <c r="I26"/>
  <c r="H26"/>
  <c r="G26"/>
  <c r="F26"/>
  <c r="E26"/>
  <c r="D26"/>
  <c r="C26"/>
  <c r="K25"/>
  <c r="J25"/>
  <c r="I25"/>
  <c r="H25"/>
  <c r="G25"/>
  <c r="F25"/>
  <c r="M25" s="1"/>
  <c r="E25"/>
  <c r="D25"/>
  <c r="C25"/>
  <c r="K24"/>
  <c r="J24"/>
  <c r="I24"/>
  <c r="H24"/>
  <c r="G24"/>
  <c r="F24"/>
  <c r="E24"/>
  <c r="D24"/>
  <c r="C24"/>
  <c r="K23"/>
  <c r="J23"/>
  <c r="I23"/>
  <c r="H23"/>
  <c r="G23"/>
  <c r="F23"/>
  <c r="E23"/>
  <c r="D23"/>
  <c r="C23"/>
  <c r="K22"/>
  <c r="J22"/>
  <c r="I22"/>
  <c r="H22"/>
  <c r="G22"/>
  <c r="F22"/>
  <c r="E22"/>
  <c r="D22"/>
  <c r="C22"/>
  <c r="M21"/>
  <c r="J21"/>
  <c r="I21"/>
  <c r="H21"/>
  <c r="G21"/>
  <c r="F21"/>
  <c r="E21"/>
  <c r="D21"/>
  <c r="C21"/>
  <c r="J20"/>
  <c r="I20"/>
  <c r="H20"/>
  <c r="G20"/>
  <c r="F20"/>
  <c r="E20"/>
  <c r="D20"/>
  <c r="C20"/>
  <c r="J19"/>
  <c r="I19"/>
  <c r="H19"/>
  <c r="G19"/>
  <c r="F19"/>
  <c r="E19"/>
  <c r="D19"/>
  <c r="C19"/>
  <c r="J18"/>
  <c r="I18"/>
  <c r="H18"/>
  <c r="G18"/>
  <c r="F18"/>
  <c r="E18"/>
  <c r="D18"/>
  <c r="C18"/>
  <c r="K17"/>
  <c r="M17" s="1"/>
  <c r="J17"/>
  <c r="I17"/>
  <c r="H17"/>
  <c r="G17"/>
  <c r="F17"/>
  <c r="E17"/>
  <c r="D17"/>
  <c r="C17"/>
  <c r="K16"/>
  <c r="M16" s="1"/>
  <c r="J16"/>
  <c r="I16"/>
  <c r="H16"/>
  <c r="G16"/>
  <c r="F16"/>
  <c r="E16"/>
  <c r="D16"/>
  <c r="C16"/>
  <c r="K15"/>
  <c r="J15"/>
  <c r="I15"/>
  <c r="H15"/>
  <c r="G15"/>
  <c r="F15"/>
  <c r="E15"/>
  <c r="D15"/>
  <c r="C15"/>
  <c r="K14"/>
  <c r="J14"/>
  <c r="I14"/>
  <c r="H14"/>
  <c r="G14"/>
  <c r="F14"/>
  <c r="E14"/>
  <c r="D14"/>
  <c r="C14"/>
  <c r="K13"/>
  <c r="M13" s="1"/>
  <c r="J13"/>
  <c r="I13"/>
  <c r="H13"/>
  <c r="G13"/>
  <c r="F13"/>
  <c r="E13"/>
  <c r="D13"/>
  <c r="C13"/>
  <c r="K12"/>
  <c r="M12" s="1"/>
  <c r="J12"/>
  <c r="I12"/>
  <c r="H12"/>
  <c r="G12"/>
  <c r="F12"/>
  <c r="E12"/>
  <c r="D12"/>
  <c r="C12"/>
  <c r="K11"/>
  <c r="J11"/>
  <c r="I11"/>
  <c r="H11"/>
  <c r="G11"/>
  <c r="F11"/>
  <c r="E11"/>
  <c r="D11"/>
  <c r="C11"/>
  <c r="K10"/>
  <c r="J10"/>
  <c r="I10"/>
  <c r="H10"/>
  <c r="G10"/>
  <c r="F10"/>
  <c r="E10"/>
  <c r="D10"/>
  <c r="C10"/>
  <c r="K9"/>
  <c r="M9" s="1"/>
  <c r="J9"/>
  <c r="I9"/>
  <c r="H9"/>
  <c r="G9"/>
  <c r="F9"/>
  <c r="E9"/>
  <c r="D9"/>
  <c r="C9"/>
  <c r="K8"/>
  <c r="M8" s="1"/>
  <c r="J8"/>
  <c r="I8"/>
  <c r="H8"/>
  <c r="G8"/>
  <c r="F8"/>
  <c r="E8"/>
  <c r="D8"/>
  <c r="C8"/>
  <c r="K7"/>
  <c r="J7"/>
  <c r="I7"/>
  <c r="H7"/>
  <c r="G7"/>
  <c r="F7"/>
  <c r="E7"/>
  <c r="D7"/>
  <c r="C7"/>
  <c r="K6"/>
  <c r="J6"/>
  <c r="I6"/>
  <c r="H6"/>
  <c r="G6"/>
  <c r="F6"/>
  <c r="E6"/>
  <c r="D6"/>
  <c r="C6"/>
  <c r="A41" i="31364"/>
  <c r="P25" i="31417" l="1"/>
  <c r="O26"/>
  <c r="D31" i="31409"/>
  <c r="D34" s="1"/>
  <c r="D40" s="1"/>
  <c r="D36" i="31406"/>
  <c r="D36" i="31405" s="1"/>
  <c r="N42" i="31417"/>
  <c r="D44"/>
  <c r="M43"/>
  <c r="H33" i="31405"/>
  <c r="H36" i="31406"/>
  <c r="H36" i="31405" s="1"/>
  <c r="E33"/>
  <c r="E36" i="31406"/>
  <c r="E36" i="31405" s="1"/>
  <c r="F33"/>
  <c r="F36" i="31406"/>
  <c r="F36" i="31405" s="1"/>
  <c r="G33"/>
  <c r="G36" i="31406"/>
  <c r="G36" i="31405" s="1"/>
  <c r="D33"/>
  <c r="D29"/>
  <c r="L93" i="114"/>
  <c r="L94"/>
  <c r="L88"/>
  <c r="L89"/>
  <c r="L66"/>
  <c r="L67"/>
  <c r="L74"/>
  <c r="L75"/>
  <c r="L70"/>
  <c r="L71"/>
  <c r="L49"/>
  <c r="L50"/>
  <c r="L57"/>
  <c r="L58"/>
  <c r="L53"/>
  <c r="L54"/>
  <c r="L15"/>
  <c r="L16"/>
  <c r="L40"/>
  <c r="L41"/>
  <c r="L11"/>
  <c r="L12"/>
  <c r="L20"/>
  <c r="L19"/>
  <c r="M7"/>
  <c r="L83"/>
  <c r="L84"/>
  <c r="L50" i="105"/>
  <c r="K76"/>
  <c r="L51"/>
  <c r="K77"/>
  <c r="M11" i="114"/>
  <c r="M15"/>
  <c r="M79"/>
  <c r="M83"/>
  <c r="M62"/>
  <c r="M66"/>
  <c r="M70"/>
  <c r="M74"/>
  <c r="M45"/>
  <c r="M49"/>
  <c r="M53"/>
  <c r="M57"/>
  <c r="M93"/>
  <c r="M40"/>
  <c r="M88"/>
  <c r="E13" i="108"/>
  <c r="F13" s="1"/>
  <c r="G13" s="1"/>
  <c r="H13" s="1"/>
  <c r="I13" s="1"/>
  <c r="P26" i="31417" l="1"/>
  <c r="O28"/>
  <c r="D38" i="31406"/>
  <c r="D37" i="31409"/>
  <c r="N43" i="31417"/>
  <c r="D45"/>
  <c r="M44"/>
  <c r="G38" i="31406"/>
  <c r="F38"/>
  <c r="H38"/>
  <c r="E38"/>
  <c r="I52" i="31408"/>
  <c r="I54" s="1"/>
  <c r="I52" i="31407"/>
  <c r="I54" s="1"/>
  <c r="C56"/>
  <c r="C60" i="31408"/>
  <c r="C56"/>
  <c r="C60" i="31407"/>
  <c r="C56" i="31382"/>
  <c r="C56" i="31354"/>
  <c r="C60" i="31382"/>
  <c r="C60" i="31381"/>
  <c r="C56"/>
  <c r="C60" i="31354"/>
  <c r="M50" i="105"/>
  <c r="L76"/>
  <c r="M51"/>
  <c r="L77"/>
  <c r="P28" i="31417" l="1"/>
  <c r="O29"/>
  <c r="D38" i="31409"/>
  <c r="D73"/>
  <c r="N44" i="31417"/>
  <c r="D46"/>
  <c r="M45"/>
  <c r="F37" i="31406"/>
  <c r="F37" i="31405" s="1"/>
  <c r="E37" i="31406"/>
  <c r="E37" i="31405" s="1"/>
  <c r="I36" i="31406"/>
  <c r="D37"/>
  <c r="D37" i="31405" s="1"/>
  <c r="H37" i="31406"/>
  <c r="H37" i="31405" s="1"/>
  <c r="G37" i="31406"/>
  <c r="G37" i="31405" s="1"/>
  <c r="F56" i="31408"/>
  <c r="I56"/>
  <c r="I58" s="1"/>
  <c r="E56"/>
  <c r="H56"/>
  <c r="D56"/>
  <c r="G56"/>
  <c r="H60"/>
  <c r="D60"/>
  <c r="G60"/>
  <c r="F60"/>
  <c r="I60"/>
  <c r="E60"/>
  <c r="I56" i="31407"/>
  <c r="I58" s="1"/>
  <c r="I64" s="1"/>
  <c r="E56"/>
  <c r="F56"/>
  <c r="G56"/>
  <c r="H56"/>
  <c r="D56"/>
  <c r="G60"/>
  <c r="H60"/>
  <c r="D60"/>
  <c r="I60"/>
  <c r="E60"/>
  <c r="F60"/>
  <c r="G60" i="31381"/>
  <c r="E60"/>
  <c r="I60"/>
  <c r="D60"/>
  <c r="F60"/>
  <c r="H60"/>
  <c r="H56"/>
  <c r="F56"/>
  <c r="G56"/>
  <c r="E56"/>
  <c r="I56"/>
  <c r="D56"/>
  <c r="I56" i="31382"/>
  <c r="D56"/>
  <c r="G56"/>
  <c r="H56"/>
  <c r="F56"/>
  <c r="E56"/>
  <c r="G60"/>
  <c r="D60"/>
  <c r="F60"/>
  <c r="E60"/>
  <c r="I60"/>
  <c r="H60"/>
  <c r="D18" i="31390"/>
  <c r="N50" i="105"/>
  <c r="N76" s="1"/>
  <c r="M76"/>
  <c r="N51"/>
  <c r="N77" s="1"/>
  <c r="M77"/>
  <c r="DW13" i="31371"/>
  <c r="DJ13"/>
  <c r="CX13"/>
  <c r="CR13"/>
  <c r="CL13"/>
  <c r="BY13"/>
  <c r="BS13"/>
  <c r="BM13"/>
  <c r="BG13"/>
  <c r="BA13"/>
  <c r="AU13"/>
  <c r="AO13"/>
  <c r="AH13"/>
  <c r="AB13"/>
  <c r="V13"/>
  <c r="P13"/>
  <c r="K13"/>
  <c r="B72" i="31354"/>
  <c r="B71"/>
  <c r="B70"/>
  <c r="B69"/>
  <c r="B68"/>
  <c r="B65"/>
  <c r="B64"/>
  <c r="B61"/>
  <c r="B60"/>
  <c r="B59"/>
  <c r="B58"/>
  <c r="B53"/>
  <c r="B52"/>
  <c r="B51"/>
  <c r="B50"/>
  <c r="B49"/>
  <c r="B48"/>
  <c r="B47"/>
  <c r="B46"/>
  <c r="B45"/>
  <c r="B44"/>
  <c r="B43"/>
  <c r="B42"/>
  <c r="B41"/>
  <c r="B40"/>
  <c r="B39"/>
  <c r="B38"/>
  <c r="B37"/>
  <c r="B36"/>
  <c r="B35"/>
  <c r="B34"/>
  <c r="B33"/>
  <c r="B32"/>
  <c r="B31"/>
  <c r="B30"/>
  <c r="B29"/>
  <c r="B28"/>
  <c r="B27"/>
  <c r="B26"/>
  <c r="B25"/>
  <c r="B24"/>
  <c r="B23"/>
  <c r="B22"/>
  <c r="I21"/>
  <c r="I63" s="1"/>
  <c r="H21"/>
  <c r="G21"/>
  <c r="F21"/>
  <c r="E21"/>
  <c r="D21"/>
  <c r="B21"/>
  <c r="B20"/>
  <c r="I19"/>
  <c r="H19"/>
  <c r="G19"/>
  <c r="F19"/>
  <c r="E19"/>
  <c r="D19"/>
  <c r="D60" s="1"/>
  <c r="B19"/>
  <c r="B18"/>
  <c r="B15"/>
  <c r="B14"/>
  <c r="D13"/>
  <c r="I12"/>
  <c r="H12"/>
  <c r="G12"/>
  <c r="F12"/>
  <c r="E12"/>
  <c r="D12"/>
  <c r="B12"/>
  <c r="B72" i="31381"/>
  <c r="B71"/>
  <c r="B70"/>
  <c r="B69"/>
  <c r="B68"/>
  <c r="B65"/>
  <c r="B64"/>
  <c r="B61"/>
  <c r="B60"/>
  <c r="B59"/>
  <c r="B58"/>
  <c r="B53"/>
  <c r="B52"/>
  <c r="B51"/>
  <c r="B50"/>
  <c r="B49"/>
  <c r="B48"/>
  <c r="B47"/>
  <c r="B46"/>
  <c r="B45"/>
  <c r="B44"/>
  <c r="B43"/>
  <c r="B42"/>
  <c r="B41"/>
  <c r="B40"/>
  <c r="B39"/>
  <c r="B38"/>
  <c r="B37"/>
  <c r="B36"/>
  <c r="B35"/>
  <c r="B34"/>
  <c r="B33"/>
  <c r="B32"/>
  <c r="B31"/>
  <c r="B30"/>
  <c r="B29"/>
  <c r="B28"/>
  <c r="B27"/>
  <c r="B26"/>
  <c r="B25"/>
  <c r="B24"/>
  <c r="B23"/>
  <c r="B22"/>
  <c r="B21"/>
  <c r="B20"/>
  <c r="B19"/>
  <c r="B18"/>
  <c r="B15"/>
  <c r="B14"/>
  <c r="B12"/>
  <c r="E13" i="31354" l="1"/>
  <c r="F13" s="1"/>
  <c r="G13" s="1"/>
  <c r="H13" s="1"/>
  <c r="I13" s="1"/>
  <c r="C55" i="31380"/>
  <c r="I64" i="31408"/>
  <c r="P29" i="31417"/>
  <c r="O30"/>
  <c r="N45"/>
  <c r="D47"/>
  <c r="M46"/>
  <c r="I37" i="31405"/>
  <c r="I36"/>
  <c r="H38"/>
  <c r="F38"/>
  <c r="G38"/>
  <c r="E38"/>
  <c r="D38"/>
  <c r="I39"/>
  <c r="I40"/>
  <c r="D63" i="31354"/>
  <c r="G63"/>
  <c r="F63"/>
  <c r="H63"/>
  <c r="E63"/>
  <c r="I38" i="31406"/>
  <c r="I46" i="31405" s="1"/>
  <c r="I52"/>
  <c r="I54" s="1"/>
  <c r="H18" i="31390"/>
  <c r="F18"/>
  <c r="E18"/>
  <c r="G18"/>
  <c r="I18"/>
  <c r="E38" i="108"/>
  <c r="D38"/>
  <c r="F56" i="31354"/>
  <c r="E56"/>
  <c r="I56"/>
  <c r="H56"/>
  <c r="G56"/>
  <c r="D56"/>
  <c r="D22"/>
  <c r="D25" s="1"/>
  <c r="D26" s="1"/>
  <c r="F22"/>
  <c r="F23" s="1"/>
  <c r="H22"/>
  <c r="H23" s="1"/>
  <c r="E22"/>
  <c r="E23" s="1"/>
  <c r="G22"/>
  <c r="G23" s="1"/>
  <c r="I22"/>
  <c r="I23" s="1"/>
  <c r="F32" i="31364"/>
  <c r="D30"/>
  <c r="P30" i="31417" l="1"/>
  <c r="O31"/>
  <c r="N46"/>
  <c r="D48"/>
  <c r="M47"/>
  <c r="I38" i="31405"/>
  <c r="I41"/>
  <c r="I42" s="1"/>
  <c r="I43"/>
  <c r="H46"/>
  <c r="H39" i="31406"/>
  <c r="H39" i="31405" s="1"/>
  <c r="F46"/>
  <c r="F39" i="31406"/>
  <c r="F39" i="31405" s="1"/>
  <c r="E44"/>
  <c r="E39" i="31406"/>
  <c r="E39" i="31405" s="1"/>
  <c r="G46"/>
  <c r="G39" i="31406"/>
  <c r="G39" i="31405" s="1"/>
  <c r="D44"/>
  <c r="D39" i="31406"/>
  <c r="D39" i="31405" s="1"/>
  <c r="G44"/>
  <c r="H44"/>
  <c r="I44"/>
  <c r="I45"/>
  <c r="E49"/>
  <c r="E46"/>
  <c r="D46"/>
  <c r="I49"/>
  <c r="D47"/>
  <c r="E47"/>
  <c r="H47"/>
  <c r="G47"/>
  <c r="F47"/>
  <c r="I47"/>
  <c r="I62"/>
  <c r="F38" i="108"/>
  <c r="E57" i="31354"/>
  <c r="I57"/>
  <c r="H57"/>
  <c r="G57"/>
  <c r="F57"/>
  <c r="D57"/>
  <c r="D23"/>
  <c r="H25"/>
  <c r="H26" s="1"/>
  <c r="I25"/>
  <c r="I26" s="1"/>
  <c r="E25"/>
  <c r="E26" s="1"/>
  <c r="F25"/>
  <c r="F26" s="1"/>
  <c r="G25"/>
  <c r="G26" s="1"/>
  <c r="A96" i="105"/>
  <c r="A47"/>
  <c r="B103"/>
  <c r="B102"/>
  <c r="J7" i="31380"/>
  <c r="B60" i="105"/>
  <c r="A28" i="31358"/>
  <c r="B73"/>
  <c r="B72"/>
  <c r="B71"/>
  <c r="B70"/>
  <c r="B69"/>
  <c r="B54"/>
  <c r="B52"/>
  <c r="B51"/>
  <c r="B50"/>
  <c r="B47"/>
  <c r="B46"/>
  <c r="B45"/>
  <c r="B42"/>
  <c r="B41"/>
  <c r="B40"/>
  <c r="B39"/>
  <c r="B38"/>
  <c r="B37"/>
  <c r="B35"/>
  <c r="B34"/>
  <c r="B31"/>
  <c r="B30"/>
  <c r="B29"/>
  <c r="B26"/>
  <c r="B25"/>
  <c r="B24"/>
  <c r="B23"/>
  <c r="B21"/>
  <c r="B20"/>
  <c r="B19"/>
  <c r="B18"/>
  <c r="B17"/>
  <c r="B16"/>
  <c r="B15"/>
  <c r="B14"/>
  <c r="A8"/>
  <c r="B99" i="105"/>
  <c r="B82"/>
  <c r="A73"/>
  <c r="B126"/>
  <c r="P31" i="31417" l="1"/>
  <c r="O32"/>
  <c r="N47"/>
  <c r="D49"/>
  <c r="M48"/>
  <c r="G41" i="31405"/>
  <c r="G40"/>
  <c r="F41"/>
  <c r="F40"/>
  <c r="D41"/>
  <c r="D40"/>
  <c r="E41"/>
  <c r="E40"/>
  <c r="H41"/>
  <c r="H40"/>
  <c r="G45"/>
  <c r="G43"/>
  <c r="F45"/>
  <c r="F43"/>
  <c r="D45"/>
  <c r="D43"/>
  <c r="E45"/>
  <c r="E43"/>
  <c r="H45"/>
  <c r="H43"/>
  <c r="F44"/>
  <c r="I50"/>
  <c r="G48"/>
  <c r="H48"/>
  <c r="D48"/>
  <c r="E48"/>
  <c r="F48"/>
  <c r="I48"/>
  <c r="H49"/>
  <c r="F49"/>
  <c r="F60"/>
  <c r="F61" s="1"/>
  <c r="F56"/>
  <c r="F57" s="1"/>
  <c r="I60"/>
  <c r="I56"/>
  <c r="I58" s="1"/>
  <c r="E60"/>
  <c r="E61" s="1"/>
  <c r="E56"/>
  <c r="E57" s="1"/>
  <c r="D60"/>
  <c r="D56"/>
  <c r="G60"/>
  <c r="G61" s="1"/>
  <c r="G56"/>
  <c r="G57" s="1"/>
  <c r="H60"/>
  <c r="H61" s="1"/>
  <c r="H56"/>
  <c r="H57" s="1"/>
  <c r="D49"/>
  <c r="G49"/>
  <c r="G38" i="108"/>
  <c r="B119" i="105"/>
  <c r="B114"/>
  <c r="B113"/>
  <c r="B112"/>
  <c r="B101"/>
  <c r="B100"/>
  <c r="B87"/>
  <c r="B84"/>
  <c r="B83"/>
  <c r="B79"/>
  <c r="B78"/>
  <c r="B75"/>
  <c r="B74"/>
  <c r="B63"/>
  <c r="B64"/>
  <c r="B62"/>
  <c r="B59"/>
  <c r="B58"/>
  <c r="B57"/>
  <c r="B56"/>
  <c r="B55"/>
  <c r="B54"/>
  <c r="B53"/>
  <c r="B52"/>
  <c r="B49"/>
  <c r="B48"/>
  <c r="B44"/>
  <c r="B42"/>
  <c r="B41"/>
  <c r="B25"/>
  <c r="B24"/>
  <c r="P32" i="31417" l="1"/>
  <c r="O33"/>
  <c r="N48"/>
  <c r="D50"/>
  <c r="M49"/>
  <c r="F50" i="31405"/>
  <c r="H42"/>
  <c r="D42"/>
  <c r="G42"/>
  <c r="E42"/>
  <c r="F42"/>
  <c r="G50"/>
  <c r="D50"/>
  <c r="E50"/>
  <c r="H50"/>
  <c r="D57"/>
  <c r="C56"/>
  <c r="C60"/>
  <c r="D61"/>
  <c r="I64"/>
  <c r="H38" i="108"/>
  <c r="C27" i="105"/>
  <c r="A27"/>
  <c r="B7"/>
  <c r="A66" i="31390" s="1"/>
  <c r="P33" i="31417" l="1"/>
  <c r="O34"/>
  <c r="N49"/>
  <c r="D51"/>
  <c r="M50"/>
  <c r="H54" i="31380"/>
  <c r="G54"/>
  <c r="F54"/>
  <c r="E54"/>
  <c r="D54"/>
  <c r="C54"/>
  <c r="C35"/>
  <c r="P34" i="31417" l="1"/>
  <c r="O35"/>
  <c r="N50"/>
  <c r="D52"/>
  <c r="D53" s="1"/>
  <c r="M51"/>
  <c r="I38" i="108"/>
  <c r="G6" i="31363"/>
  <c r="G18"/>
  <c r="A53" i="31380"/>
  <c r="A39"/>
  <c r="P35" i="31417" l="1"/>
  <c r="O36"/>
  <c r="N51"/>
  <c r="D54"/>
  <c r="M52"/>
  <c r="B1" i="31367"/>
  <c r="P36" i="31417" l="1"/>
  <c r="O37"/>
  <c r="N52"/>
  <c r="M53"/>
  <c r="D55"/>
  <c r="M54"/>
  <c r="A55" i="31364"/>
  <c r="B66"/>
  <c r="A53"/>
  <c r="A9" i="105"/>
  <c r="P37" i="31417" l="1"/>
  <c r="O38"/>
  <c r="N54"/>
  <c r="D56"/>
  <c r="M55"/>
  <c r="T30" i="105"/>
  <c r="T31"/>
  <c r="T32"/>
  <c r="T33"/>
  <c r="T34"/>
  <c r="T35"/>
  <c r="T36"/>
  <c r="T37"/>
  <c r="T38"/>
  <c r="P38" i="31417" l="1"/>
  <c r="O39"/>
  <c r="N55"/>
  <c r="D57"/>
  <c r="M56"/>
  <c r="T29" i="105"/>
  <c r="T28"/>
  <c r="Q38"/>
  <c r="B38" s="1"/>
  <c r="Q37"/>
  <c r="B37" s="1"/>
  <c r="Q36"/>
  <c r="B36" s="1"/>
  <c r="Q35"/>
  <c r="B35" s="1"/>
  <c r="Q34"/>
  <c r="B34" s="1"/>
  <c r="Q33"/>
  <c r="B33" s="1"/>
  <c r="Q32"/>
  <c r="B32" s="1"/>
  <c r="Q30"/>
  <c r="B30" s="1"/>
  <c r="Q29"/>
  <c r="B29" s="1"/>
  <c r="Q28"/>
  <c r="B28" s="1"/>
  <c r="A37" i="31380"/>
  <c r="A22"/>
  <c r="A20"/>
  <c r="A18"/>
  <c r="P39" i="31417" l="1"/>
  <c r="O41"/>
  <c r="N56"/>
  <c r="D58"/>
  <c r="M57"/>
  <c r="E48" i="31380"/>
  <c r="E47"/>
  <c r="G34"/>
  <c r="E34"/>
  <c r="K35"/>
  <c r="H35"/>
  <c r="G35"/>
  <c r="F35"/>
  <c r="E35"/>
  <c r="D35"/>
  <c r="B35"/>
  <c r="A35"/>
  <c r="A31"/>
  <c r="G15"/>
  <c r="E15"/>
  <c r="B16"/>
  <c r="C16"/>
  <c r="D16"/>
  <c r="E16"/>
  <c r="F16"/>
  <c r="G16"/>
  <c r="H16"/>
  <c r="K16"/>
  <c r="A16"/>
  <c r="A12"/>
  <c r="A1"/>
  <c r="AD68"/>
  <c r="AB68"/>
  <c r="AD67"/>
  <c r="AB67"/>
  <c r="AD66"/>
  <c r="AB66"/>
  <c r="AD65"/>
  <c r="AB65"/>
  <c r="AD64"/>
  <c r="AD69" s="1"/>
  <c r="AB64"/>
  <c r="AD61"/>
  <c r="AB61"/>
  <c r="AD60"/>
  <c r="AB60"/>
  <c r="AD59"/>
  <c r="AB59"/>
  <c r="AD58"/>
  <c r="AB58"/>
  <c r="AD57"/>
  <c r="AD62" s="1"/>
  <c r="AB57"/>
  <c r="AE55"/>
  <c r="AE67" s="1"/>
  <c r="AH48"/>
  <c r="AH47"/>
  <c r="AG45"/>
  <c r="AE45"/>
  <c r="AG43"/>
  <c r="AE43"/>
  <c r="AG41"/>
  <c r="AE41"/>
  <c r="AG39"/>
  <c r="AE39"/>
  <c r="AG37"/>
  <c r="AE37"/>
  <c r="AG26"/>
  <c r="AE26"/>
  <c r="AG24"/>
  <c r="AE24"/>
  <c r="AG22"/>
  <c r="AE22"/>
  <c r="AG20"/>
  <c r="AE20"/>
  <c r="AG18"/>
  <c r="AE18"/>
  <c r="AL7"/>
  <c r="AG7"/>
  <c r="AG6"/>
  <c r="AF4"/>
  <c r="AB4"/>
  <c r="R68"/>
  <c r="P68"/>
  <c r="R67"/>
  <c r="P67"/>
  <c r="R66"/>
  <c r="P66"/>
  <c r="R65"/>
  <c r="P65"/>
  <c r="R64"/>
  <c r="R69" s="1"/>
  <c r="P64"/>
  <c r="R61"/>
  <c r="P61"/>
  <c r="R60"/>
  <c r="P60"/>
  <c r="R59"/>
  <c r="P59"/>
  <c r="R58"/>
  <c r="P58"/>
  <c r="R57"/>
  <c r="R62" s="1"/>
  <c r="P57"/>
  <c r="S55"/>
  <c r="S67" s="1"/>
  <c r="V48"/>
  <c r="V47"/>
  <c r="U45"/>
  <c r="S45"/>
  <c r="U43"/>
  <c r="S43"/>
  <c r="U41"/>
  <c r="S41"/>
  <c r="U39"/>
  <c r="S39"/>
  <c r="U37"/>
  <c r="S37"/>
  <c r="U26"/>
  <c r="S26"/>
  <c r="U24"/>
  <c r="S24"/>
  <c r="U22"/>
  <c r="S22"/>
  <c r="U20"/>
  <c r="S20"/>
  <c r="U18"/>
  <c r="S18"/>
  <c r="Z7"/>
  <c r="U7"/>
  <c r="U6"/>
  <c r="T4"/>
  <c r="P4"/>
  <c r="E1" i="31382"/>
  <c r="E1" i="31381"/>
  <c r="E1" i="31354"/>
  <c r="B72" i="31382"/>
  <c r="B71"/>
  <c r="B70"/>
  <c r="B69"/>
  <c r="B68"/>
  <c r="B65"/>
  <c r="B64"/>
  <c r="B61"/>
  <c r="B60"/>
  <c r="B59"/>
  <c r="B58"/>
  <c r="B53"/>
  <c r="B52"/>
  <c r="B51"/>
  <c r="B50"/>
  <c r="B49"/>
  <c r="B48"/>
  <c r="B47"/>
  <c r="B46"/>
  <c r="B45"/>
  <c r="B44"/>
  <c r="B43"/>
  <c r="B42"/>
  <c r="B41"/>
  <c r="B40"/>
  <c r="B39"/>
  <c r="B38"/>
  <c r="B37"/>
  <c r="B36"/>
  <c r="B35"/>
  <c r="B34"/>
  <c r="B33"/>
  <c r="B32"/>
  <c r="B31"/>
  <c r="B30"/>
  <c r="B29"/>
  <c r="B28"/>
  <c r="B27"/>
  <c r="B26"/>
  <c r="B25"/>
  <c r="B24"/>
  <c r="B23"/>
  <c r="B22"/>
  <c r="B21"/>
  <c r="B20"/>
  <c r="B19"/>
  <c r="B18"/>
  <c r="B15"/>
  <c r="B14"/>
  <c r="B12"/>
  <c r="B7"/>
  <c r="B6"/>
  <c r="B4"/>
  <c r="B7" i="31381"/>
  <c r="B6"/>
  <c r="B4"/>
  <c r="B7" i="31354"/>
  <c r="B6"/>
  <c r="B4"/>
  <c r="L60" i="31382"/>
  <c r="L60" i="31381"/>
  <c r="L60" i="31354"/>
  <c r="B76" i="108"/>
  <c r="B74"/>
  <c r="B73"/>
  <c r="B72"/>
  <c r="B71"/>
  <c r="B70"/>
  <c r="B69"/>
  <c r="B68"/>
  <c r="B7"/>
  <c r="B6"/>
  <c r="B65"/>
  <c r="B64"/>
  <c r="B61"/>
  <c r="B60"/>
  <c r="B59"/>
  <c r="B58"/>
  <c r="B53"/>
  <c r="B52"/>
  <c r="B51"/>
  <c r="B50"/>
  <c r="B49"/>
  <c r="B48"/>
  <c r="B47"/>
  <c r="B46"/>
  <c r="B45"/>
  <c r="B44"/>
  <c r="B43"/>
  <c r="B42"/>
  <c r="B41"/>
  <c r="B40"/>
  <c r="B39"/>
  <c r="B38"/>
  <c r="B37"/>
  <c r="B36"/>
  <c r="B35"/>
  <c r="B34"/>
  <c r="B33"/>
  <c r="B32"/>
  <c r="B31"/>
  <c r="B30"/>
  <c r="B29"/>
  <c r="B28"/>
  <c r="B27"/>
  <c r="B26"/>
  <c r="B25"/>
  <c r="B24"/>
  <c r="B23"/>
  <c r="B22"/>
  <c r="B21"/>
  <c r="B20"/>
  <c r="B19"/>
  <c r="B18"/>
  <c r="B15"/>
  <c r="B14"/>
  <c r="E12"/>
  <c r="F12"/>
  <c r="G12"/>
  <c r="H12"/>
  <c r="I12"/>
  <c r="D12"/>
  <c r="B12"/>
  <c r="E1"/>
  <c r="L60"/>
  <c r="A4" i="31380"/>
  <c r="B54" i="31363"/>
  <c r="B52"/>
  <c r="B51"/>
  <c r="B50"/>
  <c r="B49"/>
  <c r="F42"/>
  <c r="I32"/>
  <c r="I31"/>
  <c r="I30"/>
  <c r="I29"/>
  <c r="I28"/>
  <c r="I27"/>
  <c r="I26"/>
  <c r="I25"/>
  <c r="I42"/>
  <c r="I40"/>
  <c r="I39"/>
  <c r="I38"/>
  <c r="I37"/>
  <c r="I36"/>
  <c r="I35"/>
  <c r="G42"/>
  <c r="F41"/>
  <c r="F40"/>
  <c r="F39"/>
  <c r="F38"/>
  <c r="F37"/>
  <c r="F36"/>
  <c r="C42"/>
  <c r="B42"/>
  <c r="B41"/>
  <c r="B40"/>
  <c r="B39"/>
  <c r="B38"/>
  <c r="B37"/>
  <c r="B36"/>
  <c r="B33"/>
  <c r="B32"/>
  <c r="B31"/>
  <c r="B30"/>
  <c r="B29"/>
  <c r="B28"/>
  <c r="B27"/>
  <c r="B26"/>
  <c r="B25"/>
  <c r="F34"/>
  <c r="B35"/>
  <c r="B24"/>
  <c r="H23"/>
  <c r="G23"/>
  <c r="F31"/>
  <c r="F30"/>
  <c r="F29"/>
  <c r="F28"/>
  <c r="F27"/>
  <c r="F26"/>
  <c r="F25"/>
  <c r="F24"/>
  <c r="H22"/>
  <c r="G22"/>
  <c r="F22"/>
  <c r="C22"/>
  <c r="J3"/>
  <c r="L3"/>
  <c r="M5"/>
  <c r="P5"/>
  <c r="M6"/>
  <c r="P6"/>
  <c r="P26"/>
  <c r="P29"/>
  <c r="L30"/>
  <c r="L31"/>
  <c r="L42"/>
  <c r="P42"/>
  <c r="G16"/>
  <c r="F16"/>
  <c r="H19"/>
  <c r="G19"/>
  <c r="F19"/>
  <c r="E19"/>
  <c r="D19"/>
  <c r="C19"/>
  <c r="B19"/>
  <c r="F18"/>
  <c r="E18"/>
  <c r="D18"/>
  <c r="C18"/>
  <c r="B18"/>
  <c r="B17"/>
  <c r="B12"/>
  <c r="E1"/>
  <c r="B7"/>
  <c r="B21"/>
  <c r="X42"/>
  <c r="E51" i="31364"/>
  <c r="A51"/>
  <c r="C50"/>
  <c r="B50"/>
  <c r="C44"/>
  <c r="B44"/>
  <c r="A44"/>
  <c r="C43"/>
  <c r="B43"/>
  <c r="A43"/>
  <c r="C42"/>
  <c r="B42"/>
  <c r="A42"/>
  <c r="C41"/>
  <c r="B41"/>
  <c r="G39"/>
  <c r="A39"/>
  <c r="A38"/>
  <c r="A34"/>
  <c r="A33"/>
  <c r="A32"/>
  <c r="A31"/>
  <c r="E29"/>
  <c r="C29"/>
  <c r="A29"/>
  <c r="AC40"/>
  <c r="AB40"/>
  <c r="AA40"/>
  <c r="Z40"/>
  <c r="Y40"/>
  <c r="AC39"/>
  <c r="Z39"/>
  <c r="X39"/>
  <c r="V39"/>
  <c r="S40"/>
  <c r="R40"/>
  <c r="Q40"/>
  <c r="P40"/>
  <c r="O40"/>
  <c r="Q35"/>
  <c r="A46" i="31382"/>
  <c r="A46" i="31381"/>
  <c r="A46" i="31354"/>
  <c r="A47"/>
  <c r="A47" i="31381"/>
  <c r="A47" i="31382"/>
  <c r="C68" i="31380"/>
  <c r="C67"/>
  <c r="C66"/>
  <c r="C65"/>
  <c r="C64"/>
  <c r="A68"/>
  <c r="A67"/>
  <c r="C61"/>
  <c r="C60"/>
  <c r="C59"/>
  <c r="C58"/>
  <c r="C57"/>
  <c r="C62" s="1"/>
  <c r="A66"/>
  <c r="A65"/>
  <c r="A64"/>
  <c r="A61"/>
  <c r="A60"/>
  <c r="A59"/>
  <c r="A58"/>
  <c r="A57"/>
  <c r="D55"/>
  <c r="E55" s="1"/>
  <c r="F55" s="1"/>
  <c r="G55" s="1"/>
  <c r="H55" s="1"/>
  <c r="H65" s="1"/>
  <c r="D17" i="31374"/>
  <c r="P41" i="31417" l="1"/>
  <c r="O42"/>
  <c r="N57"/>
  <c r="D59"/>
  <c r="M58"/>
  <c r="D57" i="31380"/>
  <c r="F57"/>
  <c r="F58"/>
  <c r="H59"/>
  <c r="F60"/>
  <c r="H61"/>
  <c r="F64"/>
  <c r="D67"/>
  <c r="F68"/>
  <c r="F67"/>
  <c r="F66"/>
  <c r="H57"/>
  <c r="H62" s="1"/>
  <c r="H58"/>
  <c r="F59"/>
  <c r="H60"/>
  <c r="F61"/>
  <c r="H64"/>
  <c r="D65"/>
  <c r="H68"/>
  <c r="H67"/>
  <c r="H69" s="1"/>
  <c r="D47" i="31374" s="1"/>
  <c r="H66" i="31380"/>
  <c r="AR9" i="31358"/>
  <c r="AR13"/>
  <c r="AR10"/>
  <c r="B10" s="1"/>
  <c r="F65" i="31380"/>
  <c r="E57"/>
  <c r="G57"/>
  <c r="D58"/>
  <c r="G58"/>
  <c r="E58"/>
  <c r="D59"/>
  <c r="G59"/>
  <c r="E59"/>
  <c r="D60"/>
  <c r="G60"/>
  <c r="E60"/>
  <c r="D61"/>
  <c r="G61"/>
  <c r="E61"/>
  <c r="D64"/>
  <c r="G64"/>
  <c r="E64"/>
  <c r="D66"/>
  <c r="D68"/>
  <c r="G68"/>
  <c r="E68"/>
  <c r="G67"/>
  <c r="E67"/>
  <c r="G66"/>
  <c r="E66"/>
  <c r="G65"/>
  <c r="E65"/>
  <c r="E69" s="1"/>
  <c r="D44" i="31374" s="1"/>
  <c r="AE58" i="31380"/>
  <c r="AE60"/>
  <c r="AE64"/>
  <c r="AE66"/>
  <c r="AE68"/>
  <c r="AF55"/>
  <c r="AE57"/>
  <c r="AE59"/>
  <c r="AE61"/>
  <c r="AE65"/>
  <c r="S58"/>
  <c r="S60"/>
  <c r="S64"/>
  <c r="S66"/>
  <c r="S68"/>
  <c r="T55"/>
  <c r="S57"/>
  <c r="S59"/>
  <c r="S61"/>
  <c r="S65"/>
  <c r="L33" i="31363"/>
  <c r="C69" i="31380"/>
  <c r="F69"/>
  <c r="D45" i="31374" s="1"/>
  <c r="A3" i="31367"/>
  <c r="D69" i="31380" l="1"/>
  <c r="D43" i="31374" s="1"/>
  <c r="P42" i="31417"/>
  <c r="O43"/>
  <c r="N58"/>
  <c r="D60"/>
  <c r="M59"/>
  <c r="G69" i="31380"/>
  <c r="D46" i="31374" s="1"/>
  <c r="F62" i="31380"/>
  <c r="B9" i="31358"/>
  <c r="B13"/>
  <c r="D62" i="31380"/>
  <c r="E62"/>
  <c r="G62"/>
  <c r="AF68"/>
  <c r="AF66"/>
  <c r="AF64"/>
  <c r="AF60"/>
  <c r="AF58"/>
  <c r="AF67"/>
  <c r="AF65"/>
  <c r="AF61"/>
  <c r="AF59"/>
  <c r="AF57"/>
  <c r="AF62" s="1"/>
  <c r="AG55"/>
  <c r="AE62"/>
  <c r="AE69"/>
  <c r="T68"/>
  <c r="T66"/>
  <c r="T64"/>
  <c r="T60"/>
  <c r="T58"/>
  <c r="T67"/>
  <c r="T65"/>
  <c r="T61"/>
  <c r="T59"/>
  <c r="T57"/>
  <c r="U55"/>
  <c r="S62"/>
  <c r="S69"/>
  <c r="BA15" i="31371"/>
  <c r="D1" i="31358"/>
  <c r="A1"/>
  <c r="E40" i="31364"/>
  <c r="A4" i="105"/>
  <c r="A5"/>
  <c r="I60"/>
  <c r="J60" s="1"/>
  <c r="K60" s="1"/>
  <c r="L60" s="1"/>
  <c r="M60" s="1"/>
  <c r="N60" s="1"/>
  <c r="E60"/>
  <c r="I21" i="108"/>
  <c r="H21"/>
  <c r="G21"/>
  <c r="F21"/>
  <c r="E21"/>
  <c r="D21"/>
  <c r="I49" i="105"/>
  <c r="H49"/>
  <c r="G49"/>
  <c r="H48"/>
  <c r="B4" i="108"/>
  <c r="F45" i="31380"/>
  <c r="F43"/>
  <c r="F41"/>
  <c r="D45"/>
  <c r="D43"/>
  <c r="D41"/>
  <c r="D39"/>
  <c r="M39" s="1"/>
  <c r="D37"/>
  <c r="F37" s="1"/>
  <c r="F26"/>
  <c r="F22"/>
  <c r="F20"/>
  <c r="F18"/>
  <c r="D26"/>
  <c r="D24"/>
  <c r="F24" s="1"/>
  <c r="B3" i="31363"/>
  <c r="D42"/>
  <c r="I31" i="31364" s="1"/>
  <c r="N45" i="31380"/>
  <c r="N43"/>
  <c r="N41"/>
  <c r="N39"/>
  <c r="N37"/>
  <c r="N26"/>
  <c r="N24"/>
  <c r="N22"/>
  <c r="N20"/>
  <c r="N18"/>
  <c r="M45"/>
  <c r="M43"/>
  <c r="M41"/>
  <c r="M26"/>
  <c r="M24"/>
  <c r="E49" i="31367"/>
  <c r="F49" s="1"/>
  <c r="G49" s="1"/>
  <c r="H49" s="1"/>
  <c r="E34"/>
  <c r="F34" s="1"/>
  <c r="G34" s="1"/>
  <c r="H34" s="1"/>
  <c r="L16" i="31368"/>
  <c r="I16"/>
  <c r="F16"/>
  <c r="E11" i="31367"/>
  <c r="F11" s="1"/>
  <c r="G11" s="1"/>
  <c r="H11" s="1"/>
  <c r="L25" i="31368"/>
  <c r="I25"/>
  <c r="F25"/>
  <c r="I75"/>
  <c r="I74"/>
  <c r="I73"/>
  <c r="I70"/>
  <c r="I66"/>
  <c r="I65"/>
  <c r="I64"/>
  <c r="I61"/>
  <c r="F48"/>
  <c r="F78" s="1"/>
  <c r="D51" i="31367" s="1"/>
  <c r="I51" s="1"/>
  <c r="D34" i="31364" s="1"/>
  <c r="F47" i="31368"/>
  <c r="F41"/>
  <c r="F40"/>
  <c r="F39"/>
  <c r="F38"/>
  <c r="F37"/>
  <c r="F36"/>
  <c r="F35"/>
  <c r="F34"/>
  <c r="F32"/>
  <c r="F31"/>
  <c r="F28"/>
  <c r="F26"/>
  <c r="F24"/>
  <c r="F23"/>
  <c r="F22"/>
  <c r="F21"/>
  <c r="F20"/>
  <c r="F19"/>
  <c r="F18"/>
  <c r="F15"/>
  <c r="I12"/>
  <c r="I13"/>
  <c r="I71"/>
  <c r="I69"/>
  <c r="L35"/>
  <c r="I35"/>
  <c r="L34"/>
  <c r="I34"/>
  <c r="A70" i="31382"/>
  <c r="A69"/>
  <c r="A65"/>
  <c r="A64"/>
  <c r="A52"/>
  <c r="A51"/>
  <c r="A50"/>
  <c r="A49"/>
  <c r="A48"/>
  <c r="A45"/>
  <c r="A44"/>
  <c r="A43"/>
  <c r="A42"/>
  <c r="A41"/>
  <c r="A40"/>
  <c r="A39"/>
  <c r="A38"/>
  <c r="A37"/>
  <c r="A36"/>
  <c r="A35"/>
  <c r="A34"/>
  <c r="A33"/>
  <c r="A32"/>
  <c r="A31"/>
  <c r="A30"/>
  <c r="A29"/>
  <c r="A28"/>
  <c r="A27"/>
  <c r="A26"/>
  <c r="A25"/>
  <c r="A24"/>
  <c r="A23"/>
  <c r="A22"/>
  <c r="A21"/>
  <c r="A20"/>
  <c r="A19"/>
  <c r="A18"/>
  <c r="A15"/>
  <c r="A14"/>
  <c r="A70" i="31381"/>
  <c r="A69"/>
  <c r="A65"/>
  <c r="A64"/>
  <c r="A52"/>
  <c r="A51"/>
  <c r="A50"/>
  <c r="A49"/>
  <c r="A48"/>
  <c r="A45"/>
  <c r="A44"/>
  <c r="A43"/>
  <c r="A42"/>
  <c r="A41"/>
  <c r="A40"/>
  <c r="A39"/>
  <c r="A38"/>
  <c r="A37"/>
  <c r="A36"/>
  <c r="A35"/>
  <c r="A34"/>
  <c r="A33"/>
  <c r="A32"/>
  <c r="A31"/>
  <c r="A30"/>
  <c r="A29"/>
  <c r="A28"/>
  <c r="A27"/>
  <c r="A26"/>
  <c r="A25"/>
  <c r="A24"/>
  <c r="A23"/>
  <c r="A22"/>
  <c r="A21"/>
  <c r="A20"/>
  <c r="A19"/>
  <c r="A18"/>
  <c r="A15"/>
  <c r="A14"/>
  <c r="F6" i="31380"/>
  <c r="F7"/>
  <c r="D22"/>
  <c r="M22" s="1"/>
  <c r="D20"/>
  <c r="M20" s="1"/>
  <c r="D18"/>
  <c r="M18" s="1"/>
  <c r="F60" i="105"/>
  <c r="G60"/>
  <c r="H60"/>
  <c r="F49"/>
  <c r="A70" i="108"/>
  <c r="A69"/>
  <c r="A65"/>
  <c r="A64"/>
  <c r="A61"/>
  <c r="A60"/>
  <c r="A59"/>
  <c r="A58"/>
  <c r="A53"/>
  <c r="A52"/>
  <c r="A51"/>
  <c r="A50"/>
  <c r="A49"/>
  <c r="A48"/>
  <c r="A45"/>
  <c r="A44"/>
  <c r="A43"/>
  <c r="A42"/>
  <c r="A41"/>
  <c r="A40"/>
  <c r="A39"/>
  <c r="A38"/>
  <c r="A37"/>
  <c r="A36"/>
  <c r="A35"/>
  <c r="A34"/>
  <c r="A33"/>
  <c r="A32"/>
  <c r="A31"/>
  <c r="A30"/>
  <c r="A29"/>
  <c r="A28"/>
  <c r="A27"/>
  <c r="A26"/>
  <c r="A25"/>
  <c r="A24"/>
  <c r="A23"/>
  <c r="A22"/>
  <c r="A21"/>
  <c r="A20"/>
  <c r="A19"/>
  <c r="A18"/>
  <c r="A15"/>
  <c r="A14"/>
  <c r="A70" i="31354"/>
  <c r="A69"/>
  <c r="A28"/>
  <c r="A29"/>
  <c r="A39"/>
  <c r="A32"/>
  <c r="F42" i="3137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A15" i="31354"/>
  <c r="A18"/>
  <c r="A19"/>
  <c r="A20"/>
  <c r="A21"/>
  <c r="A22"/>
  <c r="A23"/>
  <c r="A24"/>
  <c r="A25"/>
  <c r="A26"/>
  <c r="A27"/>
  <c r="A30"/>
  <c r="A31"/>
  <c r="A33"/>
  <c r="A34"/>
  <c r="A35"/>
  <c r="A36"/>
  <c r="A37"/>
  <c r="A38"/>
  <c r="A40"/>
  <c r="A41"/>
  <c r="A42"/>
  <c r="A43"/>
  <c r="A44"/>
  <c r="A45"/>
  <c r="A48"/>
  <c r="A49"/>
  <c r="A50"/>
  <c r="A51"/>
  <c r="A52"/>
  <c r="A53"/>
  <c r="A58"/>
  <c r="A59"/>
  <c r="A61"/>
  <c r="A64"/>
  <c r="A65"/>
  <c r="A14"/>
  <c r="DN65" i="31371"/>
  <c r="DM65"/>
  <c r="DL65"/>
  <c r="DK65"/>
  <c r="DJ65"/>
  <c r="DB65"/>
  <c r="DA65"/>
  <c r="CZ65"/>
  <c r="CY65"/>
  <c r="CX65"/>
  <c r="CV65"/>
  <c r="CU65"/>
  <c r="CT65"/>
  <c r="CS65"/>
  <c r="CR65"/>
  <c r="CP65"/>
  <c r="CO65"/>
  <c r="CN65"/>
  <c r="CM65"/>
  <c r="CL65"/>
  <c r="CC65"/>
  <c r="CB65"/>
  <c r="CA65"/>
  <c r="BZ65"/>
  <c r="BY65"/>
  <c r="BW65"/>
  <c r="BV65"/>
  <c r="BU65"/>
  <c r="BT65"/>
  <c r="BS65"/>
  <c r="BQ65"/>
  <c r="BP65"/>
  <c r="BO65"/>
  <c r="BN65"/>
  <c r="BM65"/>
  <c r="BK65"/>
  <c r="BJ65"/>
  <c r="BI65"/>
  <c r="BH65"/>
  <c r="BG65"/>
  <c r="BE65"/>
  <c r="BD65"/>
  <c r="BC65"/>
  <c r="BB65"/>
  <c r="BA65"/>
  <c r="AY65"/>
  <c r="AX65"/>
  <c r="AW65"/>
  <c r="AV65"/>
  <c r="AU65"/>
  <c r="AS65"/>
  <c r="AR65"/>
  <c r="AQ65"/>
  <c r="AP65"/>
  <c r="AO65"/>
  <c r="AL65"/>
  <c r="AK65"/>
  <c r="AJ65"/>
  <c r="AI65"/>
  <c r="AH65"/>
  <c r="AF65"/>
  <c r="AE65"/>
  <c r="AD65"/>
  <c r="AC65"/>
  <c r="AB65"/>
  <c r="Z65"/>
  <c r="Y65"/>
  <c r="X65"/>
  <c r="W65"/>
  <c r="V65"/>
  <c r="DN64"/>
  <c r="DM64"/>
  <c r="DL64"/>
  <c r="DK64"/>
  <c r="DJ64"/>
  <c r="DB64"/>
  <c r="DA64"/>
  <c r="CZ64"/>
  <c r="CY64"/>
  <c r="CX64"/>
  <c r="CV64"/>
  <c r="CU64"/>
  <c r="CT64"/>
  <c r="CS64"/>
  <c r="CR64"/>
  <c r="CP64"/>
  <c r="CO64"/>
  <c r="CN64"/>
  <c r="CM64"/>
  <c r="CL64"/>
  <c r="CC64"/>
  <c r="CB64"/>
  <c r="CA64"/>
  <c r="BZ64"/>
  <c r="BY64"/>
  <c r="BW64"/>
  <c r="BV64"/>
  <c r="BU64"/>
  <c r="BT64"/>
  <c r="BS64"/>
  <c r="BQ64"/>
  <c r="BP64"/>
  <c r="BO64"/>
  <c r="BN64"/>
  <c r="BM64"/>
  <c r="BK64"/>
  <c r="BJ64"/>
  <c r="BI64"/>
  <c r="BH64"/>
  <c r="BG64"/>
  <c r="BE64"/>
  <c r="BD64"/>
  <c r="BC64"/>
  <c r="BB64"/>
  <c r="BA64"/>
  <c r="AY64"/>
  <c r="AX64"/>
  <c r="AW64"/>
  <c r="AV64"/>
  <c r="AU64"/>
  <c r="AS64"/>
  <c r="AR64"/>
  <c r="AQ64"/>
  <c r="AP64"/>
  <c r="AO64"/>
  <c r="AL64"/>
  <c r="AK64"/>
  <c r="AJ64"/>
  <c r="AI64"/>
  <c r="AH64"/>
  <c r="AF64"/>
  <c r="AE64"/>
  <c r="AD64"/>
  <c r="AC64"/>
  <c r="AB64"/>
  <c r="Z64"/>
  <c r="Y64"/>
  <c r="X64"/>
  <c r="W64"/>
  <c r="V64"/>
  <c r="AS63"/>
  <c r="AR63"/>
  <c r="AQ63"/>
  <c r="AP63"/>
  <c r="AO63"/>
  <c r="DN62"/>
  <c r="DM62"/>
  <c r="DL62"/>
  <c r="DK62"/>
  <c r="DJ62"/>
  <c r="DB62"/>
  <c r="DA62"/>
  <c r="CZ62"/>
  <c r="CY62"/>
  <c r="CX62"/>
  <c r="CV62"/>
  <c r="CU62"/>
  <c r="CT62"/>
  <c r="CS62"/>
  <c r="CR62"/>
  <c r="CP62"/>
  <c r="CO62"/>
  <c r="CN62"/>
  <c r="CM62"/>
  <c r="CL62"/>
  <c r="CC62"/>
  <c r="CB62"/>
  <c r="CA62"/>
  <c r="BZ62"/>
  <c r="BY62"/>
  <c r="BW62"/>
  <c r="BV62"/>
  <c r="BU62"/>
  <c r="BT62"/>
  <c r="BS62"/>
  <c r="BQ62"/>
  <c r="BP62"/>
  <c r="BO62"/>
  <c r="BN62"/>
  <c r="BM62"/>
  <c r="BK62"/>
  <c r="BJ62"/>
  <c r="BI62"/>
  <c r="BH62"/>
  <c r="BG62"/>
  <c r="BE62"/>
  <c r="BD62"/>
  <c r="BC62"/>
  <c r="BB62"/>
  <c r="BA62"/>
  <c r="AY62"/>
  <c r="AX62"/>
  <c r="AW62"/>
  <c r="AV62"/>
  <c r="AU62"/>
  <c r="AS62"/>
  <c r="AR62"/>
  <c r="AQ62"/>
  <c r="AP62"/>
  <c r="AO62"/>
  <c r="AL62"/>
  <c r="AK62"/>
  <c r="AJ62"/>
  <c r="AI62"/>
  <c r="AH62"/>
  <c r="AF62"/>
  <c r="AE62"/>
  <c r="AD62"/>
  <c r="AC62"/>
  <c r="AB62"/>
  <c r="Z62"/>
  <c r="Y62"/>
  <c r="X62"/>
  <c r="W62"/>
  <c r="V62"/>
  <c r="DN61"/>
  <c r="DM61"/>
  <c r="DL61"/>
  <c r="DK61"/>
  <c r="DJ61"/>
  <c r="DB61"/>
  <c r="DA61"/>
  <c r="CZ61"/>
  <c r="CY61"/>
  <c r="CX61"/>
  <c r="CV61"/>
  <c r="CU61"/>
  <c r="CT61"/>
  <c r="CS61"/>
  <c r="CR61"/>
  <c r="CP61"/>
  <c r="CO61"/>
  <c r="CN61"/>
  <c r="CM61"/>
  <c r="CL61"/>
  <c r="CC61"/>
  <c r="CB61"/>
  <c r="CA61"/>
  <c r="BZ61"/>
  <c r="BY61"/>
  <c r="BW61"/>
  <c r="BV61"/>
  <c r="BU61"/>
  <c r="BT61"/>
  <c r="BS61"/>
  <c r="BQ61"/>
  <c r="BP61"/>
  <c r="BO61"/>
  <c r="BN61"/>
  <c r="BM61"/>
  <c r="BK61"/>
  <c r="BJ61"/>
  <c r="BI61"/>
  <c r="BH61"/>
  <c r="BG61"/>
  <c r="BE61"/>
  <c r="BD61"/>
  <c r="BC61"/>
  <c r="BB61"/>
  <c r="BA61"/>
  <c r="AY61"/>
  <c r="AX61"/>
  <c r="AW61"/>
  <c r="AV61"/>
  <c r="AU61"/>
  <c r="AS61"/>
  <c r="AR61"/>
  <c r="AQ61"/>
  <c r="AP61"/>
  <c r="AO61"/>
  <c r="AL61"/>
  <c r="AK61"/>
  <c r="AJ61"/>
  <c r="AI61"/>
  <c r="AH61"/>
  <c r="AF61"/>
  <c r="AE61"/>
  <c r="AD61"/>
  <c r="AC61"/>
  <c r="AB61"/>
  <c r="Z61"/>
  <c r="Y61"/>
  <c r="X61"/>
  <c r="W61"/>
  <c r="V61"/>
  <c r="DN60"/>
  <c r="DM60"/>
  <c r="DL60"/>
  <c r="DK60"/>
  <c r="DJ60"/>
  <c r="DB60"/>
  <c r="DA60"/>
  <c r="CZ60"/>
  <c r="CY60"/>
  <c r="CX60"/>
  <c r="CV60"/>
  <c r="CU60"/>
  <c r="CT60"/>
  <c r="CS60"/>
  <c r="CR60"/>
  <c r="CP60"/>
  <c r="CO60"/>
  <c r="CN60"/>
  <c r="CM60"/>
  <c r="CL60"/>
  <c r="CC60"/>
  <c r="CB60"/>
  <c r="CA60"/>
  <c r="BZ60"/>
  <c r="BY60"/>
  <c r="BW60"/>
  <c r="BV60"/>
  <c r="BU60"/>
  <c r="BT60"/>
  <c r="BS60"/>
  <c r="BQ60"/>
  <c r="BP60"/>
  <c r="BO60"/>
  <c r="BN60"/>
  <c r="BM60"/>
  <c r="BK60"/>
  <c r="BJ60"/>
  <c r="BI60"/>
  <c r="BH60"/>
  <c r="BG60"/>
  <c r="BE60"/>
  <c r="BD60"/>
  <c r="BC60"/>
  <c r="BB60"/>
  <c r="BA60"/>
  <c r="AY60"/>
  <c r="AX60"/>
  <c r="AW60"/>
  <c r="AV60"/>
  <c r="AU60"/>
  <c r="AS60"/>
  <c r="AR60"/>
  <c r="AQ60"/>
  <c r="AP60"/>
  <c r="AO60"/>
  <c r="AL60"/>
  <c r="AK60"/>
  <c r="AJ60"/>
  <c r="AI60"/>
  <c r="AH60"/>
  <c r="AF60"/>
  <c r="AE60"/>
  <c r="AD60"/>
  <c r="AC60"/>
  <c r="AB60"/>
  <c r="Z60"/>
  <c r="Y60"/>
  <c r="X60"/>
  <c r="W60"/>
  <c r="V60"/>
  <c r="AS59"/>
  <c r="AR59"/>
  <c r="AQ59"/>
  <c r="AP59"/>
  <c r="AO59"/>
  <c r="DN54"/>
  <c r="DM54"/>
  <c r="DL54"/>
  <c r="DK54"/>
  <c r="DJ54"/>
  <c r="DB54"/>
  <c r="DA54"/>
  <c r="CZ54"/>
  <c r="CY54"/>
  <c r="CX54"/>
  <c r="CV54"/>
  <c r="CU54"/>
  <c r="CT54"/>
  <c r="CS54"/>
  <c r="CR54"/>
  <c r="CP54"/>
  <c r="CO54"/>
  <c r="CN54"/>
  <c r="CM54"/>
  <c r="CL54"/>
  <c r="CC54"/>
  <c r="CB54"/>
  <c r="CA54"/>
  <c r="BZ54"/>
  <c r="BY54"/>
  <c r="BW54"/>
  <c r="BV54"/>
  <c r="BU54"/>
  <c r="BT54"/>
  <c r="BS54"/>
  <c r="BQ54"/>
  <c r="BP54"/>
  <c r="BO54"/>
  <c r="BN54"/>
  <c r="BM54"/>
  <c r="BK54"/>
  <c r="BJ54"/>
  <c r="BI54"/>
  <c r="BH54"/>
  <c r="BG54"/>
  <c r="BE54"/>
  <c r="BD54"/>
  <c r="BC54"/>
  <c r="BB54"/>
  <c r="BA54"/>
  <c r="AY54"/>
  <c r="AX54"/>
  <c r="AW54"/>
  <c r="AV54"/>
  <c r="AU54"/>
  <c r="AS54"/>
  <c r="AR54"/>
  <c r="AQ54"/>
  <c r="AP54"/>
  <c r="AO54"/>
  <c r="AL54"/>
  <c r="AK54"/>
  <c r="AJ54"/>
  <c r="AI54"/>
  <c r="AH54"/>
  <c r="AF54"/>
  <c r="AE54"/>
  <c r="AD54"/>
  <c r="AC54"/>
  <c r="AB54"/>
  <c r="Z54"/>
  <c r="H34" i="31408" s="1"/>
  <c r="H52" s="1"/>
  <c r="H54" s="1"/>
  <c r="H58" s="1"/>
  <c r="H64" s="1"/>
  <c r="Y54" i="31371"/>
  <c r="G34" i="31408" s="1"/>
  <c r="G52" s="1"/>
  <c r="G54" s="1"/>
  <c r="G58" s="1"/>
  <c r="G64" s="1"/>
  <c r="X54" i="31371"/>
  <c r="F34" i="31408" s="1"/>
  <c r="F52" s="1"/>
  <c r="F54" s="1"/>
  <c r="F58" s="1"/>
  <c r="F64" s="1"/>
  <c r="W54" i="31371"/>
  <c r="E34" i="31408" s="1"/>
  <c r="E52" s="1"/>
  <c r="E54" s="1"/>
  <c r="E58" s="1"/>
  <c r="E64" s="1"/>
  <c r="V54" i="31371"/>
  <c r="D34" i="31408" s="1"/>
  <c r="D52" s="1"/>
  <c r="D54" s="1"/>
  <c r="D58" s="1"/>
  <c r="D64" s="1"/>
  <c r="DN50" i="31371"/>
  <c r="DM50"/>
  <c r="DL50"/>
  <c r="DK50"/>
  <c r="DJ50"/>
  <c r="DB50"/>
  <c r="DA50"/>
  <c r="CZ50"/>
  <c r="CY50"/>
  <c r="CX50"/>
  <c r="CV50"/>
  <c r="CU50"/>
  <c r="CT50"/>
  <c r="CS50"/>
  <c r="CR50"/>
  <c r="CP50"/>
  <c r="CO50"/>
  <c r="CN50"/>
  <c r="CM50"/>
  <c r="CL50"/>
  <c r="CC50"/>
  <c r="CB50"/>
  <c r="CA50"/>
  <c r="BZ50"/>
  <c r="BY50"/>
  <c r="BW50"/>
  <c r="BV50"/>
  <c r="BU50"/>
  <c r="BT50"/>
  <c r="BS50"/>
  <c r="BQ50"/>
  <c r="BP50"/>
  <c r="BO50"/>
  <c r="BN50"/>
  <c r="BM50"/>
  <c r="BK50"/>
  <c r="BJ50"/>
  <c r="BI50"/>
  <c r="BH50"/>
  <c r="BG50"/>
  <c r="BE50"/>
  <c r="BD50"/>
  <c r="BC50"/>
  <c r="BB50"/>
  <c r="BA50"/>
  <c r="AY50"/>
  <c r="H31" i="31405" s="1"/>
  <c r="AX50" i="31371"/>
  <c r="G31" i="31405" s="1"/>
  <c r="AW50" i="31371"/>
  <c r="F31" i="31405" s="1"/>
  <c r="AV50" i="31371"/>
  <c r="E31" i="31405" s="1"/>
  <c r="AU50" i="31371"/>
  <c r="AS50"/>
  <c r="AR50"/>
  <c r="AQ50"/>
  <c r="AP50"/>
  <c r="AO50"/>
  <c r="AL50"/>
  <c r="H29" i="31405" s="1"/>
  <c r="AK50" i="31371"/>
  <c r="G29" i="31405" s="1"/>
  <c r="AJ50" i="31371"/>
  <c r="F29" i="31405" s="1"/>
  <c r="AI50" i="31371"/>
  <c r="E29" i="31405" s="1"/>
  <c r="AH50" i="31371"/>
  <c r="AF50"/>
  <c r="H30" i="31405" s="1"/>
  <c r="AE50" i="31371"/>
  <c r="G30" i="31405" s="1"/>
  <c r="AD50" i="31371"/>
  <c r="F30" i="31405" s="1"/>
  <c r="AC50" i="31371"/>
  <c r="E30" i="31405" s="1"/>
  <c r="AB50" i="31371"/>
  <c r="D30" i="31405" s="1"/>
  <c r="Z50" i="31371"/>
  <c r="Y50"/>
  <c r="X50"/>
  <c r="W50"/>
  <c r="V50"/>
  <c r="DN49"/>
  <c r="DM49"/>
  <c r="DL49"/>
  <c r="DK49"/>
  <c r="DJ49"/>
  <c r="DB49"/>
  <c r="DA49"/>
  <c r="CZ49"/>
  <c r="CY49"/>
  <c r="CX49"/>
  <c r="CV49"/>
  <c r="CU49"/>
  <c r="CT49"/>
  <c r="CS49"/>
  <c r="CR49"/>
  <c r="CP49"/>
  <c r="CO49"/>
  <c r="CN49"/>
  <c r="CM49"/>
  <c r="CL49"/>
  <c r="CC49"/>
  <c r="CB49"/>
  <c r="CA49"/>
  <c r="BZ49"/>
  <c r="BY49"/>
  <c r="BW49"/>
  <c r="BV49"/>
  <c r="BU49"/>
  <c r="BT49"/>
  <c r="BS49"/>
  <c r="BQ49"/>
  <c r="BP49"/>
  <c r="BO49"/>
  <c r="BN49"/>
  <c r="BM49"/>
  <c r="BK49"/>
  <c r="BJ49"/>
  <c r="BI49"/>
  <c r="BH49"/>
  <c r="BG49"/>
  <c r="BE49"/>
  <c r="BD49"/>
  <c r="BC49"/>
  <c r="BB49"/>
  <c r="BA49"/>
  <c r="AY49"/>
  <c r="AX49"/>
  <c r="AW49"/>
  <c r="AV49"/>
  <c r="AU49"/>
  <c r="AS49"/>
  <c r="AR49"/>
  <c r="AQ49"/>
  <c r="AP49"/>
  <c r="AO49"/>
  <c r="AL49"/>
  <c r="AK49"/>
  <c r="AJ49"/>
  <c r="AI49"/>
  <c r="AH49"/>
  <c r="AF49"/>
  <c r="AE49"/>
  <c r="AD49"/>
  <c r="AC49"/>
  <c r="AB49"/>
  <c r="Z49"/>
  <c r="Y49"/>
  <c r="X49"/>
  <c r="W49"/>
  <c r="V49"/>
  <c r="DN48"/>
  <c r="DM48"/>
  <c r="DL48"/>
  <c r="DK48"/>
  <c r="DJ48"/>
  <c r="DB48"/>
  <c r="DA48"/>
  <c r="CZ48"/>
  <c r="CY48"/>
  <c r="CX48"/>
  <c r="CV48"/>
  <c r="CU48"/>
  <c r="CT48"/>
  <c r="CS48"/>
  <c r="CR48"/>
  <c r="CP48"/>
  <c r="CO48"/>
  <c r="CN48"/>
  <c r="CM48"/>
  <c r="CL48"/>
  <c r="CC48"/>
  <c r="CB48"/>
  <c r="CA48"/>
  <c r="BZ48"/>
  <c r="BY48"/>
  <c r="BW48"/>
  <c r="BV48"/>
  <c r="BU48"/>
  <c r="BT48"/>
  <c r="BS48"/>
  <c r="BQ48"/>
  <c r="BP48"/>
  <c r="BO48"/>
  <c r="BN48"/>
  <c r="BM48"/>
  <c r="BK48"/>
  <c r="BJ48"/>
  <c r="BI48"/>
  <c r="BH48"/>
  <c r="BG48"/>
  <c r="BE48"/>
  <c r="BD48"/>
  <c r="BC48"/>
  <c r="BB48"/>
  <c r="BA48"/>
  <c r="AY48"/>
  <c r="AX48"/>
  <c r="AW48"/>
  <c r="AV48"/>
  <c r="AU48"/>
  <c r="AS48"/>
  <c r="AR48"/>
  <c r="AQ48"/>
  <c r="AP48"/>
  <c r="AO48"/>
  <c r="AL48"/>
  <c r="AK48"/>
  <c r="AJ48"/>
  <c r="AI48"/>
  <c r="AH48"/>
  <c r="AF48"/>
  <c r="AE48"/>
  <c r="AD48"/>
  <c r="AC48"/>
  <c r="AB48"/>
  <c r="Z48"/>
  <c r="Y48"/>
  <c r="X48"/>
  <c r="W48"/>
  <c r="V48"/>
  <c r="AS47"/>
  <c r="AR47"/>
  <c r="AQ47"/>
  <c r="AP47"/>
  <c r="AO47"/>
  <c r="DN46"/>
  <c r="DM46"/>
  <c r="DL46"/>
  <c r="DK46"/>
  <c r="DJ46"/>
  <c r="DB46"/>
  <c r="DA46"/>
  <c r="CZ46"/>
  <c r="CY46"/>
  <c r="CX46"/>
  <c r="CV46"/>
  <c r="CU46"/>
  <c r="CT46"/>
  <c r="CS46"/>
  <c r="CR46"/>
  <c r="CP46"/>
  <c r="CO46"/>
  <c r="CN46"/>
  <c r="CM46"/>
  <c r="CL46"/>
  <c r="CC46"/>
  <c r="CB46"/>
  <c r="CA46"/>
  <c r="BZ46"/>
  <c r="BY46"/>
  <c r="BW46"/>
  <c r="BV46"/>
  <c r="BU46"/>
  <c r="BT46"/>
  <c r="BS46"/>
  <c r="BQ46"/>
  <c r="BP46"/>
  <c r="BO46"/>
  <c r="BN46"/>
  <c r="BM46"/>
  <c r="BK46"/>
  <c r="BJ46"/>
  <c r="BI46"/>
  <c r="BH46"/>
  <c r="BG46"/>
  <c r="BE46"/>
  <c r="BD46"/>
  <c r="BC46"/>
  <c r="BB46"/>
  <c r="BA46"/>
  <c r="AY46"/>
  <c r="AX46"/>
  <c r="AW46"/>
  <c r="AV46"/>
  <c r="AU46"/>
  <c r="AS46"/>
  <c r="AR46"/>
  <c r="AQ46"/>
  <c r="AP46"/>
  <c r="AO46"/>
  <c r="AL46"/>
  <c r="AK46"/>
  <c r="AJ46"/>
  <c r="AI46"/>
  <c r="AH46"/>
  <c r="AF46"/>
  <c r="AE46"/>
  <c r="AD46"/>
  <c r="AC46"/>
  <c r="AB46"/>
  <c r="Z46"/>
  <c r="Y46"/>
  <c r="X46"/>
  <c r="W46"/>
  <c r="V46"/>
  <c r="CC45"/>
  <c r="CB45"/>
  <c r="CA45"/>
  <c r="BZ45"/>
  <c r="BW45"/>
  <c r="BV45"/>
  <c r="BU45"/>
  <c r="BT45"/>
  <c r="BQ45"/>
  <c r="BP45"/>
  <c r="BO45"/>
  <c r="BN45"/>
  <c r="BK45"/>
  <c r="BJ45"/>
  <c r="BI45"/>
  <c r="BH45"/>
  <c r="BE45"/>
  <c r="BD45"/>
  <c r="BC45"/>
  <c r="BB45"/>
  <c r="AS45"/>
  <c r="AR45"/>
  <c r="AQ45"/>
  <c r="AP45"/>
  <c r="AO45"/>
  <c r="DN44"/>
  <c r="DM44"/>
  <c r="DL44"/>
  <c r="DK44"/>
  <c r="DJ44"/>
  <c r="DB44"/>
  <c r="DA44"/>
  <c r="CZ44"/>
  <c r="CY44"/>
  <c r="CX44"/>
  <c r="CV44"/>
  <c r="CU44"/>
  <c r="CT44"/>
  <c r="CS44"/>
  <c r="CR44"/>
  <c r="CP44"/>
  <c r="CO44"/>
  <c r="CN44"/>
  <c r="CM44"/>
  <c r="CL44"/>
  <c r="CC44"/>
  <c r="CB44"/>
  <c r="CA44"/>
  <c r="BZ44"/>
  <c r="BY44"/>
  <c r="BW44"/>
  <c r="BV44"/>
  <c r="BU44"/>
  <c r="BT44"/>
  <c r="BS44"/>
  <c r="BQ44"/>
  <c r="BP44"/>
  <c r="BO44"/>
  <c r="BN44"/>
  <c r="BM44"/>
  <c r="BK44"/>
  <c r="BJ44"/>
  <c r="BI44"/>
  <c r="BH44"/>
  <c r="BG44"/>
  <c r="BE44"/>
  <c r="BD44"/>
  <c r="BC44"/>
  <c r="BB44"/>
  <c r="BA44"/>
  <c r="AY44"/>
  <c r="AX44"/>
  <c r="AW44"/>
  <c r="AV44"/>
  <c r="AU44"/>
  <c r="AS44"/>
  <c r="AR44"/>
  <c r="AQ44"/>
  <c r="AP44"/>
  <c r="AO44"/>
  <c r="AL44"/>
  <c r="AK44"/>
  <c r="AJ44"/>
  <c r="AI44"/>
  <c r="AH44"/>
  <c r="AF44"/>
  <c r="AE44"/>
  <c r="AD44"/>
  <c r="AC44"/>
  <c r="AB44"/>
  <c r="Z44"/>
  <c r="Y44"/>
  <c r="X44"/>
  <c r="W44"/>
  <c r="V44"/>
  <c r="DV40"/>
  <c r="T40"/>
  <c r="S40"/>
  <c r="R40"/>
  <c r="Q40"/>
  <c r="O40"/>
  <c r="EA39"/>
  <c r="DZ39"/>
  <c r="DY39"/>
  <c r="DX39"/>
  <c r="DW39"/>
  <c r="DI39"/>
  <c r="DD39"/>
  <c r="DN39" s="1"/>
  <c r="CV39"/>
  <c r="CR39"/>
  <c r="CM39"/>
  <c r="CF39"/>
  <c r="DA39"/>
  <c r="CE39"/>
  <c r="CT39" s="1"/>
  <c r="CU39"/>
  <c r="CC39"/>
  <c r="CB39"/>
  <c r="CA39"/>
  <c r="BZ39"/>
  <c r="BY39"/>
  <c r="BW39"/>
  <c r="BV39"/>
  <c r="BU39"/>
  <c r="BT39"/>
  <c r="BS39"/>
  <c r="BQ39"/>
  <c r="BP39"/>
  <c r="BO39"/>
  <c r="BN39"/>
  <c r="BM39"/>
  <c r="BK39"/>
  <c r="BJ39"/>
  <c r="BI39"/>
  <c r="BH39"/>
  <c r="BG39"/>
  <c r="BE39"/>
  <c r="BD39"/>
  <c r="BC39"/>
  <c r="BB39"/>
  <c r="BA39"/>
  <c r="AU39"/>
  <c r="AL39"/>
  <c r="AK39"/>
  <c r="AJ39"/>
  <c r="AI39"/>
  <c r="AH39"/>
  <c r="AA39"/>
  <c r="F39"/>
  <c r="EA38"/>
  <c r="DZ38"/>
  <c r="DY38"/>
  <c r="DX38"/>
  <c r="DW38"/>
  <c r="DI38"/>
  <c r="DD38"/>
  <c r="DN38" s="1"/>
  <c r="CV38"/>
  <c r="CR38"/>
  <c r="CM38"/>
  <c r="CF38"/>
  <c r="DA38"/>
  <c r="CE38"/>
  <c r="CT38" s="1"/>
  <c r="CU38"/>
  <c r="CC38"/>
  <c r="CB38"/>
  <c r="CA38"/>
  <c r="BZ38"/>
  <c r="BY38"/>
  <c r="BW38"/>
  <c r="BV38"/>
  <c r="BU38"/>
  <c r="BT38"/>
  <c r="BS38"/>
  <c r="BQ38"/>
  <c r="BP38"/>
  <c r="BO38"/>
  <c r="BN38"/>
  <c r="BM38"/>
  <c r="BK38"/>
  <c r="BJ38"/>
  <c r="BI38"/>
  <c r="BH38"/>
  <c r="BG38"/>
  <c r="BE38"/>
  <c r="BD38"/>
  <c r="BC38"/>
  <c r="BB38"/>
  <c r="BA38"/>
  <c r="AU38"/>
  <c r="AL38"/>
  <c r="AK38"/>
  <c r="AJ38"/>
  <c r="AI38"/>
  <c r="AH38"/>
  <c r="AA38"/>
  <c r="F38"/>
  <c r="EA37"/>
  <c r="DZ37"/>
  <c r="DY37"/>
  <c r="DX37"/>
  <c r="DW37"/>
  <c r="DI37"/>
  <c r="DD37"/>
  <c r="DN37" s="1"/>
  <c r="CV37"/>
  <c r="CR37"/>
  <c r="CM37"/>
  <c r="CF37"/>
  <c r="DA37"/>
  <c r="CE37"/>
  <c r="CT37" s="1"/>
  <c r="CU37"/>
  <c r="CC37"/>
  <c r="CB37"/>
  <c r="CA37"/>
  <c r="BZ37"/>
  <c r="BY37"/>
  <c r="BW37"/>
  <c r="BV37"/>
  <c r="BU37"/>
  <c r="BT37"/>
  <c r="BS37"/>
  <c r="BQ37"/>
  <c r="BP37"/>
  <c r="BO37"/>
  <c r="BN37"/>
  <c r="BM37"/>
  <c r="BK37"/>
  <c r="BJ37"/>
  <c r="BI37"/>
  <c r="BH37"/>
  <c r="BG37"/>
  <c r="BE37"/>
  <c r="BD37"/>
  <c r="BC37"/>
  <c r="BB37"/>
  <c r="BA37"/>
  <c r="AU37"/>
  <c r="AL37"/>
  <c r="AK37"/>
  <c r="AJ37"/>
  <c r="AI37"/>
  <c r="AH37"/>
  <c r="AA37"/>
  <c r="F37"/>
  <c r="EA36"/>
  <c r="DZ36"/>
  <c r="DY36"/>
  <c r="DX36"/>
  <c r="DW36"/>
  <c r="DI36"/>
  <c r="DD36"/>
  <c r="DK36" s="1"/>
  <c r="DB36"/>
  <c r="CX36"/>
  <c r="CF36"/>
  <c r="CZ36" s="1"/>
  <c r="DA36"/>
  <c r="CE36"/>
  <c r="CU36"/>
  <c r="CC36"/>
  <c r="CB36"/>
  <c r="CA36"/>
  <c r="BZ36"/>
  <c r="BY36"/>
  <c r="BW36"/>
  <c r="BV36"/>
  <c r="BU36"/>
  <c r="BT36"/>
  <c r="BS36"/>
  <c r="BQ36"/>
  <c r="BP36"/>
  <c r="BO36"/>
  <c r="BN36"/>
  <c r="BM36"/>
  <c r="BK36"/>
  <c r="BJ36"/>
  <c r="BI36"/>
  <c r="BH36"/>
  <c r="BG36"/>
  <c r="BE36"/>
  <c r="BD36"/>
  <c r="BC36"/>
  <c r="BB36"/>
  <c r="BA36"/>
  <c r="AU36"/>
  <c r="AL36"/>
  <c r="AK36"/>
  <c r="AJ36"/>
  <c r="AI36"/>
  <c r="AH36"/>
  <c r="AA36"/>
  <c r="F36"/>
  <c r="EA35"/>
  <c r="DZ35"/>
  <c r="DY35"/>
  <c r="DX35"/>
  <c r="DW35"/>
  <c r="DI35"/>
  <c r="DD35"/>
  <c r="DK35" s="1"/>
  <c r="DB35"/>
  <c r="CX35"/>
  <c r="CF35"/>
  <c r="CZ35" s="1"/>
  <c r="DA35"/>
  <c r="CE35"/>
  <c r="CU35"/>
  <c r="CC35"/>
  <c r="CB35"/>
  <c r="CA35"/>
  <c r="BZ35"/>
  <c r="BY35"/>
  <c r="BW35"/>
  <c r="BV35"/>
  <c r="BU35"/>
  <c r="BT35"/>
  <c r="BS35"/>
  <c r="BQ35"/>
  <c r="BP35"/>
  <c r="BO35"/>
  <c r="BN35"/>
  <c r="BM35"/>
  <c r="BK35"/>
  <c r="BJ35"/>
  <c r="BI35"/>
  <c r="BH35"/>
  <c r="BG35"/>
  <c r="BE35"/>
  <c r="BD35"/>
  <c r="BC35"/>
  <c r="BB35"/>
  <c r="BA35"/>
  <c r="AU35"/>
  <c r="AL35"/>
  <c r="AK35"/>
  <c r="AJ35"/>
  <c r="AI35"/>
  <c r="AH35"/>
  <c r="AA35"/>
  <c r="F35"/>
  <c r="EA34"/>
  <c r="DZ34"/>
  <c r="DY34"/>
  <c r="DX34"/>
  <c r="DW34"/>
  <c r="DI34"/>
  <c r="DD34"/>
  <c r="DK34" s="1"/>
  <c r="DB34"/>
  <c r="CX34"/>
  <c r="CF34"/>
  <c r="CZ34" s="1"/>
  <c r="DA34"/>
  <c r="CE34"/>
  <c r="CU34"/>
  <c r="CC34"/>
  <c r="CB34"/>
  <c r="CA34"/>
  <c r="BZ34"/>
  <c r="BY34"/>
  <c r="BW34"/>
  <c r="BV34"/>
  <c r="BU34"/>
  <c r="BT34"/>
  <c r="BS34"/>
  <c r="BQ34"/>
  <c r="BP34"/>
  <c r="BO34"/>
  <c r="BN34"/>
  <c r="BM34"/>
  <c r="BK34"/>
  <c r="BJ34"/>
  <c r="BI34"/>
  <c r="BH34"/>
  <c r="BG34"/>
  <c r="BE34"/>
  <c r="BD34"/>
  <c r="BC34"/>
  <c r="BB34"/>
  <c r="BA34"/>
  <c r="AU34"/>
  <c r="AL34"/>
  <c r="AK34"/>
  <c r="AJ34"/>
  <c r="AI34"/>
  <c r="AH34"/>
  <c r="AA34"/>
  <c r="F34"/>
  <c r="EA33"/>
  <c r="DZ33"/>
  <c r="DY33"/>
  <c r="DX33"/>
  <c r="DW33"/>
  <c r="DI33"/>
  <c r="DD33"/>
  <c r="DK33" s="1"/>
  <c r="DB33"/>
  <c r="CX33"/>
  <c r="CF33"/>
  <c r="CZ33" s="1"/>
  <c r="DA33"/>
  <c r="CE33"/>
  <c r="CU33"/>
  <c r="CC33"/>
  <c r="CB33"/>
  <c r="CA33"/>
  <c r="BZ33"/>
  <c r="BY33"/>
  <c r="BW33"/>
  <c r="BV33"/>
  <c r="BU33"/>
  <c r="BT33"/>
  <c r="BS33"/>
  <c r="BQ33"/>
  <c r="BP33"/>
  <c r="BO33"/>
  <c r="BN33"/>
  <c r="BM33"/>
  <c r="BK33"/>
  <c r="BJ33"/>
  <c r="BI33"/>
  <c r="BH33"/>
  <c r="BG33"/>
  <c r="BE33"/>
  <c r="BD33"/>
  <c r="BC33"/>
  <c r="BB33"/>
  <c r="BA33"/>
  <c r="AU33"/>
  <c r="AL33"/>
  <c r="AK33"/>
  <c r="AJ33"/>
  <c r="AI33"/>
  <c r="AH33"/>
  <c r="AA33"/>
  <c r="F33"/>
  <c r="EA32"/>
  <c r="DZ32"/>
  <c r="DY32"/>
  <c r="DX32"/>
  <c r="DW32"/>
  <c r="DI32"/>
  <c r="DD32"/>
  <c r="DK32" s="1"/>
  <c r="DB32"/>
  <c r="CX32"/>
  <c r="CF32"/>
  <c r="CZ32" s="1"/>
  <c r="DA32"/>
  <c r="CE32"/>
  <c r="CU32"/>
  <c r="CC32"/>
  <c r="CB32"/>
  <c r="CA32"/>
  <c r="BZ32"/>
  <c r="BY32"/>
  <c r="BW32"/>
  <c r="BV32"/>
  <c r="BU32"/>
  <c r="BT32"/>
  <c r="BS32"/>
  <c r="BQ32"/>
  <c r="BP32"/>
  <c r="BO32"/>
  <c r="BN32"/>
  <c r="BM32"/>
  <c r="BK32"/>
  <c r="BJ32"/>
  <c r="BI32"/>
  <c r="BH32"/>
  <c r="BG32"/>
  <c r="BE32"/>
  <c r="BD32"/>
  <c r="BC32"/>
  <c r="BB32"/>
  <c r="BA32"/>
  <c r="AU32"/>
  <c r="AL32"/>
  <c r="AK32"/>
  <c r="AJ32"/>
  <c r="AI32"/>
  <c r="AH32"/>
  <c r="AA32"/>
  <c r="F32"/>
  <c r="EA31"/>
  <c r="DZ31"/>
  <c r="DY31"/>
  <c r="DX31"/>
  <c r="DW31"/>
  <c r="DI31"/>
  <c r="DD31"/>
  <c r="DK31" s="1"/>
  <c r="DB31"/>
  <c r="CX31"/>
  <c r="CF31"/>
  <c r="CZ31" s="1"/>
  <c r="DA31"/>
  <c r="CE31"/>
  <c r="CU31"/>
  <c r="CC31"/>
  <c r="CB31"/>
  <c r="CA31"/>
  <c r="BZ31"/>
  <c r="BY31"/>
  <c r="BW31"/>
  <c r="BV31"/>
  <c r="BU31"/>
  <c r="BT31"/>
  <c r="BS31"/>
  <c r="BQ31"/>
  <c r="BP31"/>
  <c r="BO31"/>
  <c r="BN31"/>
  <c r="BM31"/>
  <c r="BK31"/>
  <c r="BJ31"/>
  <c r="BI31"/>
  <c r="BH31"/>
  <c r="BG31"/>
  <c r="BE31"/>
  <c r="BD31"/>
  <c r="BC31"/>
  <c r="BB31"/>
  <c r="BA31"/>
  <c r="AU31"/>
  <c r="AL31"/>
  <c r="AK31"/>
  <c r="AJ31"/>
  <c r="AI31"/>
  <c r="AH31"/>
  <c r="AA31"/>
  <c r="F31"/>
  <c r="EA30"/>
  <c r="DZ30"/>
  <c r="DY30"/>
  <c r="DX30"/>
  <c r="DW30"/>
  <c r="DI30"/>
  <c r="DD30"/>
  <c r="DM30" s="1"/>
  <c r="DM59" s="1"/>
  <c r="CF30"/>
  <c r="DB30" s="1"/>
  <c r="DB59" s="1"/>
  <c r="CE30"/>
  <c r="CU30" s="1"/>
  <c r="CU59" s="1"/>
  <c r="CC30"/>
  <c r="CC59"/>
  <c r="CB30"/>
  <c r="CB59" s="1"/>
  <c r="CA30"/>
  <c r="CA59"/>
  <c r="BZ30"/>
  <c r="BZ59" s="1"/>
  <c r="BY30"/>
  <c r="BY59" s="1"/>
  <c r="BW30"/>
  <c r="BW59" s="1"/>
  <c r="BV30"/>
  <c r="BV59" s="1"/>
  <c r="BU30"/>
  <c r="BU59" s="1"/>
  <c r="BT30"/>
  <c r="BT59" s="1"/>
  <c r="BS30"/>
  <c r="BS59" s="1"/>
  <c r="BQ30"/>
  <c r="BQ59"/>
  <c r="BP30"/>
  <c r="BP59"/>
  <c r="BO30"/>
  <c r="BO59"/>
  <c r="BN30"/>
  <c r="BN59"/>
  <c r="BM30"/>
  <c r="BM59"/>
  <c r="BK30"/>
  <c r="BK59" s="1"/>
  <c r="BJ30"/>
  <c r="BJ59" s="1"/>
  <c r="BI30"/>
  <c r="BI59"/>
  <c r="BH30"/>
  <c r="BH59"/>
  <c r="BG30"/>
  <c r="BG59"/>
  <c r="BE30"/>
  <c r="BE59"/>
  <c r="BD30"/>
  <c r="BD59"/>
  <c r="BC30"/>
  <c r="BC59"/>
  <c r="BB30"/>
  <c r="BB59"/>
  <c r="BA30"/>
  <c r="BA59"/>
  <c r="AU30"/>
  <c r="AU59"/>
  <c r="AL30"/>
  <c r="AL59" s="1"/>
  <c r="AK30"/>
  <c r="AK59" s="1"/>
  <c r="AJ30"/>
  <c r="AJ59" s="1"/>
  <c r="AI30"/>
  <c r="AI59" s="1"/>
  <c r="AH30"/>
  <c r="AH59"/>
  <c r="AA30"/>
  <c r="F30"/>
  <c r="EA29"/>
  <c r="DZ29"/>
  <c r="DY29"/>
  <c r="DX29"/>
  <c r="DW29"/>
  <c r="DM29"/>
  <c r="DI29"/>
  <c r="DD29"/>
  <c r="DK29" s="1"/>
  <c r="DN29"/>
  <c r="CF29"/>
  <c r="CZ29" s="1"/>
  <c r="CE29"/>
  <c r="CU29" s="1"/>
  <c r="CC29"/>
  <c r="CB29"/>
  <c r="CA29"/>
  <c r="BZ29"/>
  <c r="BY29"/>
  <c r="BW29"/>
  <c r="BV29"/>
  <c r="BU29"/>
  <c r="BT29"/>
  <c r="BS29"/>
  <c r="BQ29"/>
  <c r="BP29"/>
  <c r="BO29"/>
  <c r="BN29"/>
  <c r="BM29"/>
  <c r="BK29"/>
  <c r="BJ29"/>
  <c r="BI29"/>
  <c r="BH29"/>
  <c r="BG29"/>
  <c r="BE29"/>
  <c r="BD29"/>
  <c r="BC29"/>
  <c r="BB29"/>
  <c r="BA29"/>
  <c r="AU29"/>
  <c r="AL29"/>
  <c r="AK29"/>
  <c r="AJ29"/>
  <c r="AI29"/>
  <c r="AH29"/>
  <c r="AA29"/>
  <c r="F29"/>
  <c r="EA28"/>
  <c r="DZ28"/>
  <c r="DY28"/>
  <c r="DX28"/>
  <c r="DW28"/>
  <c r="DM28"/>
  <c r="DI28"/>
  <c r="DD28"/>
  <c r="DK28" s="1"/>
  <c r="DN28"/>
  <c r="CF28"/>
  <c r="CZ28" s="1"/>
  <c r="CE28"/>
  <c r="CU28" s="1"/>
  <c r="CC28"/>
  <c r="CB28"/>
  <c r="CA28"/>
  <c r="BZ28"/>
  <c r="BY28"/>
  <c r="BW28"/>
  <c r="BV28"/>
  <c r="BU28"/>
  <c r="BT28"/>
  <c r="BS28"/>
  <c r="BQ28"/>
  <c r="BP28"/>
  <c r="BO28"/>
  <c r="BN28"/>
  <c r="BM28"/>
  <c r="BK28"/>
  <c r="BJ28"/>
  <c r="BI28"/>
  <c r="BH28"/>
  <c r="BG28"/>
  <c r="BE28"/>
  <c r="BD28"/>
  <c r="BC28"/>
  <c r="BB28"/>
  <c r="BA28"/>
  <c r="AU28"/>
  <c r="AL28"/>
  <c r="AK28"/>
  <c r="AJ28"/>
  <c r="AI28"/>
  <c r="AH28"/>
  <c r="AA28"/>
  <c r="F28"/>
  <c r="EA27"/>
  <c r="DZ27"/>
  <c r="DY27"/>
  <c r="DX27"/>
  <c r="DW27"/>
  <c r="DM27"/>
  <c r="DI27"/>
  <c r="DD27"/>
  <c r="DK27" s="1"/>
  <c r="DN27"/>
  <c r="CF27"/>
  <c r="CZ27" s="1"/>
  <c r="CE27"/>
  <c r="CU27" s="1"/>
  <c r="CC27"/>
  <c r="CB27"/>
  <c r="CA27"/>
  <c r="BZ27"/>
  <c r="BY27"/>
  <c r="BW27"/>
  <c r="BV27"/>
  <c r="BU27"/>
  <c r="BT27"/>
  <c r="BS27"/>
  <c r="BQ27"/>
  <c r="BP27"/>
  <c r="BO27"/>
  <c r="BN27"/>
  <c r="BM27"/>
  <c r="BK27"/>
  <c r="BJ27"/>
  <c r="BI27"/>
  <c r="BH27"/>
  <c r="BG27"/>
  <c r="BE27"/>
  <c r="BD27"/>
  <c r="BC27"/>
  <c r="BB27"/>
  <c r="BA27"/>
  <c r="AU27"/>
  <c r="AL27"/>
  <c r="AK27"/>
  <c r="AJ27"/>
  <c r="AI27"/>
  <c r="AH27"/>
  <c r="AA27"/>
  <c r="F27"/>
  <c r="EA26"/>
  <c r="DZ26"/>
  <c r="DY26"/>
  <c r="DX26"/>
  <c r="DW26"/>
  <c r="DM26"/>
  <c r="DI26"/>
  <c r="DD26"/>
  <c r="DK26" s="1"/>
  <c r="DN26"/>
  <c r="CF26"/>
  <c r="CZ26" s="1"/>
  <c r="CE26"/>
  <c r="CU26" s="1"/>
  <c r="CC26"/>
  <c r="CB26"/>
  <c r="CA26"/>
  <c r="BZ26"/>
  <c r="BY26"/>
  <c r="BW26"/>
  <c r="BV26"/>
  <c r="BU26"/>
  <c r="BT26"/>
  <c r="BS26"/>
  <c r="BQ26"/>
  <c r="BP26"/>
  <c r="BO26"/>
  <c r="BN26"/>
  <c r="BM26"/>
  <c r="BK26"/>
  <c r="BJ26"/>
  <c r="BI26"/>
  <c r="BH26"/>
  <c r="BG26"/>
  <c r="BE26"/>
  <c r="BD26"/>
  <c r="BC26"/>
  <c r="BB26"/>
  <c r="BA26"/>
  <c r="AU26"/>
  <c r="AL26"/>
  <c r="AK26"/>
  <c r="AJ26"/>
  <c r="AI26"/>
  <c r="AH26"/>
  <c r="AA26"/>
  <c r="F26"/>
  <c r="EA25"/>
  <c r="DZ25"/>
  <c r="DY25"/>
  <c r="DX25"/>
  <c r="DW25"/>
  <c r="DM25"/>
  <c r="DI25"/>
  <c r="DD25"/>
  <c r="DK25" s="1"/>
  <c r="DN25"/>
  <c r="CF25"/>
  <c r="CZ25" s="1"/>
  <c r="CE25"/>
  <c r="CU25" s="1"/>
  <c r="CC25"/>
  <c r="CB25"/>
  <c r="CA25"/>
  <c r="BZ25"/>
  <c r="BY25"/>
  <c r="BW25"/>
  <c r="BV25"/>
  <c r="BU25"/>
  <c r="BT25"/>
  <c r="BS25"/>
  <c r="BQ25"/>
  <c r="BP25"/>
  <c r="BO25"/>
  <c r="BN25"/>
  <c r="BM25"/>
  <c r="BK25"/>
  <c r="BJ25"/>
  <c r="BI25"/>
  <c r="BH25"/>
  <c r="BG25"/>
  <c r="BE25"/>
  <c r="BD25"/>
  <c r="BC25"/>
  <c r="BB25"/>
  <c r="BA25"/>
  <c r="AU25"/>
  <c r="AL25"/>
  <c r="AK25"/>
  <c r="AJ25"/>
  <c r="AI25"/>
  <c r="AH25"/>
  <c r="AA25"/>
  <c r="F25"/>
  <c r="EA24"/>
  <c r="DZ24"/>
  <c r="DY24"/>
  <c r="DX24"/>
  <c r="DW24"/>
  <c r="DM24"/>
  <c r="DI24"/>
  <c r="DD24"/>
  <c r="DK24" s="1"/>
  <c r="DN24"/>
  <c r="CF24"/>
  <c r="CZ24" s="1"/>
  <c r="CE24"/>
  <c r="CU24" s="1"/>
  <c r="CC24"/>
  <c r="CB24"/>
  <c r="CA24"/>
  <c r="BZ24"/>
  <c r="BY24"/>
  <c r="BW24"/>
  <c r="BV24"/>
  <c r="BU24"/>
  <c r="BT24"/>
  <c r="BS24"/>
  <c r="BQ24"/>
  <c r="BP24"/>
  <c r="BO24"/>
  <c r="BN24"/>
  <c r="BM24"/>
  <c r="BK24"/>
  <c r="BJ24"/>
  <c r="BI24"/>
  <c r="BH24"/>
  <c r="BG24"/>
  <c r="BE24"/>
  <c r="BD24"/>
  <c r="BC24"/>
  <c r="BB24"/>
  <c r="BA24"/>
  <c r="AU24"/>
  <c r="AL24"/>
  <c r="AK24"/>
  <c r="AJ24"/>
  <c r="AI24"/>
  <c r="AH24"/>
  <c r="AA24"/>
  <c r="F24"/>
  <c r="EA23"/>
  <c r="DZ23"/>
  <c r="DY23"/>
  <c r="DX23"/>
  <c r="DW23"/>
  <c r="DM23"/>
  <c r="DI23"/>
  <c r="DD23"/>
  <c r="DK23" s="1"/>
  <c r="DN23"/>
  <c r="CF23"/>
  <c r="CZ23" s="1"/>
  <c r="CE23"/>
  <c r="CU23" s="1"/>
  <c r="CC23"/>
  <c r="CB23"/>
  <c r="CA23"/>
  <c r="BZ23"/>
  <c r="BY23"/>
  <c r="BW23"/>
  <c r="BV23"/>
  <c r="BU23"/>
  <c r="BT23"/>
  <c r="BS23"/>
  <c r="BQ23"/>
  <c r="BP23"/>
  <c r="BO23"/>
  <c r="BN23"/>
  <c r="BM23"/>
  <c r="BK23"/>
  <c r="BJ23"/>
  <c r="BI23"/>
  <c r="BH23"/>
  <c r="BG23"/>
  <c r="BE23"/>
  <c r="BD23"/>
  <c r="BC23"/>
  <c r="BB23"/>
  <c r="BA23"/>
  <c r="AU23"/>
  <c r="AL23"/>
  <c r="AK23"/>
  <c r="AJ23"/>
  <c r="AI23"/>
  <c r="AH23"/>
  <c r="AA23"/>
  <c r="F23"/>
  <c r="EA22"/>
  <c r="DZ22"/>
  <c r="DY22"/>
  <c r="DX22"/>
  <c r="DW22"/>
  <c r="DM22"/>
  <c r="DI22"/>
  <c r="DD22"/>
  <c r="DK22" s="1"/>
  <c r="DN22"/>
  <c r="CF22"/>
  <c r="CZ22" s="1"/>
  <c r="CE22"/>
  <c r="CU22" s="1"/>
  <c r="CC22"/>
  <c r="CB22"/>
  <c r="CA22"/>
  <c r="BZ22"/>
  <c r="BY22"/>
  <c r="BW22"/>
  <c r="BV22"/>
  <c r="BU22"/>
  <c r="BT22"/>
  <c r="BS22"/>
  <c r="BQ22"/>
  <c r="BP22"/>
  <c r="BO22"/>
  <c r="BN22"/>
  <c r="BM22"/>
  <c r="BK22"/>
  <c r="BJ22"/>
  <c r="BI22"/>
  <c r="BH22"/>
  <c r="BG22"/>
  <c r="BE22"/>
  <c r="BD22"/>
  <c r="BC22"/>
  <c r="BB22"/>
  <c r="BA22"/>
  <c r="AU22"/>
  <c r="AL22"/>
  <c r="AK22"/>
  <c r="AJ22"/>
  <c r="AI22"/>
  <c r="AH22"/>
  <c r="AA22"/>
  <c r="F22"/>
  <c r="EA21"/>
  <c r="DZ21"/>
  <c r="DY21"/>
  <c r="DX21"/>
  <c r="DW21"/>
  <c r="DM21"/>
  <c r="DI21"/>
  <c r="DD21"/>
  <c r="DK21" s="1"/>
  <c r="DN21"/>
  <c r="CF21"/>
  <c r="CZ21" s="1"/>
  <c r="CE21"/>
  <c r="CU21" s="1"/>
  <c r="CC21"/>
  <c r="CB21"/>
  <c r="CA21"/>
  <c r="BZ21"/>
  <c r="BY21"/>
  <c r="BW21"/>
  <c r="BV21"/>
  <c r="BU21"/>
  <c r="BT21"/>
  <c r="BS21"/>
  <c r="BQ21"/>
  <c r="BP21"/>
  <c r="BO21"/>
  <c r="BN21"/>
  <c r="BM21"/>
  <c r="BK21"/>
  <c r="BJ21"/>
  <c r="BI21"/>
  <c r="BH21"/>
  <c r="BG21"/>
  <c r="BE21"/>
  <c r="BD21"/>
  <c r="BC21"/>
  <c r="BB21"/>
  <c r="BA21"/>
  <c r="AU21"/>
  <c r="AL21"/>
  <c r="AK21"/>
  <c r="AJ21"/>
  <c r="AI21"/>
  <c r="AH21"/>
  <c r="AA21"/>
  <c r="F21"/>
  <c r="EA20"/>
  <c r="DZ20"/>
  <c r="DY20"/>
  <c r="DX20"/>
  <c r="DW20"/>
  <c r="DM20"/>
  <c r="DI20"/>
  <c r="DD20"/>
  <c r="DK20" s="1"/>
  <c r="DN20"/>
  <c r="CF20"/>
  <c r="CZ20" s="1"/>
  <c r="CE20"/>
  <c r="CU20" s="1"/>
  <c r="CC20"/>
  <c r="CB20"/>
  <c r="CA20"/>
  <c r="BZ20"/>
  <c r="BY20"/>
  <c r="BW20"/>
  <c r="BV20"/>
  <c r="BU20"/>
  <c r="BT20"/>
  <c r="BS20"/>
  <c r="BQ20"/>
  <c r="BP20"/>
  <c r="BO20"/>
  <c r="BN20"/>
  <c r="BM20"/>
  <c r="BK20"/>
  <c r="BJ20"/>
  <c r="BI20"/>
  <c r="BH20"/>
  <c r="BG20"/>
  <c r="BE20"/>
  <c r="BD20"/>
  <c r="BC20"/>
  <c r="BB20"/>
  <c r="BA20"/>
  <c r="AU20"/>
  <c r="AL20"/>
  <c r="AK20"/>
  <c r="AJ20"/>
  <c r="AI20"/>
  <c r="AH20"/>
  <c r="AA20"/>
  <c r="F20"/>
  <c r="EA19"/>
  <c r="DZ19"/>
  <c r="DY19"/>
  <c r="DX19"/>
  <c r="DW19"/>
  <c r="DM19"/>
  <c r="DI19"/>
  <c r="DD19"/>
  <c r="DK19" s="1"/>
  <c r="DN19"/>
  <c r="CF19"/>
  <c r="CZ19" s="1"/>
  <c r="CE19"/>
  <c r="CS19" s="1"/>
  <c r="CC19"/>
  <c r="CB19"/>
  <c r="CA19"/>
  <c r="BZ19"/>
  <c r="BY19"/>
  <c r="BW19"/>
  <c r="BV19"/>
  <c r="BU19"/>
  <c r="BT19"/>
  <c r="BS19"/>
  <c r="BQ19"/>
  <c r="BP19"/>
  <c r="BO19"/>
  <c r="BN19"/>
  <c r="BM19"/>
  <c r="BK19"/>
  <c r="BJ19"/>
  <c r="BI19"/>
  <c r="BH19"/>
  <c r="BG19"/>
  <c r="BE19"/>
  <c r="BD19"/>
  <c r="BC19"/>
  <c r="BB19"/>
  <c r="BA19"/>
  <c r="AU19"/>
  <c r="AL19"/>
  <c r="AK19"/>
  <c r="AJ19"/>
  <c r="AI19"/>
  <c r="AH19"/>
  <c r="AA19"/>
  <c r="F19"/>
  <c r="EA18"/>
  <c r="DZ18"/>
  <c r="DY18"/>
  <c r="DX18"/>
  <c r="DW18"/>
  <c r="DI18"/>
  <c r="DD18"/>
  <c r="DM18" s="1"/>
  <c r="CV18"/>
  <c r="CR18"/>
  <c r="CM18"/>
  <c r="CF18"/>
  <c r="DB18"/>
  <c r="CE18"/>
  <c r="CT18" s="1"/>
  <c r="CU18"/>
  <c r="CC18"/>
  <c r="CB18"/>
  <c r="CA18"/>
  <c r="BZ18"/>
  <c r="BY18"/>
  <c r="BW18"/>
  <c r="BV18"/>
  <c r="BU18"/>
  <c r="BT18"/>
  <c r="BS18"/>
  <c r="BQ18"/>
  <c r="BP18"/>
  <c r="BO18"/>
  <c r="BN18"/>
  <c r="BM18"/>
  <c r="BK18"/>
  <c r="BJ18"/>
  <c r="BI18"/>
  <c r="BH18"/>
  <c r="BG18"/>
  <c r="BE18"/>
  <c r="BD18"/>
  <c r="BC18"/>
  <c r="BB18"/>
  <c r="BA18"/>
  <c r="AU18"/>
  <c r="AL18"/>
  <c r="AK18"/>
  <c r="AJ18"/>
  <c r="AI18"/>
  <c r="AH18"/>
  <c r="AA18"/>
  <c r="F18"/>
  <c r="EA17"/>
  <c r="DZ17"/>
  <c r="DY17"/>
  <c r="DX17"/>
  <c r="DW17"/>
  <c r="DI17"/>
  <c r="DD17"/>
  <c r="DM17" s="1"/>
  <c r="CV17"/>
  <c r="CR17"/>
  <c r="CM17"/>
  <c r="CF17"/>
  <c r="DB17"/>
  <c r="CE17"/>
  <c r="CT17" s="1"/>
  <c r="CU17"/>
  <c r="CC17"/>
  <c r="CB17"/>
  <c r="CA17"/>
  <c r="BZ17"/>
  <c r="BY17"/>
  <c r="BW17"/>
  <c r="BV17"/>
  <c r="BU17"/>
  <c r="BT17"/>
  <c r="BS17"/>
  <c r="BQ17"/>
  <c r="BP17"/>
  <c r="BO17"/>
  <c r="BN17"/>
  <c r="BM17"/>
  <c r="BK17"/>
  <c r="BJ17"/>
  <c r="BI17"/>
  <c r="BH17"/>
  <c r="BG17"/>
  <c r="BE17"/>
  <c r="BD17"/>
  <c r="BC17"/>
  <c r="BB17"/>
  <c r="BA17"/>
  <c r="AU17"/>
  <c r="AL17"/>
  <c r="AK17"/>
  <c r="AJ17"/>
  <c r="AI17"/>
  <c r="AH17"/>
  <c r="AA17"/>
  <c r="F17"/>
  <c r="DM45"/>
  <c r="DB45"/>
  <c r="CT45"/>
  <c r="BY45"/>
  <c r="BS45"/>
  <c r="BM45"/>
  <c r="BG45"/>
  <c r="BA45"/>
  <c r="AU45"/>
  <c r="AL45"/>
  <c r="AK45"/>
  <c r="AJ45"/>
  <c r="AI45"/>
  <c r="AH45"/>
  <c r="EA15"/>
  <c r="EA40" s="1"/>
  <c r="DZ15"/>
  <c r="DZ40" s="1"/>
  <c r="DY15"/>
  <c r="DY40" s="1"/>
  <c r="DX15"/>
  <c r="DX40" s="1"/>
  <c r="DW15"/>
  <c r="DW40" s="1"/>
  <c r="DI15"/>
  <c r="DD15"/>
  <c r="DM15" s="1"/>
  <c r="DM47" s="1"/>
  <c r="CV63"/>
  <c r="CT63"/>
  <c r="CO63"/>
  <c r="CM63"/>
  <c r="CF15"/>
  <c r="DB15"/>
  <c r="DB47" s="1"/>
  <c r="CE15"/>
  <c r="CV15" s="1"/>
  <c r="CU15"/>
  <c r="CU47" s="1"/>
  <c r="CC15"/>
  <c r="CC47" s="1"/>
  <c r="CC63"/>
  <c r="CB15"/>
  <c r="CB47" s="1"/>
  <c r="CB63"/>
  <c r="CA15"/>
  <c r="CA47" s="1"/>
  <c r="CA63"/>
  <c r="BZ15"/>
  <c r="BZ47" s="1"/>
  <c r="BZ63"/>
  <c r="BW15"/>
  <c r="BW47" s="1"/>
  <c r="BW63"/>
  <c r="BV15"/>
  <c r="BV47" s="1"/>
  <c r="BV63"/>
  <c r="BU15"/>
  <c r="BU47" s="1"/>
  <c r="BU63"/>
  <c r="BT15"/>
  <c r="BT47" s="1"/>
  <c r="BT63"/>
  <c r="BQ15"/>
  <c r="BQ47" s="1"/>
  <c r="BQ63"/>
  <c r="BP15"/>
  <c r="BP47" s="1"/>
  <c r="BP63"/>
  <c r="BO15"/>
  <c r="BO47" s="1"/>
  <c r="BO63"/>
  <c r="BN15"/>
  <c r="BN47" s="1"/>
  <c r="BN63"/>
  <c r="BM63"/>
  <c r="BK15"/>
  <c r="BK47" s="1"/>
  <c r="BK63"/>
  <c r="BJ15"/>
  <c r="BJ47" s="1"/>
  <c r="BJ63"/>
  <c r="BI15"/>
  <c r="BI47" s="1"/>
  <c r="BI63"/>
  <c r="BH15"/>
  <c r="BH47" s="1"/>
  <c r="BH63"/>
  <c r="BE15"/>
  <c r="BE47" s="1"/>
  <c r="BE63"/>
  <c r="BD15"/>
  <c r="BD47" s="1"/>
  <c r="BD63"/>
  <c r="BC15"/>
  <c r="BC47" s="1"/>
  <c r="BC63"/>
  <c r="BB15"/>
  <c r="BB47" s="1"/>
  <c r="BB63"/>
  <c r="BA63"/>
  <c r="AL63"/>
  <c r="AJ63"/>
  <c r="AH63"/>
  <c r="AH15"/>
  <c r="F15"/>
  <c r="DZ14"/>
  <c r="DX14"/>
  <c r="CC14"/>
  <c r="CC66" s="1"/>
  <c r="CB14"/>
  <c r="CA14"/>
  <c r="CA66" s="1"/>
  <c r="BZ14"/>
  <c r="BW14"/>
  <c r="BV14"/>
  <c r="BU14"/>
  <c r="BT14"/>
  <c r="BP14"/>
  <c r="BP66" s="1"/>
  <c r="BN14"/>
  <c r="BK14"/>
  <c r="BJ14"/>
  <c r="BI14"/>
  <c r="BH14"/>
  <c r="BE14"/>
  <c r="BD14"/>
  <c r="BC14"/>
  <c r="BB14"/>
  <c r="AS14"/>
  <c r="AS66" s="1"/>
  <c r="AR14"/>
  <c r="AR66" s="1"/>
  <c r="AQ14"/>
  <c r="AQ66" s="1"/>
  <c r="AP14"/>
  <c r="AP66" s="1"/>
  <c r="AO14"/>
  <c r="AO66" s="1"/>
  <c r="T14"/>
  <c r="S14"/>
  <c r="R14"/>
  <c r="Q14"/>
  <c r="P14"/>
  <c r="DV13"/>
  <c r="DU13"/>
  <c r="DT13"/>
  <c r="DS13"/>
  <c r="DR13"/>
  <c r="DQ13"/>
  <c r="DI13"/>
  <c r="DH13"/>
  <c r="DG13"/>
  <c r="DF13"/>
  <c r="DE13"/>
  <c r="DD13"/>
  <c r="CH13"/>
  <c r="CG13"/>
  <c r="CF13"/>
  <c r="CE13"/>
  <c r="AN13"/>
  <c r="J13"/>
  <c r="I13"/>
  <c r="H13"/>
  <c r="G13"/>
  <c r="D13"/>
  <c r="C13"/>
  <c r="DW12"/>
  <c r="DJ12"/>
  <c r="DJ43" s="1"/>
  <c r="CX12"/>
  <c r="CX43" s="1"/>
  <c r="CR12"/>
  <c r="CR43" s="1"/>
  <c r="CL12"/>
  <c r="CL43" s="1"/>
  <c r="CK12"/>
  <c r="CJ12"/>
  <c r="CI12"/>
  <c r="BY12"/>
  <c r="BY43" s="1"/>
  <c r="BS12"/>
  <c r="BS43" s="1"/>
  <c r="BM12"/>
  <c r="BM43" s="1"/>
  <c r="BG12"/>
  <c r="BG43" s="1"/>
  <c r="BA12"/>
  <c r="BA43" s="1"/>
  <c r="AU12"/>
  <c r="AU43" s="1"/>
  <c r="AO12"/>
  <c r="AO43" s="1"/>
  <c r="AH12"/>
  <c r="AH43" s="1"/>
  <c r="AB12"/>
  <c r="AB43" s="1"/>
  <c r="V12"/>
  <c r="V43" s="1"/>
  <c r="P12"/>
  <c r="K12"/>
  <c r="CK11"/>
  <c r="CK13" s="1"/>
  <c r="CJ11"/>
  <c r="CJ13" s="1"/>
  <c r="CI11"/>
  <c r="CI13" s="1"/>
  <c r="DW9"/>
  <c r="DJ9"/>
  <c r="CL9"/>
  <c r="BA9"/>
  <c r="DT7"/>
  <c r="DT6"/>
  <c r="AW6"/>
  <c r="AN6"/>
  <c r="AJ6"/>
  <c r="K6"/>
  <c r="AN5"/>
  <c r="K5"/>
  <c r="C5"/>
  <c r="F85" s="1"/>
  <c r="T85" s="1"/>
  <c r="DQ4"/>
  <c r="CE4"/>
  <c r="AN4"/>
  <c r="K4"/>
  <c r="C4"/>
  <c r="V36" s="1"/>
  <c r="BA3"/>
  <c r="AN3"/>
  <c r="BA2"/>
  <c r="AN2"/>
  <c r="CU63"/>
  <c r="DM63"/>
  <c r="DB63"/>
  <c r="CR15"/>
  <c r="CR47" s="1"/>
  <c r="CY15"/>
  <c r="CY47" s="1"/>
  <c r="DA15"/>
  <c r="DA47" s="1"/>
  <c r="DJ15"/>
  <c r="DJ47" s="1"/>
  <c r="DL15"/>
  <c r="DL47" s="1"/>
  <c r="DN15"/>
  <c r="DN47" s="1"/>
  <c r="CY45"/>
  <c r="DA45"/>
  <c r="DJ45"/>
  <c r="DL45"/>
  <c r="DN45"/>
  <c r="CY17"/>
  <c r="DA17"/>
  <c r="DJ17"/>
  <c r="DL17"/>
  <c r="DN17"/>
  <c r="CY18"/>
  <c r="DA18"/>
  <c r="DJ18"/>
  <c r="DL18"/>
  <c r="DN18"/>
  <c r="CV19"/>
  <c r="CT19"/>
  <c r="CR19"/>
  <c r="CO19"/>
  <c r="CM19"/>
  <c r="AI15"/>
  <c r="AK15"/>
  <c r="AK47" s="1"/>
  <c r="AU15"/>
  <c r="AU47" s="1"/>
  <c r="BG15"/>
  <c r="BG47" s="1"/>
  <c r="BS15"/>
  <c r="BS47" s="1"/>
  <c r="CL15"/>
  <c r="CL47" s="1"/>
  <c r="CN15"/>
  <c r="CN47" s="1"/>
  <c r="CP15"/>
  <c r="CP47" s="1"/>
  <c r="CS15"/>
  <c r="CS47" s="1"/>
  <c r="CX15"/>
  <c r="CX47" s="1"/>
  <c r="CZ15"/>
  <c r="CZ47" s="1"/>
  <c r="DK15"/>
  <c r="DK47" s="1"/>
  <c r="CL45"/>
  <c r="CN45"/>
  <c r="CP45"/>
  <c r="CS45"/>
  <c r="CX45"/>
  <c r="CZ45"/>
  <c r="DK45"/>
  <c r="CL17"/>
  <c r="CN17"/>
  <c r="CP17"/>
  <c r="CS17"/>
  <c r="CX17"/>
  <c r="CZ17"/>
  <c r="DK17"/>
  <c r="CL18"/>
  <c r="CN18"/>
  <c r="CP18"/>
  <c r="CS18"/>
  <c r="CX18"/>
  <c r="CZ18"/>
  <c r="DK18"/>
  <c r="CL19"/>
  <c r="CP19"/>
  <c r="CU19"/>
  <c r="CY19"/>
  <c r="DJ19"/>
  <c r="DL19"/>
  <c r="CM20"/>
  <c r="CO20"/>
  <c r="CR20"/>
  <c r="CT20"/>
  <c r="CV20"/>
  <c r="CY20"/>
  <c r="DJ20"/>
  <c r="DL20"/>
  <c r="CM21"/>
  <c r="CO21"/>
  <c r="CR21"/>
  <c r="CT21"/>
  <c r="CV21"/>
  <c r="CY21"/>
  <c r="DJ21"/>
  <c r="DL21"/>
  <c r="CM22"/>
  <c r="CO22"/>
  <c r="CR22"/>
  <c r="CT22"/>
  <c r="CV22"/>
  <c r="CY22"/>
  <c r="DJ22"/>
  <c r="DL22"/>
  <c r="CM23"/>
  <c r="CO23"/>
  <c r="CR23"/>
  <c r="CT23"/>
  <c r="CV23"/>
  <c r="CY23"/>
  <c r="DJ23"/>
  <c r="DL23"/>
  <c r="CM24"/>
  <c r="CO24"/>
  <c r="CR24"/>
  <c r="CT24"/>
  <c r="CV24"/>
  <c r="CY24"/>
  <c r="DJ24"/>
  <c r="DL24"/>
  <c r="CM25"/>
  <c r="CO25"/>
  <c r="CR25"/>
  <c r="CT25"/>
  <c r="CV25"/>
  <c r="CY25"/>
  <c r="DJ25"/>
  <c r="DL25"/>
  <c r="CM26"/>
  <c r="CO26"/>
  <c r="CR26"/>
  <c r="CT26"/>
  <c r="CV26"/>
  <c r="CY26"/>
  <c r="DJ26"/>
  <c r="DL26"/>
  <c r="CM27"/>
  <c r="CO27"/>
  <c r="CR27"/>
  <c r="CT27"/>
  <c r="CV27"/>
  <c r="CY27"/>
  <c r="DJ27"/>
  <c r="DL27"/>
  <c r="CM28"/>
  <c r="CO28"/>
  <c r="CR28"/>
  <c r="CT28"/>
  <c r="CV28"/>
  <c r="CY28"/>
  <c r="DJ28"/>
  <c r="DL28"/>
  <c r="CM29"/>
  <c r="CO29"/>
  <c r="CR29"/>
  <c r="CT29"/>
  <c r="CV29"/>
  <c r="CY29"/>
  <c r="DJ29"/>
  <c r="DL29"/>
  <c r="CM30"/>
  <c r="CM59" s="1"/>
  <c r="CO30"/>
  <c r="CO59" s="1"/>
  <c r="CR30"/>
  <c r="CR59" s="1"/>
  <c r="CT30"/>
  <c r="CT59" s="1"/>
  <c r="CV30"/>
  <c r="CV59" s="1"/>
  <c r="CY30"/>
  <c r="CY59" s="1"/>
  <c r="DJ30"/>
  <c r="DJ59" s="1"/>
  <c r="DL30"/>
  <c r="DL59" s="1"/>
  <c r="CM31"/>
  <c r="CO31"/>
  <c r="CR31"/>
  <c r="CT31"/>
  <c r="CV31"/>
  <c r="CY31"/>
  <c r="DJ31"/>
  <c r="DL31"/>
  <c r="CM32"/>
  <c r="CO32"/>
  <c r="CR32"/>
  <c r="CT32"/>
  <c r="CV32"/>
  <c r="CY32"/>
  <c r="DJ32"/>
  <c r="DL32"/>
  <c r="CM33"/>
  <c r="CO33"/>
  <c r="CR33"/>
  <c r="CT33"/>
  <c r="CV33"/>
  <c r="CY33"/>
  <c r="DJ33"/>
  <c r="DL33"/>
  <c r="CM34"/>
  <c r="CO34"/>
  <c r="CR34"/>
  <c r="CT34"/>
  <c r="CV34"/>
  <c r="CY34"/>
  <c r="DJ34"/>
  <c r="DL34"/>
  <c r="CM35"/>
  <c r="CO35"/>
  <c r="CR35"/>
  <c r="CT35"/>
  <c r="CV35"/>
  <c r="CY35"/>
  <c r="DJ35"/>
  <c r="DL35"/>
  <c r="CM36"/>
  <c r="CO36"/>
  <c r="CR36"/>
  <c r="CT36"/>
  <c r="CV36"/>
  <c r="CY36"/>
  <c r="DJ36"/>
  <c r="DL36"/>
  <c r="CL20"/>
  <c r="CN20"/>
  <c r="CP20"/>
  <c r="CS20"/>
  <c r="CL21"/>
  <c r="CN21"/>
  <c r="CP21"/>
  <c r="CS21"/>
  <c r="CL22"/>
  <c r="CN22"/>
  <c r="CP22"/>
  <c r="CS22"/>
  <c r="CL23"/>
  <c r="CN23"/>
  <c r="CP23"/>
  <c r="CS23"/>
  <c r="CL24"/>
  <c r="CN24"/>
  <c r="CP24"/>
  <c r="CS24"/>
  <c r="CL25"/>
  <c r="CN25"/>
  <c r="CP25"/>
  <c r="CS25"/>
  <c r="CL26"/>
  <c r="CN26"/>
  <c r="CP26"/>
  <c r="CS26"/>
  <c r="CL27"/>
  <c r="CN27"/>
  <c r="CP27"/>
  <c r="CS27"/>
  <c r="CL28"/>
  <c r="CN28"/>
  <c r="CP28"/>
  <c r="CS28"/>
  <c r="CL29"/>
  <c r="CN29"/>
  <c r="CP29"/>
  <c r="CS29"/>
  <c r="CL30"/>
  <c r="CL59" s="1"/>
  <c r="CN30"/>
  <c r="CN59" s="1"/>
  <c r="CP30"/>
  <c r="CP59" s="1"/>
  <c r="CS30"/>
  <c r="CS59" s="1"/>
  <c r="DK30"/>
  <c r="DK59" s="1"/>
  <c r="CL31"/>
  <c r="CN31"/>
  <c r="CP31"/>
  <c r="CS31"/>
  <c r="CL32"/>
  <c r="CN32"/>
  <c r="CP32"/>
  <c r="CS32"/>
  <c r="CL33"/>
  <c r="CN33"/>
  <c r="CP33"/>
  <c r="CS33"/>
  <c r="CL34"/>
  <c r="CN34"/>
  <c r="CP34"/>
  <c r="CS34"/>
  <c r="CL35"/>
  <c r="CN35"/>
  <c r="CP35"/>
  <c r="CS35"/>
  <c r="CL36"/>
  <c r="CN36"/>
  <c r="CP36"/>
  <c r="CS36"/>
  <c r="CL37"/>
  <c r="CN37"/>
  <c r="CP37"/>
  <c r="CS37"/>
  <c r="CX37"/>
  <c r="CZ37"/>
  <c r="DB37"/>
  <c r="DK37"/>
  <c r="DM37"/>
  <c r="CL38"/>
  <c r="CN38"/>
  <c r="CP38"/>
  <c r="CS38"/>
  <c r="CX38"/>
  <c r="CZ38"/>
  <c r="DB38"/>
  <c r="DK38"/>
  <c r="DM38"/>
  <c r="CL39"/>
  <c r="CN39"/>
  <c r="CP39"/>
  <c r="CS39"/>
  <c r="CX39"/>
  <c r="CZ39"/>
  <c r="DB39"/>
  <c r="DK39"/>
  <c r="DM39"/>
  <c r="CY37"/>
  <c r="DJ37"/>
  <c r="DL37"/>
  <c r="CY38"/>
  <c r="DJ38"/>
  <c r="DL38"/>
  <c r="CY39"/>
  <c r="DJ39"/>
  <c r="DL39"/>
  <c r="CZ63"/>
  <c r="CS63"/>
  <c r="CN63"/>
  <c r="BS63"/>
  <c r="AU63"/>
  <c r="AI63"/>
  <c r="AD63"/>
  <c r="DN63"/>
  <c r="DJ63"/>
  <c r="CY63"/>
  <c r="CY14"/>
  <c r="BY63"/>
  <c r="AC63"/>
  <c r="DK63"/>
  <c r="CX63"/>
  <c r="CP63"/>
  <c r="CL63"/>
  <c r="BG63"/>
  <c r="BG14"/>
  <c r="AK63"/>
  <c r="AF63"/>
  <c r="AB63"/>
  <c r="DL63"/>
  <c r="DL14"/>
  <c r="DA63"/>
  <c r="CR63"/>
  <c r="AE63"/>
  <c r="V63"/>
  <c r="W63"/>
  <c r="AV63"/>
  <c r="X63"/>
  <c r="AW63"/>
  <c r="Y63"/>
  <c r="AX63"/>
  <c r="AY63"/>
  <c r="Z63"/>
  <c r="F38" i="105"/>
  <c r="D12"/>
  <c r="G29" s="1"/>
  <c r="D14"/>
  <c r="H31" s="1"/>
  <c r="F85" i="31368"/>
  <c r="F84"/>
  <c r="F83"/>
  <c r="F82" s="1"/>
  <c r="D31" i="31367" s="1"/>
  <c r="I31" s="1"/>
  <c r="I62" i="31368"/>
  <c r="I60"/>
  <c r="L32"/>
  <c r="I32"/>
  <c r="L31"/>
  <c r="I31"/>
  <c r="L28"/>
  <c r="L27" s="1"/>
  <c r="I28"/>
  <c r="I27" s="1"/>
  <c r="L26"/>
  <c r="I26"/>
  <c r="L23"/>
  <c r="I23"/>
  <c r="L22"/>
  <c r="I22"/>
  <c r="L21"/>
  <c r="I21"/>
  <c r="L20"/>
  <c r="I20"/>
  <c r="L19"/>
  <c r="I19"/>
  <c r="L18"/>
  <c r="I18"/>
  <c r="L15"/>
  <c r="L14" s="1"/>
  <c r="I15"/>
  <c r="L13"/>
  <c r="L12"/>
  <c r="F12"/>
  <c r="L11"/>
  <c r="I11"/>
  <c r="F11"/>
  <c r="AB6" i="31358"/>
  <c r="D28"/>
  <c r="C54"/>
  <c r="C52"/>
  <c r="C51"/>
  <c r="C47"/>
  <c r="C46"/>
  <c r="E42"/>
  <c r="E41"/>
  <c r="D36" i="105"/>
  <c r="E38" i="31358"/>
  <c r="F38" s="1"/>
  <c r="G38" s="1"/>
  <c r="H38" s="1"/>
  <c r="E39"/>
  <c r="F39" s="1"/>
  <c r="G39" s="1"/>
  <c r="H39" s="1"/>
  <c r="I39" s="1"/>
  <c r="E40"/>
  <c r="F40" s="1"/>
  <c r="G40" s="1"/>
  <c r="H40" s="1"/>
  <c r="I40" s="1"/>
  <c r="J40" s="1"/>
  <c r="K40" s="1"/>
  <c r="E83" i="105"/>
  <c r="F83" s="1"/>
  <c r="G83" s="1"/>
  <c r="H83" s="1"/>
  <c r="I83" s="1"/>
  <c r="J83" s="1"/>
  <c r="K83" s="1"/>
  <c r="L83" s="1"/>
  <c r="M83" s="1"/>
  <c r="N83" s="1"/>
  <c r="D6" i="31358"/>
  <c r="P6"/>
  <c r="F40" i="105"/>
  <c r="E84"/>
  <c r="F84" s="1"/>
  <c r="G84" s="1"/>
  <c r="F87"/>
  <c r="G87" s="1"/>
  <c r="H87" s="1"/>
  <c r="E40"/>
  <c r="D3" i="31358"/>
  <c r="P3" s="1"/>
  <c r="AB3" s="1"/>
  <c r="AL4" s="1"/>
  <c r="N31" i="105"/>
  <c r="I35"/>
  <c r="H39"/>
  <c r="G39"/>
  <c r="F39"/>
  <c r="E39"/>
  <c r="H35"/>
  <c r="G35"/>
  <c r="E35"/>
  <c r="D39"/>
  <c r="D35"/>
  <c r="E110"/>
  <c r="F110" s="1"/>
  <c r="G110" s="1"/>
  <c r="H110" s="1"/>
  <c r="I110" s="1"/>
  <c r="J110" s="1"/>
  <c r="K110" s="1"/>
  <c r="L110" s="1"/>
  <c r="M110" s="1"/>
  <c r="N110" s="1"/>
  <c r="F24"/>
  <c r="F112" s="1"/>
  <c r="G24"/>
  <c r="G112" s="1"/>
  <c r="H24"/>
  <c r="H112" s="1"/>
  <c r="I24"/>
  <c r="I112" s="1"/>
  <c r="D7"/>
  <c r="D109"/>
  <c r="E109" s="1"/>
  <c r="F109" s="1"/>
  <c r="G109" s="1"/>
  <c r="H109" s="1"/>
  <c r="I109" s="1"/>
  <c r="J109" s="1"/>
  <c r="K109" s="1"/>
  <c r="L109" s="1"/>
  <c r="M109" s="1"/>
  <c r="N109" s="1"/>
  <c r="E96"/>
  <c r="F96" s="1"/>
  <c r="G96" s="1"/>
  <c r="H96" s="1"/>
  <c r="I96" s="1"/>
  <c r="J96" s="1"/>
  <c r="K96" s="1"/>
  <c r="L96" s="1"/>
  <c r="M96" s="1"/>
  <c r="N96" s="1"/>
  <c r="I38" i="31358"/>
  <c r="J38" s="1"/>
  <c r="K38" s="1"/>
  <c r="L38" s="1"/>
  <c r="I39" i="105"/>
  <c r="I87"/>
  <c r="J87" s="1"/>
  <c r="K87" s="1"/>
  <c r="J35"/>
  <c r="H40"/>
  <c r="G40"/>
  <c r="F36"/>
  <c r="G36"/>
  <c r="E36"/>
  <c r="H36"/>
  <c r="E24"/>
  <c r="E112" s="1"/>
  <c r="L87"/>
  <c r="M87" s="1"/>
  <c r="N87" s="1"/>
  <c r="D40"/>
  <c r="Y27" i="31371"/>
  <c r="G48" i="105"/>
  <c r="G75" s="1"/>
  <c r="O44" i="31417" l="1"/>
  <c r="P43"/>
  <c r="N59"/>
  <c r="D61"/>
  <c r="M60"/>
  <c r="Z29" i="31371"/>
  <c r="E34" i="31407"/>
  <c r="E52" s="1"/>
  <c r="E27" i="31405"/>
  <c r="E34" s="1"/>
  <c r="G34" i="31407"/>
  <c r="G52" s="1"/>
  <c r="G27" i="31405"/>
  <c r="G34" s="1"/>
  <c r="E8" i="31390"/>
  <c r="E9" s="1"/>
  <c r="G8"/>
  <c r="G9" s="1"/>
  <c r="I8"/>
  <c r="I9" s="1"/>
  <c r="D34" i="31407"/>
  <c r="D52" s="1"/>
  <c r="D27" i="31405"/>
  <c r="D34" s="1"/>
  <c r="F34" i="31407"/>
  <c r="F52" s="1"/>
  <c r="F27" i="31405"/>
  <c r="F34" s="1"/>
  <c r="H34" i="31407"/>
  <c r="H52" s="1"/>
  <c r="H27" i="31405"/>
  <c r="H34" s="1"/>
  <c r="D8" i="31390"/>
  <c r="D40" s="1"/>
  <c r="D44" s="1"/>
  <c r="F8"/>
  <c r="F9" s="1"/>
  <c r="H8"/>
  <c r="H9" s="1"/>
  <c r="F42" i="31358"/>
  <c r="E33"/>
  <c r="F41"/>
  <c r="E32"/>
  <c r="F74" i="105"/>
  <c r="E7"/>
  <c r="D66" i="31390"/>
  <c r="I74" i="105"/>
  <c r="H74"/>
  <c r="G74"/>
  <c r="H54"/>
  <c r="H79" s="1"/>
  <c r="G54"/>
  <c r="G79" s="1"/>
  <c r="I54"/>
  <c r="I79" s="1"/>
  <c r="I17" i="31368"/>
  <c r="I30"/>
  <c r="F27"/>
  <c r="D15" i="31367" s="1"/>
  <c r="I15" s="1"/>
  <c r="F46" i="31368"/>
  <c r="F81"/>
  <c r="D53" i="31367" s="1"/>
  <c r="I53" s="1"/>
  <c r="F34" i="31364" s="1"/>
  <c r="F77" i="31368"/>
  <c r="D50" i="31367" s="1"/>
  <c r="I50" s="1"/>
  <c r="D33" i="31364" s="1"/>
  <c r="F30" i="31368"/>
  <c r="D16" i="31367" s="1"/>
  <c r="I16" s="1"/>
  <c r="L10" i="31368"/>
  <c r="I14"/>
  <c r="L33"/>
  <c r="D42" i="31367" s="1"/>
  <c r="I42" s="1"/>
  <c r="F17" i="31368"/>
  <c r="D14" i="31367" s="1"/>
  <c r="I14" s="1"/>
  <c r="F80" i="31368"/>
  <c r="D52" i="31367" s="1"/>
  <c r="I52" s="1"/>
  <c r="F33" i="31364" s="1"/>
  <c r="F10" i="31368"/>
  <c r="D12" i="31367" s="1"/>
  <c r="I12" s="1"/>
  <c r="I10" i="31368"/>
  <c r="L17"/>
  <c r="L30"/>
  <c r="I59"/>
  <c r="I33"/>
  <c r="I68"/>
  <c r="F14"/>
  <c r="D13" i="31367" s="1"/>
  <c r="I13" s="1"/>
  <c r="F33" i="31368"/>
  <c r="D35" i="31367" s="1"/>
  <c r="I35" s="1"/>
  <c r="I63" i="31368"/>
  <c r="D22" i="31367" s="1"/>
  <c r="I22" s="1"/>
  <c r="I72" i="31368"/>
  <c r="D31" i="31363"/>
  <c r="D33" s="1"/>
  <c r="AC31" i="31364" s="1"/>
  <c r="D15" i="105"/>
  <c r="I32" s="1"/>
  <c r="BE66" i="31371"/>
  <c r="BC66"/>
  <c r="BI66"/>
  <c r="DJ14"/>
  <c r="CV45"/>
  <c r="CU45"/>
  <c r="CM45"/>
  <c r="BD66"/>
  <c r="BB66"/>
  <c r="BN66"/>
  <c r="F42" i="31382"/>
  <c r="G42"/>
  <c r="D42"/>
  <c r="I42"/>
  <c r="E42"/>
  <c r="H42"/>
  <c r="F42" i="31381"/>
  <c r="D42"/>
  <c r="I42"/>
  <c r="E42"/>
  <c r="G42"/>
  <c r="H42"/>
  <c r="H34"/>
  <c r="I29" i="108"/>
  <c r="I30"/>
  <c r="I69" i="31354"/>
  <c r="I70"/>
  <c r="I28" i="108"/>
  <c r="D31"/>
  <c r="H32"/>
  <c r="E28"/>
  <c r="H30"/>
  <c r="D48" i="31374"/>
  <c r="AE34" i="31371"/>
  <c r="D52" i="105"/>
  <c r="D78" s="1"/>
  <c r="G56" i="108"/>
  <c r="F56"/>
  <c r="E56"/>
  <c r="I56"/>
  <c r="E49" i="105"/>
  <c r="E74" s="1"/>
  <c r="D56" i="108"/>
  <c r="H56"/>
  <c r="E31" i="31358"/>
  <c r="J49" i="105"/>
  <c r="J74" s="1"/>
  <c r="E31"/>
  <c r="I29" i="31358"/>
  <c r="F60" i="31354"/>
  <c r="G60"/>
  <c r="H60"/>
  <c r="I60"/>
  <c r="E60"/>
  <c r="H52" i="105"/>
  <c r="I52"/>
  <c r="I78" s="1"/>
  <c r="G31" i="31358"/>
  <c r="G52" i="105"/>
  <c r="J31" i="31358"/>
  <c r="D19" i="108"/>
  <c r="D63" s="1"/>
  <c r="E52" i="105"/>
  <c r="E78" s="1"/>
  <c r="D9" i="31358"/>
  <c r="D61" s="1"/>
  <c r="F31"/>
  <c r="I31"/>
  <c r="H30"/>
  <c r="H31"/>
  <c r="F48" i="105"/>
  <c r="F75" s="1"/>
  <c r="G29" i="31358"/>
  <c r="E19" i="108"/>
  <c r="E63" s="1"/>
  <c r="L29" i="31358"/>
  <c r="K29"/>
  <c r="D10"/>
  <c r="I19" i="108"/>
  <c r="I63" s="1"/>
  <c r="H19"/>
  <c r="H63" s="1"/>
  <c r="E29" i="31358"/>
  <c r="D49" i="105"/>
  <c r="D74" s="1"/>
  <c r="G19" i="108"/>
  <c r="G63" s="1"/>
  <c r="I48" i="105"/>
  <c r="F52"/>
  <c r="F78" s="1"/>
  <c r="E48"/>
  <c r="E75" s="1"/>
  <c r="F19" i="108"/>
  <c r="F63" s="1"/>
  <c r="F82" i="31371"/>
  <c r="F83"/>
  <c r="F80"/>
  <c r="F81"/>
  <c r="M38" i="105"/>
  <c r="K38"/>
  <c r="N30"/>
  <c r="F77" i="31371"/>
  <c r="F78"/>
  <c r="F76"/>
  <c r="F57"/>
  <c r="F55"/>
  <c r="F58"/>
  <c r="F56"/>
  <c r="F52"/>
  <c r="F53"/>
  <c r="F51"/>
  <c r="V25"/>
  <c r="AD23"/>
  <c r="AE27"/>
  <c r="AB39"/>
  <c r="I15" i="31358"/>
  <c r="D54" i="105"/>
  <c r="D79" s="1"/>
  <c r="E15" i="31358"/>
  <c r="K15"/>
  <c r="F15"/>
  <c r="L15"/>
  <c r="L16" s="1"/>
  <c r="J15"/>
  <c r="N15"/>
  <c r="N16" s="1"/>
  <c r="G15"/>
  <c r="G16" s="1"/>
  <c r="H15"/>
  <c r="H16" s="1"/>
  <c r="D15"/>
  <c r="D34" s="1"/>
  <c r="M15"/>
  <c r="M16" s="1"/>
  <c r="O15"/>
  <c r="O16" s="1"/>
  <c r="F46" i="31371"/>
  <c r="R46" s="1"/>
  <c r="V30"/>
  <c r="V59" s="1"/>
  <c r="V17"/>
  <c r="X25"/>
  <c r="P43"/>
  <c r="AD15"/>
  <c r="AD47" s="1"/>
  <c r="AC15"/>
  <c r="AC47" s="1"/>
  <c r="AF28"/>
  <c r="Y34"/>
  <c r="W36"/>
  <c r="F47"/>
  <c r="R47" s="1"/>
  <c r="X26"/>
  <c r="AB34"/>
  <c r="H29" i="31358"/>
  <c r="E29" i="105"/>
  <c r="AD17" i="31371"/>
  <c r="AD45"/>
  <c r="AE23"/>
  <c r="AE30"/>
  <c r="AE59" s="1"/>
  <c r="AF20"/>
  <c r="AB26"/>
  <c r="AD31"/>
  <c r="AF36"/>
  <c r="DK13"/>
  <c r="CY13"/>
  <c r="CS13"/>
  <c r="BZ13"/>
  <c r="BN13"/>
  <c r="BB13"/>
  <c r="AV13"/>
  <c r="AP13"/>
  <c r="AC13"/>
  <c r="W13"/>
  <c r="Q13"/>
  <c r="DX13"/>
  <c r="CM13"/>
  <c r="DX8" s="1"/>
  <c r="BT13"/>
  <c r="BH13"/>
  <c r="AI13"/>
  <c r="L13"/>
  <c r="L3" s="1"/>
  <c r="M37" i="31380"/>
  <c r="G47" s="1"/>
  <c r="AC32" i="31364" s="1"/>
  <c r="W19" i="31371"/>
  <c r="Z19"/>
  <c r="F70"/>
  <c r="Q70" s="1"/>
  <c r="Y39"/>
  <c r="Z35"/>
  <c r="X24"/>
  <c r="W24"/>
  <c r="V20"/>
  <c r="Y23"/>
  <c r="W32"/>
  <c r="Z22"/>
  <c r="V28"/>
  <c r="X33"/>
  <c r="X38"/>
  <c r="F62"/>
  <c r="S62" s="1"/>
  <c r="X37"/>
  <c r="W29"/>
  <c r="D29" i="105"/>
  <c r="I29"/>
  <c r="W27" i="31371"/>
  <c r="X36"/>
  <c r="L33"/>
  <c r="AV33" s="1"/>
  <c r="AG67" i="31380"/>
  <c r="AG65"/>
  <c r="AG61"/>
  <c r="AG59"/>
  <c r="AG57"/>
  <c r="AH55"/>
  <c r="AG68"/>
  <c r="AG66"/>
  <c r="AG64"/>
  <c r="AG69" s="1"/>
  <c r="AG60"/>
  <c r="AG58"/>
  <c r="AF69"/>
  <c r="U67"/>
  <c r="U65"/>
  <c r="U61"/>
  <c r="U59"/>
  <c r="U57"/>
  <c r="V55"/>
  <c r="U68"/>
  <c r="U66"/>
  <c r="U64"/>
  <c r="U60"/>
  <c r="U58"/>
  <c r="T69"/>
  <c r="T62"/>
  <c r="R21" i="31358"/>
  <c r="F61" i="31371"/>
  <c r="S61" s="1"/>
  <c r="V38"/>
  <c r="V33"/>
  <c r="V27"/>
  <c r="Z21"/>
  <c r="W28"/>
  <c r="W20"/>
  <c r="V19"/>
  <c r="L26"/>
  <c r="M26" s="1"/>
  <c r="X18"/>
  <c r="Y21"/>
  <c r="Y25"/>
  <c r="Y29"/>
  <c r="W34"/>
  <c r="X21"/>
  <c r="V24"/>
  <c r="Z26"/>
  <c r="X29"/>
  <c r="V32"/>
  <c r="Z34"/>
  <c r="V37"/>
  <c r="Z39"/>
  <c r="F54"/>
  <c r="T54" s="1"/>
  <c r="W38"/>
  <c r="W18"/>
  <c r="X20"/>
  <c r="W17"/>
  <c r="F59"/>
  <c r="P59" s="1"/>
  <c r="X32"/>
  <c r="V21"/>
  <c r="W21"/>
  <c r="Y35"/>
  <c r="V31"/>
  <c r="F48"/>
  <c r="P48" s="1"/>
  <c r="F40" i="31364"/>
  <c r="L34" i="31371"/>
  <c r="AK14"/>
  <c r="AK66" s="1"/>
  <c r="P47"/>
  <c r="L27"/>
  <c r="F65"/>
  <c r="F50"/>
  <c r="X39"/>
  <c r="W37"/>
  <c r="X34"/>
  <c r="Z31"/>
  <c r="X28"/>
  <c r="Z25"/>
  <c r="V23"/>
  <c r="Y36"/>
  <c r="Y32"/>
  <c r="W26"/>
  <c r="W22"/>
  <c r="V45"/>
  <c r="V18"/>
  <c r="Z20"/>
  <c r="L17"/>
  <c r="X19"/>
  <c r="X17"/>
  <c r="Y20"/>
  <c r="Y22"/>
  <c r="Y24"/>
  <c r="Y26"/>
  <c r="Y28"/>
  <c r="W31"/>
  <c r="W33"/>
  <c r="W35"/>
  <c r="Y37"/>
  <c r="V22"/>
  <c r="X23"/>
  <c r="Z24"/>
  <c r="V26"/>
  <c r="X27"/>
  <c r="Z28"/>
  <c r="X31"/>
  <c r="Z32"/>
  <c r="V34"/>
  <c r="X35"/>
  <c r="Z36"/>
  <c r="Z37"/>
  <c r="V39"/>
  <c r="F45"/>
  <c r="T45" s="1"/>
  <c r="F49"/>
  <c r="S49" s="1"/>
  <c r="F60"/>
  <c r="Q60" s="1"/>
  <c r="F64"/>
  <c r="S64" s="1"/>
  <c r="W39"/>
  <c r="Y19"/>
  <c r="Y17"/>
  <c r="V15"/>
  <c r="Y18"/>
  <c r="Y38"/>
  <c r="F44"/>
  <c r="Q44" s="1"/>
  <c r="V35"/>
  <c r="V29"/>
  <c r="Z23"/>
  <c r="Y33"/>
  <c r="W25"/>
  <c r="Z17"/>
  <c r="F29" i="105"/>
  <c r="J29"/>
  <c r="H29"/>
  <c r="Z18" i="31371"/>
  <c r="W23"/>
  <c r="Y31"/>
  <c r="X22"/>
  <c r="Z27"/>
  <c r="Z33"/>
  <c r="Z38"/>
  <c r="F63"/>
  <c r="P4" i="31358"/>
  <c r="R4"/>
  <c r="T4"/>
  <c r="V4"/>
  <c r="X4"/>
  <c r="Z4"/>
  <c r="D4"/>
  <c r="F4"/>
  <c r="H4"/>
  <c r="J4"/>
  <c r="L4"/>
  <c r="N4"/>
  <c r="AC4"/>
  <c r="AE4"/>
  <c r="AG4"/>
  <c r="AI4"/>
  <c r="AK4"/>
  <c r="AM4"/>
  <c r="AA21"/>
  <c r="Y21"/>
  <c r="W21"/>
  <c r="U21"/>
  <c r="S21"/>
  <c r="Q21"/>
  <c r="O4"/>
  <c r="Q4"/>
  <c r="S4"/>
  <c r="U4"/>
  <c r="W4"/>
  <c r="Y4"/>
  <c r="AA4"/>
  <c r="E4"/>
  <c r="G4"/>
  <c r="I4"/>
  <c r="K4"/>
  <c r="M4"/>
  <c r="AB4"/>
  <c r="AD4"/>
  <c r="AF4"/>
  <c r="AH4"/>
  <c r="AJ4"/>
  <c r="P21"/>
  <c r="Z21"/>
  <c r="X21"/>
  <c r="V21"/>
  <c r="T21"/>
  <c r="F39" i="31380"/>
  <c r="CU14" i="31371"/>
  <c r="BO14"/>
  <c r="BO66" s="1"/>
  <c r="BQ14"/>
  <c r="BQ66" s="1"/>
  <c r="BH66"/>
  <c r="BJ66"/>
  <c r="BK66"/>
  <c r="DK14"/>
  <c r="DA30"/>
  <c r="DA59" s="1"/>
  <c r="CP14"/>
  <c r="BW66"/>
  <c r="BU66"/>
  <c r="BV66"/>
  <c r="CB66"/>
  <c r="BT66"/>
  <c r="BZ66"/>
  <c r="CL14"/>
  <c r="BG66"/>
  <c r="H28" i="108"/>
  <c r="G48" i="31380"/>
  <c r="G31" i="105"/>
  <c r="J31"/>
  <c r="M31"/>
  <c r="F31"/>
  <c r="I38"/>
  <c r="G38"/>
  <c r="E38"/>
  <c r="D38"/>
  <c r="AI47" i="31371"/>
  <c r="AI14"/>
  <c r="Q85"/>
  <c r="R85"/>
  <c r="L37"/>
  <c r="L15"/>
  <c r="L20"/>
  <c r="L36"/>
  <c r="L32"/>
  <c r="L28"/>
  <c r="L24"/>
  <c r="W45"/>
  <c r="L18"/>
  <c r="L23"/>
  <c r="L31"/>
  <c r="L39"/>
  <c r="F89"/>
  <c r="S89" s="1"/>
  <c r="F90"/>
  <c r="F87"/>
  <c r="F75"/>
  <c r="F72"/>
  <c r="AC39"/>
  <c r="AF39"/>
  <c r="AD38"/>
  <c r="AB37"/>
  <c r="AB36"/>
  <c r="AF34"/>
  <c r="AD33"/>
  <c r="AB32"/>
  <c r="AF30"/>
  <c r="AF59" s="1"/>
  <c r="AD29"/>
  <c r="AB28"/>
  <c r="AF26"/>
  <c r="AD25"/>
  <c r="AB24"/>
  <c r="AF22"/>
  <c r="AD21"/>
  <c r="AB20"/>
  <c r="AE35"/>
  <c r="AE33"/>
  <c r="AE31"/>
  <c r="AC30"/>
  <c r="AC59" s="1"/>
  <c r="AE28"/>
  <c r="AE26"/>
  <c r="AE24"/>
  <c r="AE22"/>
  <c r="AE20"/>
  <c r="AE15"/>
  <c r="AE47" s="1"/>
  <c r="AC45"/>
  <c r="AE17"/>
  <c r="AC18"/>
  <c r="AE19"/>
  <c r="AB18"/>
  <c r="AF19"/>
  <c r="F29" i="31358"/>
  <c r="L35" i="31371"/>
  <c r="L19"/>
  <c r="L22"/>
  <c r="L30"/>
  <c r="L38"/>
  <c r="L25"/>
  <c r="I31" i="105"/>
  <c r="L31"/>
  <c r="H38"/>
  <c r="P85" i="31371"/>
  <c r="S85"/>
  <c r="AB19"/>
  <c r="AF18"/>
  <c r="L29"/>
  <c r="AE21"/>
  <c r="AE25"/>
  <c r="AE29"/>
  <c r="AE32"/>
  <c r="AE36"/>
  <c r="AB22"/>
  <c r="AF24"/>
  <c r="AD27"/>
  <c r="AB30"/>
  <c r="AB59" s="1"/>
  <c r="AF32"/>
  <c r="AD35"/>
  <c r="AF37"/>
  <c r="AC38"/>
  <c r="F73"/>
  <c r="F88"/>
  <c r="M38" i="31358"/>
  <c r="N38" s="1"/>
  <c r="J39"/>
  <c r="K39" s="1"/>
  <c r="H84" i="105"/>
  <c r="H75" s="1"/>
  <c r="L40" i="31358"/>
  <c r="L31" s="1"/>
  <c r="J39" i="105"/>
  <c r="L29"/>
  <c r="K29"/>
  <c r="AH14" i="31371"/>
  <c r="AH47"/>
  <c r="I40" i="105"/>
  <c r="L38"/>
  <c r="N38"/>
  <c r="I36"/>
  <c r="J36"/>
  <c r="CV47" i="31371"/>
  <c r="CV14"/>
  <c r="K36" i="105"/>
  <c r="D37" i="31374"/>
  <c r="K31" i="105"/>
  <c r="D31"/>
  <c r="AU14" i="31371"/>
  <c r="AU66" s="1"/>
  <c r="BS14"/>
  <c r="BS66" s="1"/>
  <c r="CS14"/>
  <c r="AD19"/>
  <c r="AD18"/>
  <c r="AF17"/>
  <c r="AB17"/>
  <c r="AF45"/>
  <c r="AB45"/>
  <c r="AF15"/>
  <c r="AB15"/>
  <c r="L21"/>
  <c r="AC19"/>
  <c r="AE18"/>
  <c r="AC17"/>
  <c r="AE45"/>
  <c r="BY15"/>
  <c r="AC20"/>
  <c r="AC21"/>
  <c r="AC22"/>
  <c r="AC23"/>
  <c r="AC24"/>
  <c r="AC25"/>
  <c r="AC26"/>
  <c r="AC27"/>
  <c r="AC28"/>
  <c r="AC29"/>
  <c r="AC31"/>
  <c r="AC32"/>
  <c r="AC33"/>
  <c r="AC34"/>
  <c r="AC35"/>
  <c r="AC36"/>
  <c r="AC37"/>
  <c r="AD20"/>
  <c r="AB21"/>
  <c r="AF21"/>
  <c r="AD22"/>
  <c r="AB23"/>
  <c r="AF23"/>
  <c r="AD24"/>
  <c r="AB25"/>
  <c r="AF25"/>
  <c r="AD26"/>
  <c r="AB27"/>
  <c r="AF27"/>
  <c r="AD28"/>
  <c r="AB29"/>
  <c r="AF29"/>
  <c r="AD30"/>
  <c r="AD59" s="1"/>
  <c r="AB31"/>
  <c r="AF31"/>
  <c r="AD32"/>
  <c r="AB33"/>
  <c r="AF33"/>
  <c r="AD34"/>
  <c r="AB35"/>
  <c r="AF35"/>
  <c r="AD36"/>
  <c r="AE37"/>
  <c r="AD37"/>
  <c r="AB38"/>
  <c r="AF38"/>
  <c r="AD39"/>
  <c r="P68"/>
  <c r="AE38"/>
  <c r="AE39"/>
  <c r="F69"/>
  <c r="F71"/>
  <c r="F74"/>
  <c r="F79"/>
  <c r="F84"/>
  <c r="F86"/>
  <c r="DW14"/>
  <c r="DY14"/>
  <c r="EA14"/>
  <c r="P40"/>
  <c r="AJ15"/>
  <c r="AL15"/>
  <c r="BM15"/>
  <c r="CM15"/>
  <c r="CO15"/>
  <c r="CT15"/>
  <c r="CO45"/>
  <c r="CO17"/>
  <c r="CO18"/>
  <c r="DA19"/>
  <c r="CN19"/>
  <c r="CN14" s="1"/>
  <c r="CX19"/>
  <c r="DB19"/>
  <c r="DA20"/>
  <c r="CX20"/>
  <c r="DB20"/>
  <c r="DA21"/>
  <c r="CX21"/>
  <c r="DB21"/>
  <c r="DA22"/>
  <c r="CX22"/>
  <c r="DB22"/>
  <c r="DA23"/>
  <c r="CX23"/>
  <c r="DB23"/>
  <c r="DA24"/>
  <c r="CX24"/>
  <c r="DB24"/>
  <c r="DA25"/>
  <c r="CX25"/>
  <c r="DB25"/>
  <c r="DA26"/>
  <c r="CX26"/>
  <c r="DB26"/>
  <c r="DA27"/>
  <c r="CX27"/>
  <c r="DB27"/>
  <c r="DA28"/>
  <c r="CX28"/>
  <c r="DB28"/>
  <c r="DA29"/>
  <c r="CX29"/>
  <c r="DB29"/>
  <c r="CX30"/>
  <c r="CX59" s="1"/>
  <c r="CZ30"/>
  <c r="CZ59" s="1"/>
  <c r="DN30"/>
  <c r="DN31"/>
  <c r="DM31"/>
  <c r="DM14" s="1"/>
  <c r="DN32"/>
  <c r="DM32"/>
  <c r="DN33"/>
  <c r="DM33"/>
  <c r="DN34"/>
  <c r="DM34"/>
  <c r="DN35"/>
  <c r="DM35"/>
  <c r="DN36"/>
  <c r="DM36"/>
  <c r="CO37"/>
  <c r="CO38"/>
  <c r="CO39"/>
  <c r="R15" i="31358"/>
  <c r="R16" s="1"/>
  <c r="E54" i="105"/>
  <c r="E79" s="1"/>
  <c r="X15" i="31358"/>
  <c r="X16" s="1"/>
  <c r="W15"/>
  <c r="W16" s="1"/>
  <c r="U15"/>
  <c r="U16" s="1"/>
  <c r="T15"/>
  <c r="T16" s="1"/>
  <c r="S15"/>
  <c r="S16" s="1"/>
  <c r="Q15"/>
  <c r="Q16" s="1"/>
  <c r="Y15"/>
  <c r="Y16" s="1"/>
  <c r="Z15"/>
  <c r="Z16" s="1"/>
  <c r="AA15"/>
  <c r="AA16" s="1"/>
  <c r="P15"/>
  <c r="P16" s="1"/>
  <c r="V15"/>
  <c r="V16" s="1"/>
  <c r="G30"/>
  <c r="AF15"/>
  <c r="AF16" s="1"/>
  <c r="AL15"/>
  <c r="AL16" s="1"/>
  <c r="AC15"/>
  <c r="AC16" s="1"/>
  <c r="AI15"/>
  <c r="AI16" s="1"/>
  <c r="F54" i="105"/>
  <c r="F79" s="1"/>
  <c r="AB15" i="31358"/>
  <c r="AB16" s="1"/>
  <c r="AD15"/>
  <c r="AD16" s="1"/>
  <c r="AM15"/>
  <c r="AM16" s="1"/>
  <c r="AG15"/>
  <c r="AG16" s="1"/>
  <c r="AH15"/>
  <c r="AH16" s="1"/>
  <c r="AE15"/>
  <c r="AE16" s="1"/>
  <c r="AJ15"/>
  <c r="AJ16" s="1"/>
  <c r="AK15"/>
  <c r="AK16" s="1"/>
  <c r="P44" i="31417" l="1"/>
  <c r="O45"/>
  <c r="N60"/>
  <c r="D62"/>
  <c r="M61"/>
  <c r="D9" i="31390"/>
  <c r="J54" i="105"/>
  <c r="J79" s="1"/>
  <c r="E40" i="31390"/>
  <c r="E44" s="1"/>
  <c r="J40"/>
  <c r="J44" s="1"/>
  <c r="I40"/>
  <c r="I44" s="1"/>
  <c r="G40"/>
  <c r="G44" s="1"/>
  <c r="H40"/>
  <c r="H44" s="1"/>
  <c r="F40"/>
  <c r="F44" s="1"/>
  <c r="H69" i="31408"/>
  <c r="I69"/>
  <c r="G22" i="31390"/>
  <c r="H54" i="31407"/>
  <c r="H58" s="1"/>
  <c r="H52" i="31405"/>
  <c r="F54" i="31407"/>
  <c r="F58" s="1"/>
  <c r="F52" i="31405"/>
  <c r="D54" i="31407"/>
  <c r="D58" s="1"/>
  <c r="D52" i="31405"/>
  <c r="G54" i="31407"/>
  <c r="G58" s="1"/>
  <c r="G52" i="31405"/>
  <c r="E54" i="31407"/>
  <c r="E58" s="1"/>
  <c r="E52" i="31405"/>
  <c r="D34" i="31382"/>
  <c r="D52" s="1"/>
  <c r="D54" s="1"/>
  <c r="D58" s="1"/>
  <c r="D64" s="1"/>
  <c r="G34"/>
  <c r="H22" i="31390"/>
  <c r="I22"/>
  <c r="H46" i="31409"/>
  <c r="H47" s="1"/>
  <c r="H30"/>
  <c r="F46"/>
  <c r="F47" s="1"/>
  <c r="F30"/>
  <c r="D47"/>
  <c r="D70" s="1"/>
  <c r="D30"/>
  <c r="G46"/>
  <c r="G47" s="1"/>
  <c r="G30"/>
  <c r="E47"/>
  <c r="E30"/>
  <c r="H69" i="31382"/>
  <c r="I69"/>
  <c r="H34"/>
  <c r="I34"/>
  <c r="E34"/>
  <c r="E52" s="1"/>
  <c r="E54" s="1"/>
  <c r="E58" s="1"/>
  <c r="E64" s="1"/>
  <c r="F34"/>
  <c r="F52" s="1"/>
  <c r="F54" s="1"/>
  <c r="F58" s="1"/>
  <c r="F64" s="1"/>
  <c r="I34" i="31381"/>
  <c r="G34"/>
  <c r="G52" s="1"/>
  <c r="G54" s="1"/>
  <c r="G58" s="1"/>
  <c r="G64" s="1"/>
  <c r="I31" i="108"/>
  <c r="I33"/>
  <c r="I32"/>
  <c r="E34" i="31381"/>
  <c r="D34"/>
  <c r="D52" s="1"/>
  <c r="D54" s="1"/>
  <c r="D58" s="1"/>
  <c r="D64" s="1"/>
  <c r="F34"/>
  <c r="E16" i="31358"/>
  <c r="D69"/>
  <c r="E62"/>
  <c r="D62"/>
  <c r="D60" s="1"/>
  <c r="F22" i="31390"/>
  <c r="AK22" i="31358"/>
  <c r="AG22"/>
  <c r="AC22"/>
  <c r="AL22"/>
  <c r="AH22"/>
  <c r="AD22"/>
  <c r="AM22"/>
  <c r="AI22"/>
  <c r="AE22"/>
  <c r="AJ22"/>
  <c r="AF22"/>
  <c r="AB22"/>
  <c r="E22" i="31390"/>
  <c r="Y22" i="31358"/>
  <c r="U22"/>
  <c r="Q22"/>
  <c r="Z22"/>
  <c r="V22"/>
  <c r="R22"/>
  <c r="AA22"/>
  <c r="W22"/>
  <c r="S22"/>
  <c r="X22"/>
  <c r="T22"/>
  <c r="P22"/>
  <c r="D22" i="31390"/>
  <c r="M22" i="31358"/>
  <c r="I22"/>
  <c r="E22"/>
  <c r="N22"/>
  <c r="J22"/>
  <c r="F22"/>
  <c r="O22"/>
  <c r="K22"/>
  <c r="G22"/>
  <c r="L22"/>
  <c r="H22"/>
  <c r="D22"/>
  <c r="D29"/>
  <c r="G42"/>
  <c r="F33"/>
  <c r="G41"/>
  <c r="F32"/>
  <c r="D25"/>
  <c r="D16"/>
  <c r="D17"/>
  <c r="D32" i="105"/>
  <c r="F7"/>
  <c r="E66" i="31390"/>
  <c r="J30" i="31358"/>
  <c r="J34"/>
  <c r="J16"/>
  <c r="K34"/>
  <c r="K16"/>
  <c r="D30"/>
  <c r="D14"/>
  <c r="F34"/>
  <c r="F16"/>
  <c r="I34"/>
  <c r="I16"/>
  <c r="M29"/>
  <c r="T89" i="31371"/>
  <c r="R61"/>
  <c r="F14" i="31388"/>
  <c r="F34" s="1"/>
  <c r="G6" i="31390"/>
  <c r="C14" i="31388"/>
  <c r="C34" s="1"/>
  <c r="D6" i="31390"/>
  <c r="E14" i="31388"/>
  <c r="E16" s="1"/>
  <c r="E17" s="1"/>
  <c r="F6" i="31390"/>
  <c r="I57" i="108"/>
  <c r="I6" i="31390"/>
  <c r="D14" i="31388"/>
  <c r="D16" s="1"/>
  <c r="D17" s="1"/>
  <c r="E6" i="31390"/>
  <c r="E10" s="1"/>
  <c r="G14" i="31388"/>
  <c r="G16" s="1"/>
  <c r="G17" s="1"/>
  <c r="H6" i="31390"/>
  <c r="E61" i="105"/>
  <c r="F61"/>
  <c r="I61"/>
  <c r="J61" s="1"/>
  <c r="K61" s="1"/>
  <c r="L61" s="1"/>
  <c r="M61" s="1"/>
  <c r="N61" s="1"/>
  <c r="H61"/>
  <c r="D61"/>
  <c r="G61"/>
  <c r="L9" i="31368"/>
  <c r="L77" s="1"/>
  <c r="D25" i="31367"/>
  <c r="I25" s="1"/>
  <c r="D39"/>
  <c r="I39" s="1"/>
  <c r="I9" i="31368"/>
  <c r="D21" i="31367"/>
  <c r="I21" s="1"/>
  <c r="F42" i="31368"/>
  <c r="D36" i="31367"/>
  <c r="I36" s="1"/>
  <c r="G32" i="105"/>
  <c r="F32"/>
  <c r="BT8" i="31371"/>
  <c r="E32" i="105"/>
  <c r="I67" i="31368"/>
  <c r="D40" i="31367"/>
  <c r="I58" i="31368"/>
  <c r="F9"/>
  <c r="D13" i="105"/>
  <c r="E30" s="1"/>
  <c r="BH8" i="31371"/>
  <c r="R70"/>
  <c r="CM8"/>
  <c r="CY8"/>
  <c r="D6" i="31374"/>
  <c r="D45" i="31367"/>
  <c r="I45" s="1"/>
  <c r="H32" i="105"/>
  <c r="Q59" i="31371"/>
  <c r="T44"/>
  <c r="S60"/>
  <c r="T60"/>
  <c r="Q45"/>
  <c r="T59"/>
  <c r="S59"/>
  <c r="Q46"/>
  <c r="CR14"/>
  <c r="CR45"/>
  <c r="R59"/>
  <c r="H52" i="31382"/>
  <c r="H54" s="1"/>
  <c r="H58" s="1"/>
  <c r="H64" s="1"/>
  <c r="I52"/>
  <c r="I54" s="1"/>
  <c r="I58" s="1"/>
  <c r="I64" s="1"/>
  <c r="G52"/>
  <c r="G54" s="1"/>
  <c r="G58" s="1"/>
  <c r="G64" s="1"/>
  <c r="I52" i="31381"/>
  <c r="I54" s="1"/>
  <c r="I58" s="1"/>
  <c r="I64" s="1"/>
  <c r="H52"/>
  <c r="H54" s="1"/>
  <c r="H58" s="1"/>
  <c r="H64" s="1"/>
  <c r="E52"/>
  <c r="E54" s="1"/>
  <c r="E58" s="1"/>
  <c r="E64" s="1"/>
  <c r="F52"/>
  <c r="F54" s="1"/>
  <c r="F58" s="1"/>
  <c r="F64" s="1"/>
  <c r="E33" i="108"/>
  <c r="H33"/>
  <c r="G28"/>
  <c r="I39"/>
  <c r="I42" i="31354"/>
  <c r="I71"/>
  <c r="G29" i="108"/>
  <c r="G32"/>
  <c r="G33"/>
  <c r="F32"/>
  <c r="E32"/>
  <c r="D28"/>
  <c r="F33"/>
  <c r="F28"/>
  <c r="D39"/>
  <c r="H57"/>
  <c r="D57"/>
  <c r="I27"/>
  <c r="G57"/>
  <c r="G41" i="31364"/>
  <c r="F57" i="108"/>
  <c r="E22"/>
  <c r="E25" s="1"/>
  <c r="E26" s="1"/>
  <c r="F42" i="31364" s="1"/>
  <c r="E57" i="108"/>
  <c r="G61" i="31354"/>
  <c r="G60" i="108"/>
  <c r="H61" i="31354"/>
  <c r="H60" i="108"/>
  <c r="E61" i="31354"/>
  <c r="E60" i="108"/>
  <c r="F61" i="31354"/>
  <c r="F60" i="108"/>
  <c r="I61" i="31354"/>
  <c r="I60" i="108"/>
  <c r="D61" i="31354"/>
  <c r="D60" i="108"/>
  <c r="D32" i="31364"/>
  <c r="D7" i="31374" s="1"/>
  <c r="S46" i="31371"/>
  <c r="P49"/>
  <c r="T46"/>
  <c r="G53" i="105"/>
  <c r="G78"/>
  <c r="G80" s="1"/>
  <c r="G101" s="1"/>
  <c r="D80"/>
  <c r="D101" s="1"/>
  <c r="C56" i="108"/>
  <c r="J48" i="105"/>
  <c r="H78"/>
  <c r="K49"/>
  <c r="K74" s="1"/>
  <c r="K35"/>
  <c r="H53"/>
  <c r="X62" i="31358"/>
  <c r="Y62"/>
  <c r="I62"/>
  <c r="J52" i="105"/>
  <c r="H55"/>
  <c r="H56" s="1"/>
  <c r="G55"/>
  <c r="G56" s="1"/>
  <c r="H41" i="31364"/>
  <c r="AH61" i="31358"/>
  <c r="F41" i="31364"/>
  <c r="I22" i="108"/>
  <c r="I25" s="1"/>
  <c r="I26" s="1"/>
  <c r="M62" i="31358"/>
  <c r="AJ61"/>
  <c r="Z62"/>
  <c r="K31"/>
  <c r="D53" i="105"/>
  <c r="P62" i="31358"/>
  <c r="AG61"/>
  <c r="J62"/>
  <c r="F53" i="105"/>
  <c r="D22" i="108"/>
  <c r="AF61" i="31358"/>
  <c r="E41" i="31364"/>
  <c r="AM62" i="31358"/>
  <c r="AM60" s="1"/>
  <c r="AJ62"/>
  <c r="U62"/>
  <c r="Q61"/>
  <c r="H34"/>
  <c r="S62"/>
  <c r="K62"/>
  <c r="AA62"/>
  <c r="T62"/>
  <c r="AE62"/>
  <c r="I53" i="105"/>
  <c r="AK62" i="31358"/>
  <c r="W62"/>
  <c r="U61"/>
  <c r="H22" i="108"/>
  <c r="V62" i="31358"/>
  <c r="N62"/>
  <c r="I41" i="31364"/>
  <c r="AH62" i="31358"/>
  <c r="AC62"/>
  <c r="K61"/>
  <c r="X61"/>
  <c r="O62"/>
  <c r="AL62"/>
  <c r="AL61"/>
  <c r="AB61"/>
  <c r="F22" i="108"/>
  <c r="F25" s="1"/>
  <c r="J29" i="31358"/>
  <c r="F62"/>
  <c r="Q62"/>
  <c r="S61"/>
  <c r="H62"/>
  <c r="V61"/>
  <c r="I30"/>
  <c r="AI61"/>
  <c r="AD61"/>
  <c r="G62"/>
  <c r="D55" i="105"/>
  <c r="D56" s="1"/>
  <c r="AF62" i="31358"/>
  <c r="AE61"/>
  <c r="AG62"/>
  <c r="AK61"/>
  <c r="L62"/>
  <c r="AA61"/>
  <c r="AI62"/>
  <c r="G22" i="108"/>
  <c r="G25" s="1"/>
  <c r="G26" s="1"/>
  <c r="H42" i="31364" s="1"/>
  <c r="Y61" i="31358"/>
  <c r="R62"/>
  <c r="W61"/>
  <c r="W60" s="1"/>
  <c r="O61"/>
  <c r="R61"/>
  <c r="I34" i="31354"/>
  <c r="H42"/>
  <c r="I69" i="31358"/>
  <c r="E53" i="105"/>
  <c r="T61" i="31358"/>
  <c r="P61"/>
  <c r="AD62"/>
  <c r="F42" i="31354"/>
  <c r="D42"/>
  <c r="E42"/>
  <c r="G42"/>
  <c r="N61" i="31358"/>
  <c r="AB62"/>
  <c r="M61"/>
  <c r="M60" s="1"/>
  <c r="I55" i="105"/>
  <c r="I56" s="1"/>
  <c r="Z61" i="31358"/>
  <c r="Z60" s="1"/>
  <c r="AC61"/>
  <c r="AC60" s="1"/>
  <c r="N69"/>
  <c r="H69"/>
  <c r="T70" i="31371"/>
  <c r="P61"/>
  <c r="G69" i="31358"/>
  <c r="G34"/>
  <c r="P62" i="31371"/>
  <c r="Q89"/>
  <c r="Q47"/>
  <c r="T47"/>
  <c r="E30" i="108"/>
  <c r="P46" i="31371"/>
  <c r="AV26"/>
  <c r="S47"/>
  <c r="T48"/>
  <c r="P64"/>
  <c r="E69" i="31358"/>
  <c r="J69"/>
  <c r="M69"/>
  <c r="S48" i="31371"/>
  <c r="K69" i="31358"/>
  <c r="E34"/>
  <c r="L69"/>
  <c r="F69"/>
  <c r="R89" i="31371"/>
  <c r="P89"/>
  <c r="Q48"/>
  <c r="R48"/>
  <c r="S45"/>
  <c r="T61"/>
  <c r="T62"/>
  <c r="DK8"/>
  <c r="CS8"/>
  <c r="BZ8"/>
  <c r="BN8"/>
  <c r="BB8"/>
  <c r="F61" i="31358"/>
  <c r="F60" s="1"/>
  <c r="J61"/>
  <c r="L61"/>
  <c r="L60" s="1"/>
  <c r="E29" i="108"/>
  <c r="H69" i="31354"/>
  <c r="G30" i="108"/>
  <c r="DY13" i="31371"/>
  <c r="CN13"/>
  <c r="BU13"/>
  <c r="BI13"/>
  <c r="AJ13"/>
  <c r="M13"/>
  <c r="M3" s="1"/>
  <c r="DL13"/>
  <c r="CZ13"/>
  <c r="CT13"/>
  <c r="CA13"/>
  <c r="BO13"/>
  <c r="BC13"/>
  <c r="AW13"/>
  <c r="AQ13"/>
  <c r="AD13"/>
  <c r="X13"/>
  <c r="R13"/>
  <c r="F31" i="31364"/>
  <c r="F35" s="1"/>
  <c r="D31"/>
  <c r="D4" i="31374" s="1"/>
  <c r="P70" i="31371"/>
  <c r="S70"/>
  <c r="Q61"/>
  <c r="R62"/>
  <c r="Q62"/>
  <c r="M33"/>
  <c r="AG62" i="31380"/>
  <c r="AH68"/>
  <c r="AH66"/>
  <c r="AH64"/>
  <c r="AH60"/>
  <c r="AH58"/>
  <c r="AH67"/>
  <c r="AH65"/>
  <c r="AH61"/>
  <c r="AH59"/>
  <c r="AH57"/>
  <c r="AI55"/>
  <c r="U69"/>
  <c r="U62"/>
  <c r="V68"/>
  <c r="V66"/>
  <c r="V64"/>
  <c r="V60"/>
  <c r="V58"/>
  <c r="V67"/>
  <c r="V65"/>
  <c r="V61"/>
  <c r="V59"/>
  <c r="V57"/>
  <c r="V62" s="1"/>
  <c r="W55"/>
  <c r="S54" i="31371"/>
  <c r="P54"/>
  <c r="R54"/>
  <c r="Q54"/>
  <c r="AW26"/>
  <c r="N26"/>
  <c r="G40" i="31364"/>
  <c r="D8" i="31374"/>
  <c r="M34" i="31371"/>
  <c r="AV34"/>
  <c r="E21" i="31358"/>
  <c r="G21"/>
  <c r="I21"/>
  <c r="K21"/>
  <c r="M21"/>
  <c r="O21"/>
  <c r="F21"/>
  <c r="H21"/>
  <c r="J21"/>
  <c r="L21"/>
  <c r="N21"/>
  <c r="D21"/>
  <c r="AD21"/>
  <c r="AF21"/>
  <c r="AH21"/>
  <c r="AJ21"/>
  <c r="AL21"/>
  <c r="AB21"/>
  <c r="AC21"/>
  <c r="AE21"/>
  <c r="AG21"/>
  <c r="AI21"/>
  <c r="AK21"/>
  <c r="AM21"/>
  <c r="R63" i="31371"/>
  <c r="P63"/>
  <c r="T63"/>
  <c r="Q63"/>
  <c r="S63"/>
  <c r="V47"/>
  <c r="V14"/>
  <c r="T64"/>
  <c r="R64"/>
  <c r="Q64"/>
  <c r="Q49"/>
  <c r="T49"/>
  <c r="R49"/>
  <c r="AV17"/>
  <c r="M17"/>
  <c r="S65"/>
  <c r="T65"/>
  <c r="R65"/>
  <c r="Q65"/>
  <c r="P65"/>
  <c r="S44"/>
  <c r="P44"/>
  <c r="R44"/>
  <c r="P60"/>
  <c r="R60"/>
  <c r="R45"/>
  <c r="P45"/>
  <c r="R50"/>
  <c r="P50"/>
  <c r="Q50"/>
  <c r="T50"/>
  <c r="S50"/>
  <c r="AV27"/>
  <c r="M27"/>
  <c r="H39" i="108"/>
  <c r="CX14" i="31371"/>
  <c r="AH66"/>
  <c r="F29" i="108"/>
  <c r="D29"/>
  <c r="U69" i="31358"/>
  <c r="V69"/>
  <c r="E23" i="108"/>
  <c r="I61" i="31358"/>
  <c r="I60" s="1"/>
  <c r="G61"/>
  <c r="Q73" i="31371"/>
  <c r="S73"/>
  <c r="P73"/>
  <c r="R73"/>
  <c r="T73"/>
  <c r="AV29"/>
  <c r="M29"/>
  <c r="M38"/>
  <c r="AV38"/>
  <c r="M22"/>
  <c r="AV22"/>
  <c r="AV35"/>
  <c r="M35"/>
  <c r="S75"/>
  <c r="T75"/>
  <c r="R75"/>
  <c r="Q75"/>
  <c r="P75"/>
  <c r="S90"/>
  <c r="T90"/>
  <c r="P90"/>
  <c r="Q90"/>
  <c r="R90"/>
  <c r="M39"/>
  <c r="AV39"/>
  <c r="M23"/>
  <c r="AV23"/>
  <c r="AV45"/>
  <c r="X45"/>
  <c r="M28"/>
  <c r="AV28"/>
  <c r="M36"/>
  <c r="AV36"/>
  <c r="AV15"/>
  <c r="AV47" s="1"/>
  <c r="W15"/>
  <c r="M15"/>
  <c r="AI66"/>
  <c r="Q88"/>
  <c r="T88"/>
  <c r="R88"/>
  <c r="P88"/>
  <c r="S88"/>
  <c r="AV25"/>
  <c r="M25"/>
  <c r="M30"/>
  <c r="W30"/>
  <c r="W59" s="1"/>
  <c r="AV30"/>
  <c r="AV59" s="1"/>
  <c r="AV19"/>
  <c r="M19"/>
  <c r="S72"/>
  <c r="T72"/>
  <c r="P72"/>
  <c r="Q72"/>
  <c r="R72"/>
  <c r="S87"/>
  <c r="T87"/>
  <c r="P87"/>
  <c r="R87"/>
  <c r="Q87"/>
  <c r="M31"/>
  <c r="AV31"/>
  <c r="AV18"/>
  <c r="M18"/>
  <c r="M24"/>
  <c r="AV24"/>
  <c r="M32"/>
  <c r="AV32"/>
  <c r="M20"/>
  <c r="AV20"/>
  <c r="M37"/>
  <c r="AV37"/>
  <c r="CO47"/>
  <c r="CO14"/>
  <c r="BM47"/>
  <c r="BM14"/>
  <c r="AL47"/>
  <c r="AL14"/>
  <c r="T86"/>
  <c r="S86"/>
  <c r="P86"/>
  <c r="R86"/>
  <c r="Q86"/>
  <c r="Q79"/>
  <c r="R79"/>
  <c r="S79"/>
  <c r="T79"/>
  <c r="P79"/>
  <c r="T71"/>
  <c r="P71"/>
  <c r="S71"/>
  <c r="R71"/>
  <c r="Q71"/>
  <c r="BY47"/>
  <c r="BY14"/>
  <c r="AB47"/>
  <c r="AB14"/>
  <c r="D17" i="31367"/>
  <c r="E30" i="31358"/>
  <c r="J40" i="105"/>
  <c r="L39" i="31358"/>
  <c r="K30"/>
  <c r="DB14" i="31371"/>
  <c r="AC14"/>
  <c r="AC66" s="1"/>
  <c r="AD14"/>
  <c r="AD66" s="1"/>
  <c r="CZ14"/>
  <c r="DN59"/>
  <c r="DN14"/>
  <c r="CT47"/>
  <c r="CT14"/>
  <c r="CM47"/>
  <c r="CM14"/>
  <c r="BA47"/>
  <c r="BA14"/>
  <c r="AJ14"/>
  <c r="AJ47"/>
  <c r="R84"/>
  <c r="Q84"/>
  <c r="S84"/>
  <c r="P84"/>
  <c r="T84"/>
  <c r="S74"/>
  <c r="T74"/>
  <c r="P74"/>
  <c r="Q74"/>
  <c r="R74"/>
  <c r="R69"/>
  <c r="Q69"/>
  <c r="S69"/>
  <c r="P69"/>
  <c r="T69"/>
  <c r="AV21"/>
  <c r="M21"/>
  <c r="AF47"/>
  <c r="AF14"/>
  <c r="N36" i="105"/>
  <c r="J24"/>
  <c r="M29"/>
  <c r="K39"/>
  <c r="M40" i="31358"/>
  <c r="L34"/>
  <c r="I84" i="105"/>
  <c r="I75" s="1"/>
  <c r="N29" i="31358"/>
  <c r="O38"/>
  <c r="DA14" i="31371"/>
  <c r="AE14"/>
  <c r="AE66" s="1"/>
  <c r="L36" i="105"/>
  <c r="M36"/>
  <c r="Z69" i="31358"/>
  <c r="X69"/>
  <c r="S69"/>
  <c r="R69"/>
  <c r="E55" i="105"/>
  <c r="E80"/>
  <c r="E101" s="1"/>
  <c r="F30" i="31358"/>
  <c r="E61"/>
  <c r="O69"/>
  <c r="Y69"/>
  <c r="P69"/>
  <c r="T69"/>
  <c r="W69"/>
  <c r="Q69"/>
  <c r="H61"/>
  <c r="H60" s="1"/>
  <c r="AI69"/>
  <c r="AG69"/>
  <c r="AL69"/>
  <c r="AM69"/>
  <c r="AA69"/>
  <c r="AB69"/>
  <c r="AE69"/>
  <c r="AJ69"/>
  <c r="AD69"/>
  <c r="AF69"/>
  <c r="AC69"/>
  <c r="F80" i="105"/>
  <c r="F55"/>
  <c r="AH69" i="31358"/>
  <c r="AK69"/>
  <c r="P45" i="31417" l="1"/>
  <c r="O46"/>
  <c r="N61"/>
  <c r="E70" i="31409"/>
  <c r="E71" s="1"/>
  <c r="D63" i="31417"/>
  <c r="M62"/>
  <c r="E54" i="31405"/>
  <c r="E55" s="1"/>
  <c r="E53"/>
  <c r="G54"/>
  <c r="G55" s="1"/>
  <c r="G53"/>
  <c r="D54"/>
  <c r="D55" s="1"/>
  <c r="D53"/>
  <c r="F54"/>
  <c r="F58" s="1"/>
  <c r="F59" s="1"/>
  <c r="F53"/>
  <c r="H54"/>
  <c r="H55" s="1"/>
  <c r="H53"/>
  <c r="AA60" i="31358"/>
  <c r="E60"/>
  <c r="D10" i="31390"/>
  <c r="G34" i="31388"/>
  <c r="G35" s="1"/>
  <c r="F35" i="31358"/>
  <c r="AE60"/>
  <c r="K60"/>
  <c r="J60"/>
  <c r="AK60"/>
  <c r="K54" i="105"/>
  <c r="K79" s="1"/>
  <c r="N60" i="31358"/>
  <c r="E62" i="31405"/>
  <c r="E63" s="1"/>
  <c r="E64" i="31407"/>
  <c r="G62" i="31405"/>
  <c r="G63" s="1"/>
  <c r="G64" i="31407"/>
  <c r="D62" i="31405"/>
  <c r="D64" i="31407"/>
  <c r="F62" i="31405"/>
  <c r="F63" s="1"/>
  <c r="F64" i="31407"/>
  <c r="H62" i="31405"/>
  <c r="H64" i="31407"/>
  <c r="G60" i="31358"/>
  <c r="T60"/>
  <c r="O60"/>
  <c r="X60"/>
  <c r="P60"/>
  <c r="Y60"/>
  <c r="F16" i="31388"/>
  <c r="F17" s="1"/>
  <c r="D70" i="31408"/>
  <c r="D70" i="31382"/>
  <c r="G70" i="31408"/>
  <c r="G70" i="31382"/>
  <c r="E70" i="31408"/>
  <c r="E70" i="31382"/>
  <c r="E70" i="31407"/>
  <c r="E70" i="31405" s="1"/>
  <c r="E70" i="31381"/>
  <c r="I70" i="31407"/>
  <c r="H70"/>
  <c r="H70" i="31381"/>
  <c r="I70"/>
  <c r="I69" i="31407"/>
  <c r="H69"/>
  <c r="I69" i="31381"/>
  <c r="H69"/>
  <c r="D69" i="31407"/>
  <c r="D69" i="31381"/>
  <c r="F69" i="31354"/>
  <c r="F69" i="31408"/>
  <c r="F69" i="31382"/>
  <c r="G69" i="31408"/>
  <c r="G69" i="31382"/>
  <c r="D23" i="31390"/>
  <c r="I23"/>
  <c r="F23"/>
  <c r="E23"/>
  <c r="H23"/>
  <c r="G23"/>
  <c r="E60" i="31409"/>
  <c r="E61" s="1"/>
  <c r="G70"/>
  <c r="G71" s="1"/>
  <c r="G60"/>
  <c r="G61" s="1"/>
  <c r="R60" i="31358"/>
  <c r="V60"/>
  <c r="S60"/>
  <c r="AL60"/>
  <c r="I70" i="31408"/>
  <c r="H70"/>
  <c r="H71" s="1"/>
  <c r="H70" i="31382"/>
  <c r="H71" s="1"/>
  <c r="I70"/>
  <c r="I71" s="1"/>
  <c r="F70" i="31408"/>
  <c r="F70" i="31382"/>
  <c r="D70" i="31407"/>
  <c r="D70" i="31405" s="1"/>
  <c r="D70" i="31381"/>
  <c r="F70" i="31407"/>
  <c r="F70" i="31405" s="1"/>
  <c r="F70" i="31381"/>
  <c r="G70" i="31407"/>
  <c r="G70" i="31405" s="1"/>
  <c r="G70" i="31381"/>
  <c r="G69" i="31407"/>
  <c r="G69" i="31381"/>
  <c r="G71" s="1"/>
  <c r="E69" i="31407"/>
  <c r="E69" i="31381"/>
  <c r="F69" i="31407"/>
  <c r="F69" i="31381"/>
  <c r="F71" s="1"/>
  <c r="E69" i="31354"/>
  <c r="E69" i="31408"/>
  <c r="E71" s="1"/>
  <c r="E69" i="31382"/>
  <c r="E71" s="1"/>
  <c r="D69" i="31354"/>
  <c r="D69" i="31408"/>
  <c r="D71" s="1"/>
  <c r="D69" i="31382"/>
  <c r="D71" i="31409"/>
  <c r="D60"/>
  <c r="D61" s="1"/>
  <c r="F70"/>
  <c r="F71" s="1"/>
  <c r="F60"/>
  <c r="F61" s="1"/>
  <c r="H70"/>
  <c r="H71" s="1"/>
  <c r="H60"/>
  <c r="H61" s="1"/>
  <c r="I71" i="31408"/>
  <c r="U60" i="31358"/>
  <c r="D27" i="31374"/>
  <c r="D30"/>
  <c r="AB60" i="31358"/>
  <c r="AJ60"/>
  <c r="AH60"/>
  <c r="D21" i="31374"/>
  <c r="AI60" i="31358"/>
  <c r="AF60"/>
  <c r="AG60"/>
  <c r="D18" i="31374"/>
  <c r="D24"/>
  <c r="AD60" i="31358"/>
  <c r="Q60"/>
  <c r="J75"/>
  <c r="R75"/>
  <c r="AI75"/>
  <c r="AC75"/>
  <c r="E34" i="31388"/>
  <c r="F49" s="1"/>
  <c r="D35" i="31358"/>
  <c r="K75"/>
  <c r="E75"/>
  <c r="H75"/>
  <c r="S75"/>
  <c r="Z75"/>
  <c r="P75"/>
  <c r="AA75"/>
  <c r="AH75"/>
  <c r="AK75"/>
  <c r="D34" i="31388"/>
  <c r="D49" s="1"/>
  <c r="G75" i="31358"/>
  <c r="N75"/>
  <c r="D75"/>
  <c r="O75"/>
  <c r="V75"/>
  <c r="Y75"/>
  <c r="AD75"/>
  <c r="AG75"/>
  <c r="AJ75"/>
  <c r="M75"/>
  <c r="U75"/>
  <c r="X75"/>
  <c r="AF75"/>
  <c r="AM75"/>
  <c r="AL75"/>
  <c r="F75"/>
  <c r="I75"/>
  <c r="L75"/>
  <c r="W75"/>
  <c r="Q75"/>
  <c r="T75"/>
  <c r="AE75"/>
  <c r="AB75"/>
  <c r="E35"/>
  <c r="H42"/>
  <c r="G33"/>
  <c r="H41"/>
  <c r="G32"/>
  <c r="E41" i="105"/>
  <c r="G7"/>
  <c r="F66" i="31390"/>
  <c r="I37"/>
  <c r="I39" s="1"/>
  <c r="I46" s="1"/>
  <c r="D37"/>
  <c r="D39" s="1"/>
  <c r="D46" s="1"/>
  <c r="J37"/>
  <c r="J39" s="1"/>
  <c r="J46" s="1"/>
  <c r="F37"/>
  <c r="F39" s="1"/>
  <c r="F46" s="1"/>
  <c r="H37"/>
  <c r="H39" s="1"/>
  <c r="H46" s="1"/>
  <c r="G37"/>
  <c r="G39" s="1"/>
  <c r="G46" s="1"/>
  <c r="E37"/>
  <c r="E39" s="1"/>
  <c r="E46" s="1"/>
  <c r="D12"/>
  <c r="H34"/>
  <c r="H12"/>
  <c r="H10"/>
  <c r="I34"/>
  <c r="I12"/>
  <c r="I10"/>
  <c r="G34"/>
  <c r="G12"/>
  <c r="G10"/>
  <c r="E34"/>
  <c r="E12"/>
  <c r="F34"/>
  <c r="F12"/>
  <c r="F10"/>
  <c r="F35" i="31388"/>
  <c r="C49"/>
  <c r="C35"/>
  <c r="D23" i="31367"/>
  <c r="I23" s="1"/>
  <c r="D19"/>
  <c r="I19" s="1"/>
  <c r="I17"/>
  <c r="D41"/>
  <c r="I41" s="1"/>
  <c r="I40"/>
  <c r="I57" i="31368"/>
  <c r="I77" s="1"/>
  <c r="D54" i="31367" s="1"/>
  <c r="I54" s="1"/>
  <c r="J30" i="105"/>
  <c r="J41" s="1"/>
  <c r="D30"/>
  <c r="D41" s="1"/>
  <c r="L30"/>
  <c r="D24"/>
  <c r="D112" s="1"/>
  <c r="H30"/>
  <c r="H41" s="1"/>
  <c r="M30"/>
  <c r="K30"/>
  <c r="F30"/>
  <c r="F41" s="1"/>
  <c r="I30"/>
  <c r="I41" s="1"/>
  <c r="G30"/>
  <c r="G41" s="1"/>
  <c r="D37" i="31367"/>
  <c r="I37" s="1"/>
  <c r="I73" i="31354"/>
  <c r="I74"/>
  <c r="I75"/>
  <c r="I76"/>
  <c r="D69" i="108"/>
  <c r="F23"/>
  <c r="E69"/>
  <c r="I23"/>
  <c r="D25"/>
  <c r="G23"/>
  <c r="H25"/>
  <c r="H26" s="1"/>
  <c r="I42" i="31364" s="1"/>
  <c r="H23" i="108"/>
  <c r="D23"/>
  <c r="K48" i="105"/>
  <c r="D26" i="108"/>
  <c r="E42" i="31364" s="1"/>
  <c r="F26" i="108"/>
  <c r="G42" i="31364" s="1"/>
  <c r="J78" i="105"/>
  <c r="L49"/>
  <c r="L74" s="1"/>
  <c r="L35"/>
  <c r="M35"/>
  <c r="D113"/>
  <c r="K52"/>
  <c r="H80"/>
  <c r="H101" s="1"/>
  <c r="D42" i="31374"/>
  <c r="I52" i="31354"/>
  <c r="J55" i="105"/>
  <c r="J56" s="1"/>
  <c r="J53"/>
  <c r="I34" i="108"/>
  <c r="H69"/>
  <c r="G69" i="31354"/>
  <c r="E70"/>
  <c r="H70"/>
  <c r="H71" s="1"/>
  <c r="CT8" i="31371"/>
  <c r="BO8"/>
  <c r="DY8"/>
  <c r="DL8"/>
  <c r="CA8"/>
  <c r="BC8"/>
  <c r="BU8"/>
  <c r="CZ8"/>
  <c r="BI8"/>
  <c r="CN8"/>
  <c r="F70" i="31354"/>
  <c r="D70"/>
  <c r="G70"/>
  <c r="E31" i="108"/>
  <c r="D27"/>
  <c r="DM13" i="31371"/>
  <c r="DA13"/>
  <c r="CU13"/>
  <c r="CB13"/>
  <c r="BP13"/>
  <c r="BD13"/>
  <c r="AX13"/>
  <c r="AR13"/>
  <c r="AE13"/>
  <c r="Y13"/>
  <c r="S13"/>
  <c r="DZ13"/>
  <c r="CO13"/>
  <c r="BV13"/>
  <c r="BJ13"/>
  <c r="AK13"/>
  <c r="N13"/>
  <c r="N3" s="1"/>
  <c r="D9" i="31374"/>
  <c r="N33" i="31371"/>
  <c r="AW33"/>
  <c r="AH62" i="31380"/>
  <c r="AI67"/>
  <c r="AI65"/>
  <c r="AI61"/>
  <c r="AI59"/>
  <c r="AI57"/>
  <c r="AI68"/>
  <c r="AI66"/>
  <c r="AI64"/>
  <c r="AI60"/>
  <c r="AI58"/>
  <c r="AH69"/>
  <c r="W67"/>
  <c r="W65"/>
  <c r="W61"/>
  <c r="W59"/>
  <c r="W57"/>
  <c r="W68"/>
  <c r="W66"/>
  <c r="W64"/>
  <c r="W69" s="1"/>
  <c r="W60"/>
  <c r="W58"/>
  <c r="V69"/>
  <c r="AX26" i="31371"/>
  <c r="O26"/>
  <c r="AY26" s="1"/>
  <c r="V66"/>
  <c r="H40" i="31364"/>
  <c r="N34" i="31371"/>
  <c r="AW34"/>
  <c r="E56" i="105"/>
  <c r="AW17" i="31371"/>
  <c r="N17"/>
  <c r="AW27"/>
  <c r="N27"/>
  <c r="S91"/>
  <c r="R91"/>
  <c r="BM66"/>
  <c r="F39" i="108"/>
  <c r="G39"/>
  <c r="E39"/>
  <c r="D32"/>
  <c r="D33"/>
  <c r="BY66" i="31371"/>
  <c r="D30" i="108"/>
  <c r="F30"/>
  <c r="H29"/>
  <c r="AF66" i="31371"/>
  <c r="E113" i="105"/>
  <c r="E114" s="1"/>
  <c r="AJ66" i="31371"/>
  <c r="AW37"/>
  <c r="N37"/>
  <c r="AW20"/>
  <c r="N20"/>
  <c r="AW32"/>
  <c r="N32"/>
  <c r="N24"/>
  <c r="AW24"/>
  <c r="N31"/>
  <c r="AW31"/>
  <c r="AW19"/>
  <c r="N19"/>
  <c r="AW30"/>
  <c r="AW59" s="1"/>
  <c r="X30"/>
  <c r="X59" s="1"/>
  <c r="N30"/>
  <c r="AW15"/>
  <c r="AW47" s="1"/>
  <c r="N15"/>
  <c r="X15"/>
  <c r="AW36"/>
  <c r="N36"/>
  <c r="N28"/>
  <c r="AW28"/>
  <c r="N23"/>
  <c r="AW23"/>
  <c r="AW39"/>
  <c r="N39"/>
  <c r="AW22"/>
  <c r="N22"/>
  <c r="N38"/>
  <c r="AW38"/>
  <c r="AW18"/>
  <c r="N18"/>
  <c r="N25"/>
  <c r="AW25"/>
  <c r="W47"/>
  <c r="W14"/>
  <c r="AW45"/>
  <c r="Y45"/>
  <c r="AW35"/>
  <c r="N35"/>
  <c r="AW29"/>
  <c r="N29"/>
  <c r="AV14"/>
  <c r="AV66" s="1"/>
  <c r="P91"/>
  <c r="AB66"/>
  <c r="J84" i="105"/>
  <c r="J75" s="1"/>
  <c r="I80"/>
  <c r="N40" i="31358"/>
  <c r="M34"/>
  <c r="M31"/>
  <c r="AW21" i="31371"/>
  <c r="N21"/>
  <c r="K40" i="105"/>
  <c r="T91" i="31371"/>
  <c r="O29" i="31358"/>
  <c r="P38"/>
  <c r="L39" i="105"/>
  <c r="N29"/>
  <c r="K24"/>
  <c r="K112" s="1"/>
  <c r="J112"/>
  <c r="M39" i="31358"/>
  <c r="L30"/>
  <c r="D28" i="31367"/>
  <c r="I28" s="1"/>
  <c r="Q91" i="31371"/>
  <c r="BA66"/>
  <c r="AL66"/>
  <c r="F56" i="105"/>
  <c r="F101"/>
  <c r="F113"/>
  <c r="F114" s="1"/>
  <c r="G113"/>
  <c r="G114" s="1"/>
  <c r="O47" i="31417" l="1"/>
  <c r="P46"/>
  <c r="N62"/>
  <c r="D64"/>
  <c r="M63"/>
  <c r="G49" i="31388"/>
  <c r="G58" i="31405"/>
  <c r="G59" s="1"/>
  <c r="F55"/>
  <c r="D58"/>
  <c r="D59" s="1"/>
  <c r="E58"/>
  <c r="E59" s="1"/>
  <c r="H58"/>
  <c r="H59" s="1"/>
  <c r="H63"/>
  <c r="D63"/>
  <c r="C62"/>
  <c r="F64"/>
  <c r="F65" s="1"/>
  <c r="E71" i="31354"/>
  <c r="L54" i="105"/>
  <c r="M54" s="1"/>
  <c r="D71" i="31382"/>
  <c r="D76" s="1"/>
  <c r="F71" i="31354"/>
  <c r="F75" s="1"/>
  <c r="D71"/>
  <c r="D73" s="1"/>
  <c r="E71" i="31381"/>
  <c r="E76" s="1"/>
  <c r="G71" i="31382"/>
  <c r="G74" s="1"/>
  <c r="E35" i="31388"/>
  <c r="E41" s="1"/>
  <c r="G71" i="31408"/>
  <c r="G73" s="1"/>
  <c r="I76" i="31382"/>
  <c r="I73"/>
  <c r="I75"/>
  <c r="I74"/>
  <c r="H74" i="31408"/>
  <c r="H73"/>
  <c r="H76"/>
  <c r="H75"/>
  <c r="I15" i="31390"/>
  <c r="D74" i="31408"/>
  <c r="D73"/>
  <c r="D76"/>
  <c r="D75"/>
  <c r="E74" i="31382"/>
  <c r="E73"/>
  <c r="E76"/>
  <c r="E75"/>
  <c r="F71" i="31407"/>
  <c r="F69" i="31405"/>
  <c r="F71" s="1"/>
  <c r="E71" i="31407"/>
  <c r="E69" i="31405"/>
  <c r="E71" s="1"/>
  <c r="G71" i="31407"/>
  <c r="G69" i="31405"/>
  <c r="G71" s="1"/>
  <c r="G74" i="31408"/>
  <c r="H71" i="31407"/>
  <c r="H69" i="31405"/>
  <c r="F71" i="31408"/>
  <c r="D71" i="31381"/>
  <c r="H71"/>
  <c r="I70" i="108"/>
  <c r="H70" i="31405"/>
  <c r="I73" i="31408"/>
  <c r="I74"/>
  <c r="I75"/>
  <c r="I76"/>
  <c r="H62" i="31409"/>
  <c r="F62"/>
  <c r="D62"/>
  <c r="D73" i="31382"/>
  <c r="E73" i="31408"/>
  <c r="E74"/>
  <c r="E75"/>
  <c r="E76"/>
  <c r="F74" i="31381"/>
  <c r="F73"/>
  <c r="F76"/>
  <c r="F75"/>
  <c r="E75"/>
  <c r="G73"/>
  <c r="G74"/>
  <c r="G75"/>
  <c r="G76"/>
  <c r="H73" i="31382"/>
  <c r="H74"/>
  <c r="H75"/>
  <c r="H76"/>
  <c r="G62" i="31409"/>
  <c r="E62"/>
  <c r="G75" i="31382"/>
  <c r="D71" i="31407"/>
  <c r="D69" i="31405"/>
  <c r="D71" s="1"/>
  <c r="I71" i="31381"/>
  <c r="I69" i="108"/>
  <c r="I71" i="31407"/>
  <c r="I69" i="31405"/>
  <c r="F71" i="31382"/>
  <c r="F69" i="108"/>
  <c r="I70" i="31405"/>
  <c r="E49" i="31388"/>
  <c r="D35"/>
  <c r="D41" s="1"/>
  <c r="G35" i="31358"/>
  <c r="I41"/>
  <c r="H32"/>
  <c r="I42"/>
  <c r="H33"/>
  <c r="H7" i="105"/>
  <c r="G66" i="31390"/>
  <c r="G13"/>
  <c r="D13"/>
  <c r="I70"/>
  <c r="I58"/>
  <c r="I48"/>
  <c r="F13"/>
  <c r="I13"/>
  <c r="H58"/>
  <c r="H48"/>
  <c r="H70"/>
  <c r="D58"/>
  <c r="D48"/>
  <c r="D70"/>
  <c r="H13"/>
  <c r="G70"/>
  <c r="G58"/>
  <c r="J48"/>
  <c r="J50" s="1"/>
  <c r="J58"/>
  <c r="J70"/>
  <c r="E13"/>
  <c r="E58"/>
  <c r="E48"/>
  <c r="E70"/>
  <c r="G48"/>
  <c r="F70"/>
  <c r="F48"/>
  <c r="F58"/>
  <c r="C41" i="31388"/>
  <c r="G41"/>
  <c r="I57" i="105"/>
  <c r="J57" s="1"/>
  <c r="K57" s="1"/>
  <c r="L57" s="1"/>
  <c r="M57" s="1"/>
  <c r="N57" s="1"/>
  <c r="F41" i="31388"/>
  <c r="D46" i="31367"/>
  <c r="I46" s="1"/>
  <c r="I33" i="31364"/>
  <c r="AC34"/>
  <c r="D114" i="105"/>
  <c r="D25"/>
  <c r="E25" s="1"/>
  <c r="F25" s="1"/>
  <c r="G25" s="1"/>
  <c r="H25" s="1"/>
  <c r="I25" s="1"/>
  <c r="J25" s="1"/>
  <c r="K25" s="1"/>
  <c r="D44"/>
  <c r="D100" s="1"/>
  <c r="D102" s="1"/>
  <c r="D103" s="1"/>
  <c r="D42"/>
  <c r="E42" s="1"/>
  <c r="F42" s="1"/>
  <c r="G42" s="1"/>
  <c r="H42" s="1"/>
  <c r="I42" s="1"/>
  <c r="J42" s="1"/>
  <c r="G69" i="108"/>
  <c r="G70"/>
  <c r="D70"/>
  <c r="E70"/>
  <c r="H70"/>
  <c r="F70"/>
  <c r="L48" i="105"/>
  <c r="I54" i="31354"/>
  <c r="I53"/>
  <c r="E75"/>
  <c r="E74"/>
  <c r="E73"/>
  <c r="E76"/>
  <c r="D76"/>
  <c r="D75"/>
  <c r="H74"/>
  <c r="H73"/>
  <c r="H76"/>
  <c r="H75"/>
  <c r="K78" i="105"/>
  <c r="M49"/>
  <c r="M74" s="1"/>
  <c r="K55"/>
  <c r="K41"/>
  <c r="N35"/>
  <c r="K53"/>
  <c r="K56"/>
  <c r="L52"/>
  <c r="H113"/>
  <c r="H114" s="1"/>
  <c r="D50" i="108"/>
  <c r="G71" i="31354"/>
  <c r="D34"/>
  <c r="D52" s="1"/>
  <c r="F31" i="108"/>
  <c r="EA13" i="31371"/>
  <c r="CP13"/>
  <c r="BW13"/>
  <c r="BK13"/>
  <c r="AL13"/>
  <c r="O13"/>
  <c r="O3" s="1"/>
  <c r="DN13"/>
  <c r="DB13"/>
  <c r="CV13"/>
  <c r="CC13"/>
  <c r="BQ13"/>
  <c r="BE13"/>
  <c r="AY13"/>
  <c r="AS13"/>
  <c r="AF13"/>
  <c r="Z13"/>
  <c r="T13"/>
  <c r="DZ8"/>
  <c r="BD8"/>
  <c r="BJ8"/>
  <c r="BP8"/>
  <c r="BV8"/>
  <c r="CB8"/>
  <c r="CO8"/>
  <c r="CU8"/>
  <c r="DA8"/>
  <c r="DM8"/>
  <c r="O33"/>
  <c r="AY33" s="1"/>
  <c r="AX33"/>
  <c r="AI62" i="31380"/>
  <c r="AI69"/>
  <c r="W62"/>
  <c r="I40" i="31364"/>
  <c r="O34" i="31371"/>
  <c r="AY34" s="1"/>
  <c r="AX34"/>
  <c r="O27"/>
  <c r="AY27" s="1"/>
  <c r="AX27"/>
  <c r="O17"/>
  <c r="AY17" s="1"/>
  <c r="AX17"/>
  <c r="AW14"/>
  <c r="AW66" s="1"/>
  <c r="O91"/>
  <c r="O9" s="1"/>
  <c r="AX29"/>
  <c r="O29"/>
  <c r="AY29" s="1"/>
  <c r="O35"/>
  <c r="AY35" s="1"/>
  <c r="AX35"/>
  <c r="O25"/>
  <c r="AY25" s="1"/>
  <c r="AX25"/>
  <c r="AX22"/>
  <c r="O22"/>
  <c r="AY22" s="1"/>
  <c r="O39"/>
  <c r="AY39" s="1"/>
  <c r="AX39"/>
  <c r="O36"/>
  <c r="AY36" s="1"/>
  <c r="AX36"/>
  <c r="X47"/>
  <c r="X14"/>
  <c r="O19"/>
  <c r="AY19" s="1"/>
  <c r="AX19"/>
  <c r="AX32"/>
  <c r="O32"/>
  <c r="AY32" s="1"/>
  <c r="AX20"/>
  <c r="O20"/>
  <c r="AY20" s="1"/>
  <c r="O37"/>
  <c r="AY37" s="1"/>
  <c r="AX37"/>
  <c r="AX45"/>
  <c r="AX18"/>
  <c r="O18"/>
  <c r="AY18" s="1"/>
  <c r="O38"/>
  <c r="AY38" s="1"/>
  <c r="AX38"/>
  <c r="O23"/>
  <c r="AY23" s="1"/>
  <c r="AX23"/>
  <c r="O28"/>
  <c r="AY28" s="1"/>
  <c r="AX28"/>
  <c r="Y15"/>
  <c r="AX15"/>
  <c r="AX47" s="1"/>
  <c r="O15"/>
  <c r="AX30"/>
  <c r="AX59" s="1"/>
  <c r="O30"/>
  <c r="Y30"/>
  <c r="Y59" s="1"/>
  <c r="AX31"/>
  <c r="O31"/>
  <c r="AY31" s="1"/>
  <c r="O24"/>
  <c r="AY24" s="1"/>
  <c r="AX24"/>
  <c r="W66"/>
  <c r="D29" i="31367"/>
  <c r="I29" s="1"/>
  <c r="N39" i="105"/>
  <c r="M39"/>
  <c r="O21" i="31371"/>
  <c r="AY21" s="1"/>
  <c r="AX21"/>
  <c r="O40" i="31358"/>
  <c r="N31"/>
  <c r="N34"/>
  <c r="K84" i="105"/>
  <c r="K75" s="1"/>
  <c r="J80"/>
  <c r="N39" i="31358"/>
  <c r="M30"/>
  <c r="L24" i="105"/>
  <c r="L112" s="1"/>
  <c r="Q38" i="31358"/>
  <c r="P29"/>
  <c r="L40" i="105"/>
  <c r="I101"/>
  <c r="I113"/>
  <c r="I114" s="1"/>
  <c r="P47" i="31417" l="1"/>
  <c r="O48"/>
  <c r="N63"/>
  <c r="D65"/>
  <c r="M64"/>
  <c r="G64" i="31405"/>
  <c r="G65" s="1"/>
  <c r="E64"/>
  <c r="E65" s="1"/>
  <c r="H64"/>
  <c r="H65" s="1"/>
  <c r="D64"/>
  <c r="D65" s="1"/>
  <c r="E73" i="31381"/>
  <c r="E74"/>
  <c r="L79" i="105"/>
  <c r="G76" i="31382"/>
  <c r="D74"/>
  <c r="F74" i="31354"/>
  <c r="G73" i="31382"/>
  <c r="D75"/>
  <c r="G75" i="31408"/>
  <c r="F76" i="31354"/>
  <c r="D74"/>
  <c r="G76" i="31408"/>
  <c r="F73" i="31354"/>
  <c r="D75" i="31405"/>
  <c r="D76"/>
  <c r="D73"/>
  <c r="D74"/>
  <c r="H73" i="31381"/>
  <c r="H74"/>
  <c r="H75"/>
  <c r="H76"/>
  <c r="F74" i="31408"/>
  <c r="F73"/>
  <c r="F76"/>
  <c r="F75"/>
  <c r="G74" i="31407"/>
  <c r="G73"/>
  <c r="G76"/>
  <c r="G75"/>
  <c r="E74"/>
  <c r="E73"/>
  <c r="E76"/>
  <c r="E75"/>
  <c r="F73"/>
  <c r="F74"/>
  <c r="F75"/>
  <c r="F76"/>
  <c r="I71" i="31405"/>
  <c r="H71"/>
  <c r="D17" i="31390"/>
  <c r="D43" s="1"/>
  <c r="F74" i="31382"/>
  <c r="F73"/>
  <c r="F76"/>
  <c r="F75"/>
  <c r="I74" i="31407"/>
  <c r="I73"/>
  <c r="I76"/>
  <c r="I75"/>
  <c r="I75" i="31381"/>
  <c r="I76"/>
  <c r="I73"/>
  <c r="I74"/>
  <c r="D73" i="31407"/>
  <c r="D74"/>
  <c r="D75"/>
  <c r="D76"/>
  <c r="D73" i="31381"/>
  <c r="D74"/>
  <c r="D75"/>
  <c r="D76"/>
  <c r="H73" i="31407"/>
  <c r="H74"/>
  <c r="H75"/>
  <c r="H76"/>
  <c r="G76" i="31405"/>
  <c r="G75"/>
  <c r="G74"/>
  <c r="G73"/>
  <c r="E76"/>
  <c r="E75"/>
  <c r="E74"/>
  <c r="E73"/>
  <c r="F73"/>
  <c r="F74"/>
  <c r="F75"/>
  <c r="F76"/>
  <c r="H35" i="31358"/>
  <c r="J41"/>
  <c r="I32"/>
  <c r="J42"/>
  <c r="I33"/>
  <c r="I7" i="105"/>
  <c r="H66" i="31390"/>
  <c r="D59" i="105"/>
  <c r="C43" i="31388"/>
  <c r="E44" i="105"/>
  <c r="F44" s="1"/>
  <c r="F100" s="1"/>
  <c r="F102" s="1"/>
  <c r="AC33" i="31364"/>
  <c r="AC35" s="1"/>
  <c r="AC36" s="1"/>
  <c r="D35"/>
  <c r="F36" s="1"/>
  <c r="AY45" i="31371"/>
  <c r="Z45"/>
  <c r="M48" i="105"/>
  <c r="E27" i="108"/>
  <c r="D52"/>
  <c r="N49" i="105"/>
  <c r="N74" s="1"/>
  <c r="I58" i="31354"/>
  <c r="I64" s="1"/>
  <c r="I55"/>
  <c r="D54"/>
  <c r="D53"/>
  <c r="I35" i="31364"/>
  <c r="G73" i="31354"/>
  <c r="G76"/>
  <c r="G75"/>
  <c r="G74"/>
  <c r="L78" i="105"/>
  <c r="M79"/>
  <c r="N54"/>
  <c r="N79" s="1"/>
  <c r="K42"/>
  <c r="L53"/>
  <c r="M52"/>
  <c r="L55"/>
  <c r="L56" s="1"/>
  <c r="E20" i="31358"/>
  <c r="G20"/>
  <c r="F20"/>
  <c r="L20"/>
  <c r="I20"/>
  <c r="N20"/>
  <c r="M20"/>
  <c r="O20"/>
  <c r="K20"/>
  <c r="J20"/>
  <c r="H20"/>
  <c r="D20"/>
  <c r="D49" i="31374"/>
  <c r="E34" i="31354"/>
  <c r="D42" i="108"/>
  <c r="N40" i="105"/>
  <c r="G31" i="108"/>
  <c r="EA8" i="31371"/>
  <c r="BK8"/>
  <c r="BW8"/>
  <c r="CP8"/>
  <c r="DB8"/>
  <c r="BE8"/>
  <c r="BQ8"/>
  <c r="CC8"/>
  <c r="CV8"/>
  <c r="DN8"/>
  <c r="D34" i="108"/>
  <c r="X66" i="31371"/>
  <c r="AY30"/>
  <c r="AY59" s="1"/>
  <c r="Z30"/>
  <c r="Z59" s="1"/>
  <c r="AY15"/>
  <c r="AY47" s="1"/>
  <c r="Z15"/>
  <c r="Y47"/>
  <c r="Y14"/>
  <c r="AX14"/>
  <c r="AX66" s="1"/>
  <c r="M24" i="105"/>
  <c r="M112" s="1"/>
  <c r="O39" i="31358"/>
  <c r="N30"/>
  <c r="L84" i="105"/>
  <c r="L75" s="1"/>
  <c r="K80"/>
  <c r="L41"/>
  <c r="R38" i="31358"/>
  <c r="Q29"/>
  <c r="J101" i="105"/>
  <c r="J113"/>
  <c r="J114" s="1"/>
  <c r="P40" i="31358"/>
  <c r="O34"/>
  <c r="O31"/>
  <c r="L25" i="105"/>
  <c r="M25" s="1"/>
  <c r="M40"/>
  <c r="P48" i="31417" l="1"/>
  <c r="O49"/>
  <c r="N64"/>
  <c r="M65"/>
  <c r="M66" s="1"/>
  <c r="D66"/>
  <c r="I76" i="31405"/>
  <c r="I75"/>
  <c r="I74"/>
  <c r="I73"/>
  <c r="D16" i="31390"/>
  <c r="H73" i="31405"/>
  <c r="H74"/>
  <c r="H75"/>
  <c r="H76"/>
  <c r="D72" i="31358"/>
  <c r="D15" i="31390"/>
  <c r="D18" i="31358"/>
  <c r="I35"/>
  <c r="K42"/>
  <c r="J33"/>
  <c r="K41"/>
  <c r="J32"/>
  <c r="J7" i="105"/>
  <c r="I66" i="31390"/>
  <c r="D33"/>
  <c r="I36" i="31364"/>
  <c r="C15" i="31388"/>
  <c r="C16" s="1"/>
  <c r="D57" i="105"/>
  <c r="G44"/>
  <c r="H44" s="1"/>
  <c r="E100"/>
  <c r="E102" s="1"/>
  <c r="E103" s="1"/>
  <c r="M55"/>
  <c r="N48"/>
  <c r="F27" i="108"/>
  <c r="I59" i="31354"/>
  <c r="D58"/>
  <c r="D64" s="1"/>
  <c r="D55"/>
  <c r="M78" i="105"/>
  <c r="L42"/>
  <c r="M56"/>
  <c r="N24"/>
  <c r="N112" s="1"/>
  <c r="N41"/>
  <c r="M53"/>
  <c r="N52"/>
  <c r="D38" i="31374"/>
  <c r="E52" i="31354"/>
  <c r="E52" i="108" s="1"/>
  <c r="E50"/>
  <c r="G50"/>
  <c r="J72" i="31358"/>
  <c r="E72"/>
  <c r="L72"/>
  <c r="H72"/>
  <c r="G72"/>
  <c r="F50" i="108"/>
  <c r="N72" i="31358"/>
  <c r="K72"/>
  <c r="F72"/>
  <c r="I72"/>
  <c r="M72"/>
  <c r="M19"/>
  <c r="K19"/>
  <c r="N19"/>
  <c r="O19"/>
  <c r="L19"/>
  <c r="D58" i="105"/>
  <c r="I19" i="31358"/>
  <c r="J19"/>
  <c r="D19"/>
  <c r="F19"/>
  <c r="H19"/>
  <c r="E19"/>
  <c r="G19"/>
  <c r="F34" i="31354"/>
  <c r="D10" i="31374"/>
  <c r="AY14" i="31371"/>
  <c r="AY66" s="1"/>
  <c r="H31" i="108"/>
  <c r="D5" i="31374"/>
  <c r="D54" i="108"/>
  <c r="F18" i="31358"/>
  <c r="H18"/>
  <c r="J18"/>
  <c r="L18"/>
  <c r="N18"/>
  <c r="E18"/>
  <c r="G18"/>
  <c r="I18"/>
  <c r="K18"/>
  <c r="M18"/>
  <c r="O18"/>
  <c r="E34" i="108"/>
  <c r="Z47" i="31371"/>
  <c r="Z14"/>
  <c r="Y66"/>
  <c r="G100" i="105"/>
  <c r="G102" s="1"/>
  <c r="K113"/>
  <c r="K114" s="1"/>
  <c r="K101"/>
  <c r="M41"/>
  <c r="F103"/>
  <c r="Q40" i="31358"/>
  <c r="P31"/>
  <c r="P34"/>
  <c r="S38"/>
  <c r="R29"/>
  <c r="M84" i="105"/>
  <c r="M75" s="1"/>
  <c r="L80"/>
  <c r="P39" i="31358"/>
  <c r="O30"/>
  <c r="P49" i="31417" l="1"/>
  <c r="O50"/>
  <c r="N65"/>
  <c r="D35" i="31409"/>
  <c r="D63"/>
  <c r="D20" i="31390"/>
  <c r="D25" s="1"/>
  <c r="D55" s="1"/>
  <c r="I65" i="31354"/>
  <c r="I62" i="108"/>
  <c r="D41" i="31409"/>
  <c r="E15" i="31390"/>
  <c r="F17"/>
  <c r="G17"/>
  <c r="E17"/>
  <c r="D71" i="31358"/>
  <c r="D70"/>
  <c r="J35"/>
  <c r="L42"/>
  <c r="K33"/>
  <c r="L41"/>
  <c r="K32"/>
  <c r="K7" i="105"/>
  <c r="L7" s="1"/>
  <c r="M7" s="1"/>
  <c r="N7" s="1"/>
  <c r="J66" i="31390"/>
  <c r="I41"/>
  <c r="E41"/>
  <c r="H41"/>
  <c r="D41"/>
  <c r="D57"/>
  <c r="G41"/>
  <c r="F41"/>
  <c r="J41"/>
  <c r="D34"/>
  <c r="C17" i="31388"/>
  <c r="C61"/>
  <c r="C62" s="1"/>
  <c r="C18" s="1"/>
  <c r="S20" i="31358"/>
  <c r="G59" i="105"/>
  <c r="AK20" i="31358"/>
  <c r="E57" i="105"/>
  <c r="W20" i="31358"/>
  <c r="G27" i="108"/>
  <c r="E42"/>
  <c r="E54" i="31354"/>
  <c r="E53"/>
  <c r="D58" i="108"/>
  <c r="D55"/>
  <c r="D59" i="31354"/>
  <c r="N53" i="105"/>
  <c r="N78"/>
  <c r="N55"/>
  <c r="N56" s="1"/>
  <c r="M42"/>
  <c r="N42" s="1"/>
  <c r="N25"/>
  <c r="Q20" i="31358"/>
  <c r="T20"/>
  <c r="D39" i="31374"/>
  <c r="F52" i="31354"/>
  <c r="F52" i="108" s="1"/>
  <c r="V20" i="31358"/>
  <c r="E59" i="105"/>
  <c r="L71" i="31358"/>
  <c r="N71"/>
  <c r="AA20"/>
  <c r="X20"/>
  <c r="R20"/>
  <c r="P20"/>
  <c r="O72" s="1"/>
  <c r="Z20"/>
  <c r="Y20"/>
  <c r="U20"/>
  <c r="AF20"/>
  <c r="AC20"/>
  <c r="AI20"/>
  <c r="AH20"/>
  <c r="F59" i="105"/>
  <c r="AE20" i="31358"/>
  <c r="AD20"/>
  <c r="AM20"/>
  <c r="AL20"/>
  <c r="AG20"/>
  <c r="I71"/>
  <c r="AJ20"/>
  <c r="AB20"/>
  <c r="J71"/>
  <c r="F34" i="108"/>
  <c r="H71" i="31358"/>
  <c r="K71"/>
  <c r="H50" i="108"/>
  <c r="D61"/>
  <c r="E61"/>
  <c r="G71" i="31358"/>
  <c r="F71"/>
  <c r="E71"/>
  <c r="M71"/>
  <c r="G34" i="31354"/>
  <c r="D53" i="108"/>
  <c r="E54"/>
  <c r="Q18" i="31358"/>
  <c r="S18"/>
  <c r="U18"/>
  <c r="W18"/>
  <c r="Y18"/>
  <c r="AA18"/>
  <c r="R18"/>
  <c r="T18"/>
  <c r="V18"/>
  <c r="X18"/>
  <c r="Z18"/>
  <c r="P18"/>
  <c r="O70" s="1"/>
  <c r="L70"/>
  <c r="H70"/>
  <c r="N70"/>
  <c r="J70"/>
  <c r="F70"/>
  <c r="K70"/>
  <c r="G70"/>
  <c r="M70"/>
  <c r="I70"/>
  <c r="E70"/>
  <c r="I42" i="108"/>
  <c r="Z66" i="31371"/>
  <c r="T38" i="31358"/>
  <c r="S29"/>
  <c r="P30"/>
  <c r="Q39"/>
  <c r="L113" i="105"/>
  <c r="L114" s="1"/>
  <c r="L101"/>
  <c r="R40" i="31358"/>
  <c r="Q31"/>
  <c r="Q34"/>
  <c r="G103" i="105"/>
  <c r="N84"/>
  <c r="N75" s="1"/>
  <c r="M80"/>
  <c r="H100"/>
  <c r="H102" s="1"/>
  <c r="I44"/>
  <c r="P50" i="31417" l="1"/>
  <c r="O51"/>
  <c r="D76" i="31409"/>
  <c r="D78" s="1"/>
  <c r="D81" s="1"/>
  <c r="D82" s="1"/>
  <c r="D68" i="31390"/>
  <c r="D30"/>
  <c r="D50" s="1"/>
  <c r="D51" s="1"/>
  <c r="D26"/>
  <c r="F43"/>
  <c r="D59" i="108"/>
  <c r="E43" i="31364" s="1"/>
  <c r="D65" i="31354"/>
  <c r="D62" i="108"/>
  <c r="G43" i="31390"/>
  <c r="E43"/>
  <c r="I16"/>
  <c r="H17"/>
  <c r="H43" s="1"/>
  <c r="E16"/>
  <c r="E20" s="1"/>
  <c r="E25" s="1"/>
  <c r="E55" s="1"/>
  <c r="E34" i="31409"/>
  <c r="F15" i="31390"/>
  <c r="K35" i="31358"/>
  <c r="M42"/>
  <c r="L33"/>
  <c r="M41"/>
  <c r="L32"/>
  <c r="D69" i="31390"/>
  <c r="D71" s="1"/>
  <c r="D72" s="1"/>
  <c r="E57"/>
  <c r="D59"/>
  <c r="C20" i="31388"/>
  <c r="H59" i="105"/>
  <c r="I58"/>
  <c r="J58" s="1"/>
  <c r="F57"/>
  <c r="V19" i="31358"/>
  <c r="I52" i="108"/>
  <c r="I54" s="1"/>
  <c r="I58" s="1"/>
  <c r="H27"/>
  <c r="Y19" i="31358"/>
  <c r="U19"/>
  <c r="Z19"/>
  <c r="Q19"/>
  <c r="S19"/>
  <c r="R19"/>
  <c r="W19"/>
  <c r="AA19"/>
  <c r="T19"/>
  <c r="E58" i="105"/>
  <c r="X19" i="31358"/>
  <c r="P19"/>
  <c r="O71" s="1"/>
  <c r="F54" i="31354"/>
  <c r="F53"/>
  <c r="E58"/>
  <c r="E64" s="1"/>
  <c r="E55"/>
  <c r="E58" i="108"/>
  <c r="E55"/>
  <c r="I50"/>
  <c r="AL18" i="31358"/>
  <c r="V72"/>
  <c r="F42" i="108"/>
  <c r="N80" i="105"/>
  <c r="N113" s="1"/>
  <c r="N114" s="1"/>
  <c r="T72" i="31358"/>
  <c r="AE18"/>
  <c r="D40" i="31374"/>
  <c r="G52" i="31354"/>
  <c r="G52" i="108" s="1"/>
  <c r="W72" i="31358"/>
  <c r="Q72"/>
  <c r="S72"/>
  <c r="AL72"/>
  <c r="P72"/>
  <c r="R72"/>
  <c r="Z72"/>
  <c r="D71" i="108"/>
  <c r="AM18" i="31358"/>
  <c r="X72"/>
  <c r="AD18"/>
  <c r="U72"/>
  <c r="AJ18"/>
  <c r="Y72"/>
  <c r="AF72"/>
  <c r="AG18"/>
  <c r="AC72"/>
  <c r="AJ72"/>
  <c r="AB72"/>
  <c r="AA72"/>
  <c r="AI72"/>
  <c r="AE72"/>
  <c r="AD72"/>
  <c r="AH72"/>
  <c r="AK72"/>
  <c r="AM72"/>
  <c r="AG72"/>
  <c r="I71" i="108"/>
  <c r="O23" i="31358"/>
  <c r="O24" s="1"/>
  <c r="O25" s="1"/>
  <c r="F23"/>
  <c r="F24" s="1"/>
  <c r="F25" s="1"/>
  <c r="E23"/>
  <c r="E24" s="1"/>
  <c r="D62" i="105"/>
  <c r="D63" s="1"/>
  <c r="N23" i="31358"/>
  <c r="N24" s="1"/>
  <c r="N25" s="1"/>
  <c r="K23"/>
  <c r="K24" s="1"/>
  <c r="K25" s="1"/>
  <c r="M23"/>
  <c r="M24" s="1"/>
  <c r="M25" s="1"/>
  <c r="H23"/>
  <c r="H24" s="1"/>
  <c r="H25" s="1"/>
  <c r="L23"/>
  <c r="L24" s="1"/>
  <c r="L25" s="1"/>
  <c r="I23"/>
  <c r="I24" s="1"/>
  <c r="I25" s="1"/>
  <c r="D23"/>
  <c r="D24" s="1"/>
  <c r="J23"/>
  <c r="J24" s="1"/>
  <c r="J25" s="1"/>
  <c r="G23"/>
  <c r="G24" s="1"/>
  <c r="G25" s="1"/>
  <c r="Y23"/>
  <c r="Q23"/>
  <c r="T23"/>
  <c r="W23"/>
  <c r="R23"/>
  <c r="AA23"/>
  <c r="S23"/>
  <c r="V23"/>
  <c r="Z23"/>
  <c r="U23"/>
  <c r="X23"/>
  <c r="P23"/>
  <c r="E62" i="105"/>
  <c r="AH18" i="31358"/>
  <c r="AK18"/>
  <c r="AC18"/>
  <c r="AB18"/>
  <c r="AA70" s="1"/>
  <c r="AF18"/>
  <c r="AI18"/>
  <c r="F61" i="108"/>
  <c r="H34" i="31354"/>
  <c r="G34" i="108"/>
  <c r="Q70" i="31358"/>
  <c r="S70"/>
  <c r="R70"/>
  <c r="Y70"/>
  <c r="U70"/>
  <c r="P70"/>
  <c r="X70"/>
  <c r="T70"/>
  <c r="W70"/>
  <c r="Z70"/>
  <c r="V70"/>
  <c r="E53" i="108"/>
  <c r="H103" i="105"/>
  <c r="M101"/>
  <c r="M113"/>
  <c r="M114" s="1"/>
  <c r="J44"/>
  <c r="I100"/>
  <c r="I102" s="1"/>
  <c r="S40" i="31358"/>
  <c r="R31"/>
  <c r="R34"/>
  <c r="R39"/>
  <c r="Q30"/>
  <c r="U38"/>
  <c r="T29"/>
  <c r="P51" i="31417" l="1"/>
  <c r="O52"/>
  <c r="D64" i="108"/>
  <c r="C62"/>
  <c r="E35" i="31409"/>
  <c r="E63"/>
  <c r="E68" i="31390"/>
  <c r="I59" i="108"/>
  <c r="I64"/>
  <c r="E30" i="31390"/>
  <c r="E50" s="1"/>
  <c r="E51" s="1"/>
  <c r="E26"/>
  <c r="I17"/>
  <c r="J43" s="1"/>
  <c r="G15"/>
  <c r="F16"/>
  <c r="F20" s="1"/>
  <c r="F25" s="1"/>
  <c r="F68" s="1"/>
  <c r="F34" i="31409"/>
  <c r="D61" i="31390"/>
  <c r="D63"/>
  <c r="E40" i="31409"/>
  <c r="E41" s="1"/>
  <c r="E37"/>
  <c r="D83"/>
  <c r="E25" i="31358"/>
  <c r="D76"/>
  <c r="D68" s="1"/>
  <c r="D77" s="1"/>
  <c r="D79" s="1"/>
  <c r="L35"/>
  <c r="N42"/>
  <c r="M33"/>
  <c r="N41"/>
  <c r="M32"/>
  <c r="F57" i="31390"/>
  <c r="E69"/>
  <c r="E71" s="1"/>
  <c r="E72" s="1"/>
  <c r="E59"/>
  <c r="E61" s="1"/>
  <c r="C53" i="31388"/>
  <c r="C21"/>
  <c r="C46"/>
  <c r="C50" s="1"/>
  <c r="C70"/>
  <c r="C40" s="1"/>
  <c r="C36"/>
  <c r="G57" i="105"/>
  <c r="AD19" i="31358"/>
  <c r="I59" i="105"/>
  <c r="J59" s="1"/>
  <c r="K59" s="1"/>
  <c r="L59" s="1"/>
  <c r="M59" s="1"/>
  <c r="N59" s="1"/>
  <c r="D64"/>
  <c r="D104"/>
  <c r="I53" i="108"/>
  <c r="U71" i="31358"/>
  <c r="X71"/>
  <c r="Y71"/>
  <c r="AJ19"/>
  <c r="AH19"/>
  <c r="S71"/>
  <c r="W71"/>
  <c r="Z71"/>
  <c r="Q71"/>
  <c r="R71"/>
  <c r="P71"/>
  <c r="V71"/>
  <c r="T71"/>
  <c r="I55" i="108"/>
  <c r="F54"/>
  <c r="F58" s="1"/>
  <c r="F53"/>
  <c r="AM19" i="31358"/>
  <c r="G54" i="108"/>
  <c r="G58" s="1"/>
  <c r="G53"/>
  <c r="F58" i="105"/>
  <c r="G54" i="31354"/>
  <c r="G53"/>
  <c r="F58"/>
  <c r="F64" s="1"/>
  <c r="F55"/>
  <c r="I62" i="105"/>
  <c r="J62" s="1"/>
  <c r="K62" s="1"/>
  <c r="L62" s="1"/>
  <c r="M62" s="1"/>
  <c r="N62" s="1"/>
  <c r="I61" i="108"/>
  <c r="E62"/>
  <c r="E64" s="1"/>
  <c r="E59" i="31354"/>
  <c r="D69" i="105"/>
  <c r="D70" s="1"/>
  <c r="E49" i="31364" s="1"/>
  <c r="AI19" i="31358"/>
  <c r="AF19"/>
  <c r="AC19"/>
  <c r="AC70"/>
  <c r="N101" i="105"/>
  <c r="AG19" i="31358"/>
  <c r="AL19"/>
  <c r="G42" i="108"/>
  <c r="AE19" i="31358"/>
  <c r="AK19"/>
  <c r="AB19"/>
  <c r="AA71" s="1"/>
  <c r="AH70"/>
  <c r="I75" i="108"/>
  <c r="I74"/>
  <c r="I76"/>
  <c r="I73"/>
  <c r="D75"/>
  <c r="D76"/>
  <c r="D74"/>
  <c r="D41" i="31374"/>
  <c r="H52" i="31354"/>
  <c r="H52" i="108" s="1"/>
  <c r="AG70" i="31358"/>
  <c r="D73" i="108"/>
  <c r="E50" i="31364"/>
  <c r="AE70" i="31358"/>
  <c r="AB70"/>
  <c r="AD70"/>
  <c r="AI70"/>
  <c r="AF70"/>
  <c r="I76"/>
  <c r="I68" s="1"/>
  <c r="I77" s="1"/>
  <c r="AK70"/>
  <c r="E76"/>
  <c r="N76"/>
  <c r="N68" s="1"/>
  <c r="N77" s="1"/>
  <c r="L76"/>
  <c r="L68" s="1"/>
  <c r="L77" s="1"/>
  <c r="J76"/>
  <c r="J68" s="1"/>
  <c r="J77" s="1"/>
  <c r="AJ70"/>
  <c r="H76"/>
  <c r="H68" s="1"/>
  <c r="H77" s="1"/>
  <c r="AM70"/>
  <c r="M76"/>
  <c r="M68" s="1"/>
  <c r="M77" s="1"/>
  <c r="AL70"/>
  <c r="G76"/>
  <c r="G68" s="1"/>
  <c r="G77" s="1"/>
  <c r="D66" i="105"/>
  <c r="D67" s="1"/>
  <c r="E47" i="31364" s="1"/>
  <c r="AI23" i="31358"/>
  <c r="AF23"/>
  <c r="AG23"/>
  <c r="AB23"/>
  <c r="AJ23"/>
  <c r="AJ24" s="1"/>
  <c r="AJ25" s="1"/>
  <c r="AD23"/>
  <c r="AM23"/>
  <c r="AL23"/>
  <c r="AE23"/>
  <c r="AK23"/>
  <c r="AC23"/>
  <c r="F62" i="105"/>
  <c r="AH23" i="31358"/>
  <c r="I65" i="108"/>
  <c r="K76" i="31358"/>
  <c r="K68" s="1"/>
  <c r="K77" s="1"/>
  <c r="F76"/>
  <c r="F68" s="1"/>
  <c r="F77" s="1"/>
  <c r="H34" i="108"/>
  <c r="E59"/>
  <c r="F43" i="31364" s="1"/>
  <c r="D65" i="108"/>
  <c r="E45" i="31364" s="1"/>
  <c r="E63" i="105"/>
  <c r="Z24" i="31358"/>
  <c r="Z25" s="1"/>
  <c r="Y76"/>
  <c r="U24"/>
  <c r="U25" s="1"/>
  <c r="T76"/>
  <c r="X24"/>
  <c r="X25" s="1"/>
  <c r="W76"/>
  <c r="T24"/>
  <c r="T25" s="1"/>
  <c r="S76"/>
  <c r="Y24"/>
  <c r="Y25" s="1"/>
  <c r="X76"/>
  <c r="S24"/>
  <c r="S25" s="1"/>
  <c r="R76"/>
  <c r="AA24"/>
  <c r="AA25" s="1"/>
  <c r="Z76"/>
  <c r="W24"/>
  <c r="W25" s="1"/>
  <c r="V76"/>
  <c r="Q24"/>
  <c r="Q25" s="1"/>
  <c r="P76"/>
  <c r="V24"/>
  <c r="V25" s="1"/>
  <c r="U76"/>
  <c r="R24"/>
  <c r="R25" s="1"/>
  <c r="Q76"/>
  <c r="P24"/>
  <c r="P25" s="1"/>
  <c r="O76"/>
  <c r="K58" i="105"/>
  <c r="I103"/>
  <c r="B39" i="31364" s="1"/>
  <c r="V38" i="31358"/>
  <c r="U29"/>
  <c r="S39"/>
  <c r="R30"/>
  <c r="T40"/>
  <c r="S31"/>
  <c r="S34"/>
  <c r="J100" i="105"/>
  <c r="J102" s="1"/>
  <c r="K44"/>
  <c r="P52" i="31417" l="1"/>
  <c r="O54"/>
  <c r="E73" i="31409"/>
  <c r="E76" s="1"/>
  <c r="E78" s="1"/>
  <c r="E38"/>
  <c r="F35"/>
  <c r="F63"/>
  <c r="I43" i="31390"/>
  <c r="AD24" i="31358"/>
  <c r="AD25" s="1"/>
  <c r="F26" i="31390"/>
  <c r="I20"/>
  <c r="I25" s="1"/>
  <c r="I68" s="1"/>
  <c r="F55"/>
  <c r="G59" i="108"/>
  <c r="H43" i="31364" s="1"/>
  <c r="F59" i="108"/>
  <c r="G43" i="31364" s="1"/>
  <c r="F30" i="31390"/>
  <c r="F50" s="1"/>
  <c r="F51" s="1"/>
  <c r="F40" i="31409"/>
  <c r="F41" s="1"/>
  <c r="F37"/>
  <c r="G16" i="31390"/>
  <c r="G20" s="1"/>
  <c r="G25" s="1"/>
  <c r="G26" s="1"/>
  <c r="G34" i="31409"/>
  <c r="E63" i="31390"/>
  <c r="H15"/>
  <c r="D20" i="31374"/>
  <c r="D33"/>
  <c r="E68" i="31358"/>
  <c r="E77" s="1"/>
  <c r="E79" s="1"/>
  <c r="M35"/>
  <c r="O42"/>
  <c r="N33"/>
  <c r="O41"/>
  <c r="N32"/>
  <c r="F69" i="31390"/>
  <c r="F71" s="1"/>
  <c r="F72" s="1"/>
  <c r="G57"/>
  <c r="F59"/>
  <c r="F61" s="1"/>
  <c r="C54" i="31388"/>
  <c r="C74" s="1"/>
  <c r="C75" s="1"/>
  <c r="C24"/>
  <c r="C26" s="1"/>
  <c r="C37"/>
  <c r="C42"/>
  <c r="H57" i="105"/>
  <c r="G58"/>
  <c r="X68" i="31358"/>
  <c r="X77" s="1"/>
  <c r="J63" i="105"/>
  <c r="J69" s="1"/>
  <c r="J70" s="1"/>
  <c r="U68" i="31358"/>
  <c r="U77" s="1"/>
  <c r="Y68"/>
  <c r="Y77" s="1"/>
  <c r="T68"/>
  <c r="T77" s="1"/>
  <c r="AH24"/>
  <c r="AH25" s="1"/>
  <c r="AE24"/>
  <c r="AE25" s="1"/>
  <c r="P68"/>
  <c r="P77" s="1"/>
  <c r="P79" s="1"/>
  <c r="AM24"/>
  <c r="AM25" s="1"/>
  <c r="AI71"/>
  <c r="R68"/>
  <c r="R77" s="1"/>
  <c r="AK24"/>
  <c r="AK25" s="1"/>
  <c r="AF24"/>
  <c r="AF25" s="1"/>
  <c r="AH71"/>
  <c r="F63" i="105"/>
  <c r="G55" i="108"/>
  <c r="F55"/>
  <c r="E48" i="31364"/>
  <c r="H54" i="108"/>
  <c r="H58" s="1"/>
  <c r="H53"/>
  <c r="AJ71" i="31358"/>
  <c r="I63" i="105"/>
  <c r="AF71" i="31358"/>
  <c r="AE71"/>
  <c r="E65" i="31354"/>
  <c r="E71" i="108"/>
  <c r="G58" i="31354"/>
  <c r="G64" s="1"/>
  <c r="G55"/>
  <c r="G62" i="105"/>
  <c r="G61" i="108"/>
  <c r="H54" i="31354"/>
  <c r="C60" i="108" s="1"/>
  <c r="H53" i="31354"/>
  <c r="F62" i="108"/>
  <c r="F64" s="1"/>
  <c r="G44" i="31364" s="1"/>
  <c r="F59" i="31354"/>
  <c r="J64" i="105"/>
  <c r="AG71" i="31358"/>
  <c r="AG24"/>
  <c r="AG25" s="1"/>
  <c r="AM71"/>
  <c r="AC71"/>
  <c r="AL71"/>
  <c r="AL24"/>
  <c r="AL25" s="1"/>
  <c r="AB24"/>
  <c r="AB25" s="1"/>
  <c r="AK71"/>
  <c r="AB71"/>
  <c r="AD71"/>
  <c r="E46" i="31364"/>
  <c r="D116" i="105"/>
  <c r="D119" s="1"/>
  <c r="D121" s="1"/>
  <c r="D132" s="1"/>
  <c r="H42" i="108"/>
  <c r="AC76" i="31358"/>
  <c r="AA76"/>
  <c r="AA68" s="1"/>
  <c r="AA77" s="1"/>
  <c r="AL76"/>
  <c r="AH76"/>
  <c r="AJ76"/>
  <c r="AK76"/>
  <c r="AG76"/>
  <c r="AI24"/>
  <c r="AI25" s="1"/>
  <c r="AD76"/>
  <c r="AM76"/>
  <c r="AB76"/>
  <c r="AI76"/>
  <c r="AC24"/>
  <c r="AC25" s="1"/>
  <c r="AE76"/>
  <c r="E66" i="105"/>
  <c r="E67" s="1"/>
  <c r="F47" i="31364" s="1"/>
  <c r="E69" i="105"/>
  <c r="O68" i="31358"/>
  <c r="O77" s="1"/>
  <c r="O79" s="1"/>
  <c r="F79"/>
  <c r="G79" s="1"/>
  <c r="H79" s="1"/>
  <c r="I79" s="1"/>
  <c r="J79" s="1"/>
  <c r="K79" s="1"/>
  <c r="L79" s="1"/>
  <c r="M79" s="1"/>
  <c r="N79" s="1"/>
  <c r="V68"/>
  <c r="V77" s="1"/>
  <c r="Q68"/>
  <c r="Q77" s="1"/>
  <c r="S68"/>
  <c r="S77" s="1"/>
  <c r="Z68"/>
  <c r="Z77" s="1"/>
  <c r="W68"/>
  <c r="W77" s="1"/>
  <c r="E44" i="31364"/>
  <c r="F44"/>
  <c r="E65" i="108"/>
  <c r="F45" i="31364" s="1"/>
  <c r="E64" i="105"/>
  <c r="E104"/>
  <c r="AF76" i="31358"/>
  <c r="D11" i="31374"/>
  <c r="D12"/>
  <c r="K63" i="105"/>
  <c r="L58"/>
  <c r="J103"/>
  <c r="L44"/>
  <c r="K100"/>
  <c r="K102" s="1"/>
  <c r="U40" i="31358"/>
  <c r="T31"/>
  <c r="T34"/>
  <c r="T39"/>
  <c r="S30"/>
  <c r="W38"/>
  <c r="V29"/>
  <c r="O55" i="31417" l="1"/>
  <c r="P54"/>
  <c r="E81" i="31409"/>
  <c r="E82" s="1"/>
  <c r="E83" s="1"/>
  <c r="G35"/>
  <c r="G63"/>
  <c r="F73"/>
  <c r="F76" s="1"/>
  <c r="F78" s="1"/>
  <c r="F81" s="1"/>
  <c r="F38"/>
  <c r="I26" i="31390"/>
  <c r="I30"/>
  <c r="I50" s="1"/>
  <c r="I55"/>
  <c r="G63" i="105"/>
  <c r="G69" s="1"/>
  <c r="H59" i="108"/>
  <c r="I43" i="31364" s="1"/>
  <c r="G68" i="31390"/>
  <c r="G55"/>
  <c r="G30"/>
  <c r="G50" s="1"/>
  <c r="G51" s="1"/>
  <c r="H16"/>
  <c r="H20" s="1"/>
  <c r="H25" s="1"/>
  <c r="H26" s="1"/>
  <c r="H34" i="31409"/>
  <c r="G40"/>
  <c r="G41" s="1"/>
  <c r="G37"/>
  <c r="F63" i="31390"/>
  <c r="D25" i="31374"/>
  <c r="D19"/>
  <c r="I69" i="105"/>
  <c r="I70" s="1"/>
  <c r="D22" i="31374"/>
  <c r="F69" i="105"/>
  <c r="G48" i="31364" s="1"/>
  <c r="N35" i="31358"/>
  <c r="P42"/>
  <c r="O33"/>
  <c r="P41"/>
  <c r="O32"/>
  <c r="D124" i="105"/>
  <c r="D125" s="1"/>
  <c r="D126" s="1"/>
  <c r="H57" i="31390"/>
  <c r="G69"/>
  <c r="G71" s="1"/>
  <c r="G72" s="1"/>
  <c r="G59"/>
  <c r="G61" s="1"/>
  <c r="D73" i="31388"/>
  <c r="C76"/>
  <c r="C77" s="1"/>
  <c r="D61"/>
  <c r="D62" s="1"/>
  <c r="D18" s="1"/>
  <c r="D20" s="1"/>
  <c r="H58" i="105"/>
  <c r="J104"/>
  <c r="AI68" i="31358"/>
  <c r="AI77" s="1"/>
  <c r="AH68"/>
  <c r="AH77" s="1"/>
  <c r="J66" i="105"/>
  <c r="J116" s="1"/>
  <c r="J119" s="1"/>
  <c r="J121" s="1"/>
  <c r="J124" s="1"/>
  <c r="F104"/>
  <c r="F66"/>
  <c r="F67" s="1"/>
  <c r="G47" i="31364" s="1"/>
  <c r="F64" i="105"/>
  <c r="AJ68" i="31358"/>
  <c r="AJ77" s="1"/>
  <c r="D16" i="31374"/>
  <c r="H55" i="108"/>
  <c r="D13" i="31374"/>
  <c r="F65" i="108"/>
  <c r="G45" i="31364" s="1"/>
  <c r="I104" i="105"/>
  <c r="AE68" i="31358"/>
  <c r="AE77" s="1"/>
  <c r="AM68"/>
  <c r="AM77" s="1"/>
  <c r="AC68"/>
  <c r="AC77" s="1"/>
  <c r="I64" i="105"/>
  <c r="I66"/>
  <c r="I67" s="1"/>
  <c r="K69"/>
  <c r="K70" s="1"/>
  <c r="K64"/>
  <c r="G64"/>
  <c r="G104"/>
  <c r="G65" i="108"/>
  <c r="H45" i="31364" s="1"/>
  <c r="F65" i="31354"/>
  <c r="F71" i="108"/>
  <c r="E76"/>
  <c r="E74"/>
  <c r="E75"/>
  <c r="E73"/>
  <c r="F50" i="31364"/>
  <c r="G62" i="108"/>
  <c r="G64" s="1"/>
  <c r="H44" i="31364" s="1"/>
  <c r="G59" i="31354"/>
  <c r="J67" i="105"/>
  <c r="F48" i="31364"/>
  <c r="E70" i="105"/>
  <c r="F49" i="31364" s="1"/>
  <c r="H62" i="105"/>
  <c r="H61" i="108"/>
  <c r="F70" i="105"/>
  <c r="G49" i="31364" s="1"/>
  <c r="H58" i="31354"/>
  <c r="H64" s="1"/>
  <c r="H55"/>
  <c r="AG68" i="31358"/>
  <c r="AG77" s="1"/>
  <c r="AK68"/>
  <c r="AK77" s="1"/>
  <c r="AL68"/>
  <c r="AL77" s="1"/>
  <c r="AD68"/>
  <c r="AD77" s="1"/>
  <c r="AB68"/>
  <c r="AB77" s="1"/>
  <c r="E116" i="105"/>
  <c r="E119" s="1"/>
  <c r="E121" s="1"/>
  <c r="E124" s="1"/>
  <c r="F46" i="31364"/>
  <c r="K66" i="105"/>
  <c r="Q79" i="31358"/>
  <c r="R79" s="1"/>
  <c r="S79" s="1"/>
  <c r="T79" s="1"/>
  <c r="U79" s="1"/>
  <c r="V79" s="1"/>
  <c r="W79" s="1"/>
  <c r="X79" s="1"/>
  <c r="Y79" s="1"/>
  <c r="Z79" s="1"/>
  <c r="AA79" s="1"/>
  <c r="AF68"/>
  <c r="AF77" s="1"/>
  <c r="AF79" s="1"/>
  <c r="L63" i="105"/>
  <c r="M58"/>
  <c r="W29" i="31358"/>
  <c r="X38"/>
  <c r="T30"/>
  <c r="U39"/>
  <c r="K103" i="105"/>
  <c r="K104"/>
  <c r="V40" i="31358"/>
  <c r="U31"/>
  <c r="U34"/>
  <c r="M44" i="105"/>
  <c r="L100"/>
  <c r="L102" s="1"/>
  <c r="P55" i="31417" l="1"/>
  <c r="O56"/>
  <c r="F82" i="31409"/>
  <c r="H35"/>
  <c r="H63"/>
  <c r="G73"/>
  <c r="G76" s="1"/>
  <c r="G78" s="1"/>
  <c r="G81" s="1"/>
  <c r="G38"/>
  <c r="H55" i="31390"/>
  <c r="G66" i="105"/>
  <c r="H63"/>
  <c r="D14" i="31374"/>
  <c r="H68" i="31390"/>
  <c r="H30"/>
  <c r="H50" s="1"/>
  <c r="H51" s="1"/>
  <c r="I51" s="1"/>
  <c r="J51" s="1"/>
  <c r="H40" i="31409"/>
  <c r="H41" s="1"/>
  <c r="H37"/>
  <c r="G63" i="31390"/>
  <c r="D23" i="31374"/>
  <c r="D28"/>
  <c r="O35" i="31358"/>
  <c r="Q42"/>
  <c r="P33"/>
  <c r="Q41"/>
  <c r="P32"/>
  <c r="H69" i="31390"/>
  <c r="H71" s="1"/>
  <c r="H72" s="1"/>
  <c r="I57"/>
  <c r="H59"/>
  <c r="H61" s="1"/>
  <c r="D21" i="31388"/>
  <c r="D46"/>
  <c r="D50" s="1"/>
  <c r="D70"/>
  <c r="D40" s="1"/>
  <c r="D53"/>
  <c r="D36"/>
  <c r="AG79" i="31358"/>
  <c r="AH79" s="1"/>
  <c r="AI79" s="1"/>
  <c r="G46" i="31364"/>
  <c r="F116" i="105"/>
  <c r="F119" s="1"/>
  <c r="F121" s="1"/>
  <c r="F124" s="1"/>
  <c r="AJ79" i="31358"/>
  <c r="AK79"/>
  <c r="I116" i="105"/>
  <c r="I119" s="1"/>
  <c r="I121" s="1"/>
  <c r="I124" s="1"/>
  <c r="G65" i="31354"/>
  <c r="G71" i="108"/>
  <c r="H65"/>
  <c r="I45" i="31364" s="1"/>
  <c r="K116" i="105"/>
  <c r="K119" s="1"/>
  <c r="K121" s="1"/>
  <c r="K124" s="1"/>
  <c r="K67"/>
  <c r="H62" i="108"/>
  <c r="H64" s="1"/>
  <c r="I44" i="31364" s="1"/>
  <c r="H59" i="31354"/>
  <c r="H64" i="105"/>
  <c r="H104"/>
  <c r="D39" i="31364" s="1"/>
  <c r="F73" i="108"/>
  <c r="F74"/>
  <c r="G50" i="31364"/>
  <c r="F76" i="108"/>
  <c r="F75"/>
  <c r="H48" i="31364"/>
  <c r="G70" i="105"/>
  <c r="H49" i="31364" s="1"/>
  <c r="L69" i="105"/>
  <c r="L70" s="1"/>
  <c r="L64"/>
  <c r="H70"/>
  <c r="I49" i="31364" s="1"/>
  <c r="AB79" i="31358"/>
  <c r="AC79" s="1"/>
  <c r="E125" i="105"/>
  <c r="AD79" i="31358"/>
  <c r="AE79" s="1"/>
  <c r="AL79"/>
  <c r="AM79" s="1"/>
  <c r="L66" i="105"/>
  <c r="M63"/>
  <c r="N58"/>
  <c r="N63" s="1"/>
  <c r="M100"/>
  <c r="M102" s="1"/>
  <c r="N44"/>
  <c r="N100" s="1"/>
  <c r="N102" s="1"/>
  <c r="V39" i="31358"/>
  <c r="U30"/>
  <c r="Y38"/>
  <c r="X29"/>
  <c r="L103" i="105"/>
  <c r="L104"/>
  <c r="W40" i="31358"/>
  <c r="V31"/>
  <c r="V34"/>
  <c r="P56" i="31417" l="1"/>
  <c r="O57"/>
  <c r="F83" i="31409"/>
  <c r="G82"/>
  <c r="G83" s="1"/>
  <c r="H73"/>
  <c r="H76" s="1"/>
  <c r="H78" s="1"/>
  <c r="H38"/>
  <c r="D15" i="31374"/>
  <c r="H66" i="105"/>
  <c r="H67" s="1"/>
  <c r="I47" i="31364" s="1"/>
  <c r="H69" i="105"/>
  <c r="I48" i="31364" s="1"/>
  <c r="G67" i="105"/>
  <c r="H47" i="31364" s="1"/>
  <c r="H46"/>
  <c r="G116" i="105"/>
  <c r="G119" s="1"/>
  <c r="G121" s="1"/>
  <c r="G124" s="1"/>
  <c r="H63" i="31390"/>
  <c r="D26" i="31374"/>
  <c r="D31"/>
  <c r="P35" i="31358"/>
  <c r="R42"/>
  <c r="Q33"/>
  <c r="R41"/>
  <c r="Q32"/>
  <c r="I69" i="31390"/>
  <c r="I71" s="1"/>
  <c r="I72" s="1"/>
  <c r="J57"/>
  <c r="I59"/>
  <c r="D24" i="31388"/>
  <c r="D26" s="1"/>
  <c r="D42"/>
  <c r="D37"/>
  <c r="D54"/>
  <c r="D74" s="1"/>
  <c r="D75" s="1"/>
  <c r="F125" i="105"/>
  <c r="F126" s="1"/>
  <c r="M69"/>
  <c r="M70" s="1"/>
  <c r="M64"/>
  <c r="L116"/>
  <c r="L119" s="1"/>
  <c r="L121" s="1"/>
  <c r="L124" s="1"/>
  <c r="L67"/>
  <c r="G73" i="108"/>
  <c r="G75"/>
  <c r="G74"/>
  <c r="G76"/>
  <c r="H50" i="31364"/>
  <c r="N69" i="105"/>
  <c r="N70" s="1"/>
  <c r="N64"/>
  <c r="H65" i="31354"/>
  <c r="H71" i="108"/>
  <c r="AM80" i="31358"/>
  <c r="E126" i="105"/>
  <c r="M66"/>
  <c r="N66"/>
  <c r="N103"/>
  <c r="L39" i="31364" s="1"/>
  <c r="N104" i="105"/>
  <c r="N39" i="31364" s="1"/>
  <c r="X40" i="31358"/>
  <c r="W31"/>
  <c r="W34"/>
  <c r="Y29"/>
  <c r="Z38"/>
  <c r="W39"/>
  <c r="V30"/>
  <c r="M103" i="105"/>
  <c r="M104"/>
  <c r="P57" i="31417" l="1"/>
  <c r="O58"/>
  <c r="H81" i="31409"/>
  <c r="H82" s="1"/>
  <c r="H85" s="1"/>
  <c r="H86" s="1"/>
  <c r="H116" i="105"/>
  <c r="H119" s="1"/>
  <c r="H121" s="1"/>
  <c r="H124" s="1"/>
  <c r="I46" i="31364"/>
  <c r="I61" i="31390"/>
  <c r="I63"/>
  <c r="D29" i="31374"/>
  <c r="Q35" i="31358"/>
  <c r="S42"/>
  <c r="R33"/>
  <c r="S41"/>
  <c r="R32"/>
  <c r="J69" i="31390"/>
  <c r="J71" s="1"/>
  <c r="J72" s="1"/>
  <c r="J59"/>
  <c r="E73" i="31388"/>
  <c r="E61"/>
  <c r="E62" s="1"/>
  <c r="E18" s="1"/>
  <c r="E20" s="1"/>
  <c r="D76"/>
  <c r="D77" s="1"/>
  <c r="G125" i="105"/>
  <c r="G126" s="1"/>
  <c r="H74" i="108"/>
  <c r="H73"/>
  <c r="H76"/>
  <c r="I50" i="31364"/>
  <c r="H75" i="108"/>
  <c r="M116" i="105"/>
  <c r="M119" s="1"/>
  <c r="M121" s="1"/>
  <c r="M124" s="1"/>
  <c r="M67"/>
  <c r="N116"/>
  <c r="N119" s="1"/>
  <c r="N121" s="1"/>
  <c r="N124" s="1"/>
  <c r="N67"/>
  <c r="D34" i="31374"/>
  <c r="X39" i="31358"/>
  <c r="W30"/>
  <c r="AA38"/>
  <c r="Z29"/>
  <c r="Y40"/>
  <c r="X31"/>
  <c r="X34"/>
  <c r="P58" i="31417" l="1"/>
  <c r="O59"/>
  <c r="H83" i="31409"/>
  <c r="D89"/>
  <c r="D32" i="31374"/>
  <c r="R35" i="31358"/>
  <c r="T42"/>
  <c r="S33"/>
  <c r="T41"/>
  <c r="S32"/>
  <c r="J61" i="31390"/>
  <c r="J63"/>
  <c r="E21" i="31388"/>
  <c r="E46"/>
  <c r="E50" s="1"/>
  <c r="E70"/>
  <c r="E40" s="1"/>
  <c r="E53"/>
  <c r="E36"/>
  <c r="H125" i="105"/>
  <c r="H126" s="1"/>
  <c r="Z40" i="31358"/>
  <c r="Y31"/>
  <c r="Y34"/>
  <c r="AA29"/>
  <c r="AB38"/>
  <c r="X30"/>
  <c r="Y39"/>
  <c r="P59" i="31417" l="1"/>
  <c r="O60"/>
  <c r="E54" i="31388"/>
  <c r="E74" s="1"/>
  <c r="E75" s="1"/>
  <c r="S35" i="31358"/>
  <c r="U42"/>
  <c r="T33"/>
  <c r="U41"/>
  <c r="T32"/>
  <c r="E42" i="31388"/>
  <c r="E37"/>
  <c r="E24"/>
  <c r="E26" s="1"/>
  <c r="I125" i="105"/>
  <c r="J125" s="1"/>
  <c r="K125" s="1"/>
  <c r="L125" s="1"/>
  <c r="Z39" i="31358"/>
  <c r="Y30"/>
  <c r="AC38"/>
  <c r="AB29"/>
  <c r="AA40"/>
  <c r="Z31"/>
  <c r="Z34"/>
  <c r="P60" i="31417" l="1"/>
  <c r="O61"/>
  <c r="T35" i="31358"/>
  <c r="V42"/>
  <c r="U33"/>
  <c r="V41"/>
  <c r="U32"/>
  <c r="F73" i="31388"/>
  <c r="E76"/>
  <c r="E77" s="1"/>
  <c r="F61"/>
  <c r="F62" s="1"/>
  <c r="F18" s="1"/>
  <c r="F20" s="1"/>
  <c r="K126" i="105"/>
  <c r="I126"/>
  <c r="I39" i="31364" s="1"/>
  <c r="J126" i="105"/>
  <c r="L126"/>
  <c r="M125"/>
  <c r="AB40" i="31358"/>
  <c r="AA31"/>
  <c r="AA34"/>
  <c r="AD38"/>
  <c r="AC29"/>
  <c r="AA39"/>
  <c r="Z30"/>
  <c r="P61" i="31417" l="1"/>
  <c r="O62"/>
  <c r="U35" i="31358"/>
  <c r="W41"/>
  <c r="V32"/>
  <c r="W42"/>
  <c r="V33"/>
  <c r="F53" i="31388"/>
  <c r="F21"/>
  <c r="F46"/>
  <c r="F50" s="1"/>
  <c r="F70"/>
  <c r="F40" s="1"/>
  <c r="F36"/>
  <c r="M126" i="105"/>
  <c r="N125"/>
  <c r="F39" i="31364" s="1"/>
  <c r="AB39" i="31358"/>
  <c r="AA30"/>
  <c r="AE38"/>
  <c r="AD29"/>
  <c r="AC40"/>
  <c r="AB31"/>
  <c r="AB34"/>
  <c r="P62" i="31417" l="1"/>
  <c r="O63"/>
  <c r="F54" i="31388"/>
  <c r="F74" s="1"/>
  <c r="F75" s="1"/>
  <c r="V35" i="31358"/>
  <c r="X42"/>
  <c r="W33"/>
  <c r="X41"/>
  <c r="W32"/>
  <c r="F37" i="31388"/>
  <c r="F42"/>
  <c r="F24"/>
  <c r="F26" s="1"/>
  <c r="D35" i="31374"/>
  <c r="P39" i="31364"/>
  <c r="N126" i="105"/>
  <c r="AD40" i="31358"/>
  <c r="AC31"/>
  <c r="AC34"/>
  <c r="AF38"/>
  <c r="AE29"/>
  <c r="AC39"/>
  <c r="AB30"/>
  <c r="P63" i="31417" l="1"/>
  <c r="O64"/>
  <c r="W35" i="31358"/>
  <c r="Y42"/>
  <c r="X33"/>
  <c r="Y41"/>
  <c r="X32"/>
  <c r="G73" i="31388"/>
  <c r="F76"/>
  <c r="F77" s="1"/>
  <c r="G61"/>
  <c r="G62" s="1"/>
  <c r="G18" s="1"/>
  <c r="G20" s="1"/>
  <c r="D36" i="31374"/>
  <c r="S39" i="31364"/>
  <c r="AD39" i="31358"/>
  <c r="AC30"/>
  <c r="AG38"/>
  <c r="AF29"/>
  <c r="AE40"/>
  <c r="AD31"/>
  <c r="AD34"/>
  <c r="P64" i="31417" l="1"/>
  <c r="O65"/>
  <c r="P65" s="1"/>
  <c r="X35" i="31358"/>
  <c r="Z42"/>
  <c r="Y33"/>
  <c r="Z41"/>
  <c r="Y32"/>
  <c r="G21" i="31388"/>
  <c r="G46"/>
  <c r="G50" s="1"/>
  <c r="G70"/>
  <c r="G40" s="1"/>
  <c r="G53"/>
  <c r="G36"/>
  <c r="AF40" i="31358"/>
  <c r="AE31"/>
  <c r="AE34"/>
  <c r="AH38"/>
  <c r="AG29"/>
  <c r="AE39"/>
  <c r="AD30"/>
  <c r="G54" i="31388" l="1"/>
  <c r="G74" s="1"/>
  <c r="G75" s="1"/>
  <c r="Y35" i="31358"/>
  <c r="AA42"/>
  <c r="Z33"/>
  <c r="AA41"/>
  <c r="Z32"/>
  <c r="G37" i="31388"/>
  <c r="G76" s="1"/>
  <c r="G42"/>
  <c r="C44" s="1"/>
  <c r="G24"/>
  <c r="G26" s="1"/>
  <c r="AF39" i="31358"/>
  <c r="AE30"/>
  <c r="AI38"/>
  <c r="AH29"/>
  <c r="AF31"/>
  <c r="AG40"/>
  <c r="AF34"/>
  <c r="G77" i="31388" l="1"/>
  <c r="Z35" i="31358"/>
  <c r="AB41"/>
  <c r="AA32"/>
  <c r="AB42"/>
  <c r="AA33"/>
  <c r="AH40"/>
  <c r="AG31"/>
  <c r="AG34"/>
  <c r="AJ38"/>
  <c r="AI29"/>
  <c r="AG39"/>
  <c r="AF30"/>
  <c r="AA35" l="1"/>
  <c r="AC42"/>
  <c r="AB33"/>
  <c r="AC41"/>
  <c r="AB32"/>
  <c r="AH39"/>
  <c r="AG30"/>
  <c r="AK38"/>
  <c r="AJ29"/>
  <c r="AI40"/>
  <c r="AH31"/>
  <c r="AH34"/>
  <c r="AB35" l="1"/>
  <c r="AD41"/>
  <c r="AC32"/>
  <c r="AD42"/>
  <c r="AC33"/>
  <c r="AJ40"/>
  <c r="AI31"/>
  <c r="AI34"/>
  <c r="AL38"/>
  <c r="AK29"/>
  <c r="AH30"/>
  <c r="AI39"/>
  <c r="AC35" l="1"/>
  <c r="AE42"/>
  <c r="AD33"/>
  <c r="AE41"/>
  <c r="AD32"/>
  <c r="AM38"/>
  <c r="AM29" s="1"/>
  <c r="AL29"/>
  <c r="AJ39"/>
  <c r="AI30"/>
  <c r="AK40"/>
  <c r="AJ31"/>
  <c r="AJ34"/>
  <c r="AD35" l="1"/>
  <c r="AF41"/>
  <c r="AE32"/>
  <c r="AF42"/>
  <c r="AE33"/>
  <c r="AL40"/>
  <c r="AK31"/>
  <c r="AK34"/>
  <c r="AK39"/>
  <c r="AJ30"/>
  <c r="AE35" l="1"/>
  <c r="AG42"/>
  <c r="AF33"/>
  <c r="AG41"/>
  <c r="AF32"/>
  <c r="AL39"/>
  <c r="AK30"/>
  <c r="AM40"/>
  <c r="AM31" s="1"/>
  <c r="AL31"/>
  <c r="AL34"/>
  <c r="AF35" l="1"/>
  <c r="AH41"/>
  <c r="AG32"/>
  <c r="AH42"/>
  <c r="AG33"/>
  <c r="AM34"/>
  <c r="AM39"/>
  <c r="AM30" s="1"/>
  <c r="AL30"/>
  <c r="AG35" l="1"/>
  <c r="AI42"/>
  <c r="AH33"/>
  <c r="AI41"/>
  <c r="AH32"/>
  <c r="AH35" l="1"/>
  <c r="AJ42"/>
  <c r="AI33"/>
  <c r="AJ41"/>
  <c r="AI32"/>
  <c r="AI35" l="1"/>
  <c r="AK41"/>
  <c r="AJ32"/>
  <c r="AK42"/>
  <c r="AJ33"/>
  <c r="AJ35" l="1"/>
  <c r="AL42"/>
  <c r="AK33"/>
  <c r="AL41"/>
  <c r="AK32"/>
  <c r="AK35" l="1"/>
  <c r="AM42"/>
  <c r="AM33" s="1"/>
  <c r="AL33"/>
  <c r="AM41"/>
  <c r="AM32" s="1"/>
  <c r="AL32"/>
  <c r="AL35" l="1"/>
  <c r="AM35"/>
  <c r="B1" i="31388"/>
  <c r="C3" i="31367"/>
  <c r="D3" i="31363"/>
  <c r="E4" i="31380"/>
  <c r="D1" i="31368"/>
  <c r="E4" i="108"/>
  <c r="D4" i="31354" s="1"/>
  <c r="D4" i="31382" l="1"/>
  <c r="D4" i="31381"/>
  <c r="E6" i="31407" l="1"/>
  <c r="E6" i="31408"/>
  <c r="C5" i="31364"/>
  <c r="C5" i="31367" s="1"/>
  <c r="E6" i="108"/>
  <c r="D50" i="31374"/>
  <c r="D5" i="31363" l="1"/>
</calcChain>
</file>

<file path=xl/comments1.xml><?xml version="1.0" encoding="utf-8"?>
<comments xmlns="http://schemas.openxmlformats.org/spreadsheetml/2006/main">
  <authors>
    <author>u429437</author>
  </authors>
  <commentList>
    <comment ref="C56" authorId="0">
      <text>
        <r>
          <rPr>
            <sz val="9"/>
            <color indexed="81"/>
            <rFont val="Tahoma"/>
            <family val="2"/>
          </rPr>
          <t>NE PAS MODIFIER
SI BESOIN CONTACTER CELLULE INVESTISSEMENTS
DO NOT MODIFY
IF NECESSARY, CONTACT INVESTS DEPARTMENT</t>
        </r>
      </text>
    </comment>
    <comment ref="C60" authorId="0">
      <text>
        <r>
          <rPr>
            <sz val="9"/>
            <color indexed="81"/>
            <rFont val="Tahoma"/>
            <family val="2"/>
          </rPr>
          <t>NE PAS MODIFIER
SI BESOIN CONTACTER CELLULE INVESTISSEMENTS
DO NOT MODIFY
IF NECESSARY, CONTACT INVESTS DEPARTMENT</t>
        </r>
      </text>
    </comment>
  </commentList>
</comments>
</file>

<file path=xl/comments10.xml><?xml version="1.0" encoding="utf-8"?>
<comments xmlns="http://schemas.openxmlformats.org/spreadsheetml/2006/main">
  <authors>
    <author>DESPINOY</author>
    <author>Nicole THOMAS</author>
  </authors>
  <commentList>
    <comment ref="D7" authorId="0">
      <text>
        <r>
          <rPr>
            <b/>
            <sz val="8"/>
            <color indexed="81"/>
            <rFont val="Tahoma"/>
            <family val="2"/>
          </rPr>
          <t>Achats ou location de matériels et logiciels 
Hardware and Software in invested  or rented</t>
        </r>
      </text>
    </comment>
    <comment ref="G7" authorId="0">
      <text>
        <r>
          <rPr>
            <b/>
            <sz val="8"/>
            <color indexed="81"/>
            <rFont val="Tahoma"/>
            <family val="2"/>
          </rPr>
          <t xml:space="preserve">Coûts du projet : </t>
        </r>
        <r>
          <rPr>
            <sz val="8"/>
            <color indexed="81"/>
            <rFont val="Tahoma"/>
            <family val="2"/>
          </rPr>
          <t xml:space="preserve">Matériels, Logiciels, Jours hommes, Prestations, Sous-traitance, ATOS, …..
</t>
        </r>
        <r>
          <rPr>
            <b/>
            <sz val="8"/>
            <color indexed="81"/>
            <rFont val="Tahoma"/>
            <family val="2"/>
          </rPr>
          <t xml:space="preserve">
Project costs : </t>
        </r>
        <r>
          <rPr>
            <sz val="8"/>
            <color indexed="81"/>
            <rFont val="Tahoma"/>
            <family val="2"/>
          </rPr>
          <t>Hardware, Software, Human days, Services, Subcontracting, ATOS, ...</t>
        </r>
      </text>
    </comment>
    <comment ref="J7" authorId="0">
      <text>
        <r>
          <rPr>
            <b/>
            <sz val="8"/>
            <color indexed="81"/>
            <rFont val="Tahoma"/>
            <family val="2"/>
          </rPr>
          <t xml:space="preserve">Couts de fonctionnement annuel : 
</t>
        </r>
        <r>
          <rPr>
            <sz val="8"/>
            <color indexed="81"/>
            <rFont val="Tahoma"/>
            <family val="2"/>
          </rPr>
          <t xml:space="preserve">Energie informatique ou </t>
        </r>
        <r>
          <rPr>
            <b/>
            <sz val="8"/>
            <color indexed="81"/>
            <rFont val="Tahoma"/>
            <family val="2"/>
          </rPr>
          <t>location</t>
        </r>
        <r>
          <rPr>
            <sz val="8"/>
            <color indexed="81"/>
            <rFont val="Tahoma"/>
            <family val="2"/>
          </rPr>
          <t>, Amortissements, Maintenance Hard et Soft, Support, Exploitation, Telecom, …</t>
        </r>
        <r>
          <rPr>
            <b/>
            <sz val="8"/>
            <color indexed="81"/>
            <rFont val="Tahoma"/>
            <family val="2"/>
          </rPr>
          <t xml:space="preserve">
Current costs annual or Annual fees :
</t>
        </r>
        <r>
          <rPr>
            <sz val="8"/>
            <color indexed="81"/>
            <rFont val="Tahoma"/>
            <family val="2"/>
          </rPr>
          <t xml:space="preserve">IT energy or </t>
        </r>
        <r>
          <rPr>
            <b/>
            <sz val="8"/>
            <color indexed="81"/>
            <rFont val="Tahoma"/>
            <family val="2"/>
          </rPr>
          <t>Rent/Leasing</t>
        </r>
        <r>
          <rPr>
            <sz val="8"/>
            <color indexed="81"/>
            <rFont val="Tahoma"/>
            <family val="2"/>
          </rPr>
          <t>, Depreciation, Maintenance Hard and Soft, Support, Exploitation, Telecom</t>
        </r>
      </text>
    </comment>
    <comment ref="R7" authorId="0">
      <text>
        <r>
          <rPr>
            <b/>
            <sz val="8"/>
            <color indexed="81"/>
            <rFont val="Tahoma"/>
            <family val="2"/>
          </rPr>
          <t>Achats ou location de matériels et logiciels 
Hardware and Software in invested  or rented</t>
        </r>
      </text>
    </comment>
    <comment ref="U7" authorId="0">
      <text>
        <r>
          <rPr>
            <b/>
            <sz val="8"/>
            <color indexed="81"/>
            <rFont val="Tahoma"/>
            <family val="2"/>
          </rPr>
          <t xml:space="preserve">Coûts du projet : </t>
        </r>
        <r>
          <rPr>
            <sz val="8"/>
            <color indexed="81"/>
            <rFont val="Tahoma"/>
            <family val="2"/>
          </rPr>
          <t xml:space="preserve">Matériels, Logiciels, Jours hommes, Prestations, Sous-traitance, ATOS, …..
</t>
        </r>
        <r>
          <rPr>
            <b/>
            <sz val="8"/>
            <color indexed="81"/>
            <rFont val="Tahoma"/>
            <family val="2"/>
          </rPr>
          <t xml:space="preserve">
Project costs : </t>
        </r>
        <r>
          <rPr>
            <sz val="8"/>
            <color indexed="81"/>
            <rFont val="Tahoma"/>
            <family val="2"/>
          </rPr>
          <t>Hardware, Software, Human days, Services, Subcontracting, ATOS, ...</t>
        </r>
      </text>
    </comment>
    <comment ref="X7" authorId="0">
      <text>
        <r>
          <rPr>
            <b/>
            <sz val="8"/>
            <color indexed="81"/>
            <rFont val="Tahoma"/>
            <family val="2"/>
          </rPr>
          <t xml:space="preserve">Couts de fonctionnement annuel : 
</t>
        </r>
        <r>
          <rPr>
            <sz val="8"/>
            <color indexed="81"/>
            <rFont val="Tahoma"/>
            <family val="2"/>
          </rPr>
          <t xml:space="preserve">Energie informatique ou </t>
        </r>
        <r>
          <rPr>
            <b/>
            <sz val="8"/>
            <color indexed="81"/>
            <rFont val="Tahoma"/>
            <family val="2"/>
          </rPr>
          <t>location</t>
        </r>
        <r>
          <rPr>
            <sz val="8"/>
            <color indexed="81"/>
            <rFont val="Tahoma"/>
            <family val="2"/>
          </rPr>
          <t>, Amortissements, Maintenance Hard et Soft, Support, Exploitation, Telecom, …</t>
        </r>
        <r>
          <rPr>
            <b/>
            <sz val="8"/>
            <color indexed="81"/>
            <rFont val="Tahoma"/>
            <family val="2"/>
          </rPr>
          <t xml:space="preserve">
Current costs annual or Annual fees :
</t>
        </r>
        <r>
          <rPr>
            <sz val="8"/>
            <color indexed="81"/>
            <rFont val="Tahoma"/>
            <family val="2"/>
          </rPr>
          <t xml:space="preserve">IT energy or </t>
        </r>
        <r>
          <rPr>
            <b/>
            <sz val="8"/>
            <color indexed="81"/>
            <rFont val="Tahoma"/>
            <family val="2"/>
          </rPr>
          <t>Rent/Leasing</t>
        </r>
        <r>
          <rPr>
            <sz val="8"/>
            <color indexed="81"/>
            <rFont val="Tahoma"/>
            <family val="2"/>
          </rPr>
          <t>, Depreciation, Maintenance Hard and Soft, Support, Exploitation, Telecom</t>
        </r>
      </text>
    </comment>
    <comment ref="AF7" authorId="0">
      <text>
        <r>
          <rPr>
            <b/>
            <sz val="8"/>
            <color indexed="81"/>
            <rFont val="Tahoma"/>
            <family val="2"/>
          </rPr>
          <t>Achats ou location de matériels et logiciels 
Hardware and Software in invested  or rented</t>
        </r>
      </text>
    </comment>
    <comment ref="AI7" authorId="0">
      <text>
        <r>
          <rPr>
            <b/>
            <sz val="8"/>
            <color indexed="81"/>
            <rFont val="Tahoma"/>
            <family val="2"/>
          </rPr>
          <t xml:space="preserve">Coûts du projet : </t>
        </r>
        <r>
          <rPr>
            <sz val="8"/>
            <color indexed="81"/>
            <rFont val="Tahoma"/>
            <family val="2"/>
          </rPr>
          <t xml:space="preserve">Matériels, Logiciels, Jours hommes, Prestations, Sous-traitance, ATOS, …..
</t>
        </r>
        <r>
          <rPr>
            <b/>
            <sz val="8"/>
            <color indexed="81"/>
            <rFont val="Tahoma"/>
            <family val="2"/>
          </rPr>
          <t xml:space="preserve">
Project costs : </t>
        </r>
        <r>
          <rPr>
            <sz val="8"/>
            <color indexed="81"/>
            <rFont val="Tahoma"/>
            <family val="2"/>
          </rPr>
          <t>Hardware, Software, Human days, Services, Subcontracting, ATOS, ...</t>
        </r>
      </text>
    </comment>
    <comment ref="AL7" authorId="0">
      <text>
        <r>
          <rPr>
            <b/>
            <sz val="8"/>
            <color indexed="81"/>
            <rFont val="Tahoma"/>
            <family val="2"/>
          </rPr>
          <t xml:space="preserve">Couts de fonctionnement annuel : 
</t>
        </r>
        <r>
          <rPr>
            <sz val="8"/>
            <color indexed="81"/>
            <rFont val="Tahoma"/>
            <family val="2"/>
          </rPr>
          <t xml:space="preserve">Energie informatique ou </t>
        </r>
        <r>
          <rPr>
            <b/>
            <sz val="8"/>
            <color indexed="81"/>
            <rFont val="Tahoma"/>
            <family val="2"/>
          </rPr>
          <t>location</t>
        </r>
        <r>
          <rPr>
            <sz val="8"/>
            <color indexed="81"/>
            <rFont val="Tahoma"/>
            <family val="2"/>
          </rPr>
          <t>, Amortissements, Maintenance Hard et Soft, Support, Exploitation, Telecom, …</t>
        </r>
        <r>
          <rPr>
            <b/>
            <sz val="8"/>
            <color indexed="81"/>
            <rFont val="Tahoma"/>
            <family val="2"/>
          </rPr>
          <t xml:space="preserve">
Current costs annual or Annual fees :
</t>
        </r>
        <r>
          <rPr>
            <sz val="8"/>
            <color indexed="81"/>
            <rFont val="Tahoma"/>
            <family val="2"/>
          </rPr>
          <t xml:space="preserve">IT energy or </t>
        </r>
        <r>
          <rPr>
            <b/>
            <sz val="8"/>
            <color indexed="81"/>
            <rFont val="Tahoma"/>
            <family val="2"/>
          </rPr>
          <t>Rent/Leasing</t>
        </r>
        <r>
          <rPr>
            <sz val="8"/>
            <color indexed="81"/>
            <rFont val="Tahoma"/>
            <family val="2"/>
          </rPr>
          <t>, Depreciation, Maintenance Hard and Soft, Support, Exploitation, Telecom</t>
        </r>
      </text>
    </comment>
    <comment ref="AT7" authorId="0">
      <text>
        <r>
          <rPr>
            <b/>
            <sz val="8"/>
            <color indexed="81"/>
            <rFont val="Tahoma"/>
            <family val="2"/>
          </rPr>
          <t>Achats ou location de matériels et logiciels 
Hardware and Software in invested  or rented</t>
        </r>
      </text>
    </comment>
    <comment ref="AW7" authorId="0">
      <text>
        <r>
          <rPr>
            <b/>
            <sz val="8"/>
            <color indexed="81"/>
            <rFont val="Tahoma"/>
            <family val="2"/>
          </rPr>
          <t xml:space="preserve">Coûts du projet : </t>
        </r>
        <r>
          <rPr>
            <sz val="8"/>
            <color indexed="81"/>
            <rFont val="Tahoma"/>
            <family val="2"/>
          </rPr>
          <t xml:space="preserve">Matériels, Logiciels, Jours hommes, Prestations, Sous-traitance, ATOS, …..
</t>
        </r>
        <r>
          <rPr>
            <b/>
            <sz val="8"/>
            <color indexed="81"/>
            <rFont val="Tahoma"/>
            <family val="2"/>
          </rPr>
          <t xml:space="preserve">
Project costs : </t>
        </r>
        <r>
          <rPr>
            <sz val="8"/>
            <color indexed="81"/>
            <rFont val="Tahoma"/>
            <family val="2"/>
          </rPr>
          <t>Hardware, Software, Human days, Services, Subcontracting, ATOS, ...</t>
        </r>
      </text>
    </comment>
    <comment ref="AZ7" authorId="0">
      <text>
        <r>
          <rPr>
            <b/>
            <sz val="8"/>
            <color indexed="81"/>
            <rFont val="Tahoma"/>
            <family val="2"/>
          </rPr>
          <t xml:space="preserve">Couts de fonctionnement annuel : 
</t>
        </r>
        <r>
          <rPr>
            <sz val="8"/>
            <color indexed="81"/>
            <rFont val="Tahoma"/>
            <family val="2"/>
          </rPr>
          <t xml:space="preserve">Energie informatique ou </t>
        </r>
        <r>
          <rPr>
            <b/>
            <sz val="8"/>
            <color indexed="81"/>
            <rFont val="Tahoma"/>
            <family val="2"/>
          </rPr>
          <t>location</t>
        </r>
        <r>
          <rPr>
            <sz val="8"/>
            <color indexed="81"/>
            <rFont val="Tahoma"/>
            <family val="2"/>
          </rPr>
          <t>, Amortissements, Maintenance Hard et Soft, Support, Exploitation, Telecom, …</t>
        </r>
        <r>
          <rPr>
            <b/>
            <sz val="8"/>
            <color indexed="81"/>
            <rFont val="Tahoma"/>
            <family val="2"/>
          </rPr>
          <t xml:space="preserve">
Current costs annual or Annual fees :
</t>
        </r>
        <r>
          <rPr>
            <sz val="8"/>
            <color indexed="81"/>
            <rFont val="Tahoma"/>
            <family val="2"/>
          </rPr>
          <t xml:space="preserve">IT energy or </t>
        </r>
        <r>
          <rPr>
            <b/>
            <sz val="8"/>
            <color indexed="81"/>
            <rFont val="Tahoma"/>
            <family val="2"/>
          </rPr>
          <t>Rent/Leasing</t>
        </r>
        <r>
          <rPr>
            <sz val="8"/>
            <color indexed="81"/>
            <rFont val="Tahoma"/>
            <family val="2"/>
          </rPr>
          <t>, Depreciation, Maintenance Hard and Soft, Support, Exploitation, Telecom</t>
        </r>
      </text>
    </comment>
    <comment ref="BH7" authorId="0">
      <text>
        <r>
          <rPr>
            <b/>
            <sz val="8"/>
            <color indexed="81"/>
            <rFont val="Tahoma"/>
            <family val="2"/>
          </rPr>
          <t>Achats ou location de matériels et logiciels 
Hardware and Software in invested  or rented</t>
        </r>
      </text>
    </comment>
    <comment ref="BK7" authorId="0">
      <text>
        <r>
          <rPr>
            <b/>
            <sz val="8"/>
            <color indexed="81"/>
            <rFont val="Tahoma"/>
            <family val="2"/>
          </rPr>
          <t xml:space="preserve">Coûts du projet : </t>
        </r>
        <r>
          <rPr>
            <sz val="8"/>
            <color indexed="81"/>
            <rFont val="Tahoma"/>
            <family val="2"/>
          </rPr>
          <t xml:space="preserve">Matériels, Logiciels, Jours hommes, Prestations, Sous-traitance, ATOS, …..
</t>
        </r>
        <r>
          <rPr>
            <b/>
            <sz val="8"/>
            <color indexed="81"/>
            <rFont val="Tahoma"/>
            <family val="2"/>
          </rPr>
          <t xml:space="preserve">
Project costs : </t>
        </r>
        <r>
          <rPr>
            <sz val="8"/>
            <color indexed="81"/>
            <rFont val="Tahoma"/>
            <family val="2"/>
          </rPr>
          <t>Hardware, Software, Human days, Services, Subcontracting, ATOS, ...</t>
        </r>
      </text>
    </comment>
    <comment ref="BN7" authorId="0">
      <text>
        <r>
          <rPr>
            <b/>
            <sz val="8"/>
            <color indexed="81"/>
            <rFont val="Tahoma"/>
            <family val="2"/>
          </rPr>
          <t xml:space="preserve">Couts de fonctionnement annuel : 
</t>
        </r>
        <r>
          <rPr>
            <sz val="8"/>
            <color indexed="81"/>
            <rFont val="Tahoma"/>
            <family val="2"/>
          </rPr>
          <t xml:space="preserve">Energie informatique ou </t>
        </r>
        <r>
          <rPr>
            <b/>
            <sz val="8"/>
            <color indexed="81"/>
            <rFont val="Tahoma"/>
            <family val="2"/>
          </rPr>
          <t>location</t>
        </r>
        <r>
          <rPr>
            <sz val="8"/>
            <color indexed="81"/>
            <rFont val="Tahoma"/>
            <family val="2"/>
          </rPr>
          <t>, Amortissements, Maintenance Hard et Soft, Support, Exploitation, Telecom, …</t>
        </r>
        <r>
          <rPr>
            <b/>
            <sz val="8"/>
            <color indexed="81"/>
            <rFont val="Tahoma"/>
            <family val="2"/>
          </rPr>
          <t xml:space="preserve">
Current costs annual or Annual fees :
</t>
        </r>
        <r>
          <rPr>
            <sz val="8"/>
            <color indexed="81"/>
            <rFont val="Tahoma"/>
            <family val="2"/>
          </rPr>
          <t xml:space="preserve">IT energy or </t>
        </r>
        <r>
          <rPr>
            <b/>
            <sz val="8"/>
            <color indexed="81"/>
            <rFont val="Tahoma"/>
            <family val="2"/>
          </rPr>
          <t>Rent/Leasing</t>
        </r>
        <r>
          <rPr>
            <sz val="8"/>
            <color indexed="81"/>
            <rFont val="Tahoma"/>
            <family val="2"/>
          </rPr>
          <t>, Depreciation, Maintenance Hard and Soft, Support, Exploitation, Telecom</t>
        </r>
      </text>
    </comment>
    <comment ref="C9" authorId="1">
      <text>
        <r>
          <rPr>
            <b/>
            <sz val="9"/>
            <color indexed="81"/>
            <rFont val="Tahoma"/>
            <family val="2"/>
          </rPr>
          <t>Nicole THOMAS:</t>
        </r>
        <r>
          <rPr>
            <sz val="9"/>
            <color indexed="81"/>
            <rFont val="Tahoma"/>
            <family val="2"/>
          </rPr>
          <t xml:space="preserve">
"R"  if the hardware or software is rented
Wide if the hardware or software is invested</t>
        </r>
      </text>
    </comment>
    <comment ref="G9" authorId="1">
      <text>
        <r>
          <rPr>
            <b/>
            <sz val="9"/>
            <color indexed="81"/>
            <rFont val="Tahoma"/>
            <family val="2"/>
          </rPr>
          <t>Nicole THOMAS:  Uniquement si les coûts d'installation ne  sont pas immobilisés  en même temps que les matériels
Only if installation costs are not invested</t>
        </r>
      </text>
    </comment>
    <comment ref="Q9" authorId="1">
      <text>
        <r>
          <rPr>
            <b/>
            <sz val="9"/>
            <color indexed="81"/>
            <rFont val="Tahoma"/>
            <family val="2"/>
          </rPr>
          <t>Nicole THOMAS:</t>
        </r>
        <r>
          <rPr>
            <sz val="9"/>
            <color indexed="81"/>
            <rFont val="Tahoma"/>
            <family val="2"/>
          </rPr>
          <t xml:space="preserve">
"R"  if the hardware or software is rented
Wide if the hardware or software is invested</t>
        </r>
      </text>
    </comment>
    <comment ref="AE9" authorId="1">
      <text>
        <r>
          <rPr>
            <b/>
            <sz val="9"/>
            <color indexed="81"/>
            <rFont val="Tahoma"/>
            <family val="2"/>
          </rPr>
          <t>Nicole THOMAS:</t>
        </r>
        <r>
          <rPr>
            <sz val="9"/>
            <color indexed="81"/>
            <rFont val="Tahoma"/>
            <family val="2"/>
          </rPr>
          <t xml:space="preserve">
"R"  if the hardware or software is rented
Wide if the hardware or software is invested</t>
        </r>
      </text>
    </comment>
    <comment ref="AS9" authorId="1">
      <text>
        <r>
          <rPr>
            <b/>
            <sz val="9"/>
            <color indexed="81"/>
            <rFont val="Tahoma"/>
            <family val="2"/>
          </rPr>
          <t>Nicole THOMAS:</t>
        </r>
        <r>
          <rPr>
            <sz val="9"/>
            <color indexed="81"/>
            <rFont val="Tahoma"/>
            <family val="2"/>
          </rPr>
          <t xml:space="preserve">
"R"  if the hardware or software is rented
Wide if the hardware or software is invested</t>
        </r>
      </text>
    </comment>
    <comment ref="BG9" authorId="1">
      <text>
        <r>
          <rPr>
            <b/>
            <sz val="9"/>
            <color indexed="81"/>
            <rFont val="Tahoma"/>
            <family val="2"/>
          </rPr>
          <t>Nicole THOMAS:</t>
        </r>
        <r>
          <rPr>
            <sz val="9"/>
            <color indexed="81"/>
            <rFont val="Tahoma"/>
            <family val="2"/>
          </rPr>
          <t xml:space="preserve">
"R"  if the hardware or software is rented
Wide if the hardware or software is invested</t>
        </r>
      </text>
    </comment>
    <comment ref="B10" authorId="0">
      <text>
        <r>
          <rPr>
            <b/>
            <sz val="10"/>
            <color indexed="81"/>
            <rFont val="Tahoma"/>
            <family val="2"/>
          </rPr>
          <t>Switch, Router, AP……
ALL network hardware/material necessary for the project</t>
        </r>
      </text>
    </comment>
    <comment ref="P10" authorId="0">
      <text>
        <r>
          <rPr>
            <b/>
            <sz val="10"/>
            <color indexed="81"/>
            <rFont val="Tahoma"/>
            <family val="2"/>
          </rPr>
          <t>Switch, Router, AP……
ALL network hardware/material necessary for the project</t>
        </r>
      </text>
    </comment>
    <comment ref="AD10" authorId="0">
      <text>
        <r>
          <rPr>
            <b/>
            <sz val="10"/>
            <color indexed="81"/>
            <rFont val="Tahoma"/>
            <family val="2"/>
          </rPr>
          <t>Switch, Router, AP……
ALL network hardware/material necessary for the project</t>
        </r>
      </text>
    </comment>
    <comment ref="AR10" authorId="0">
      <text>
        <r>
          <rPr>
            <b/>
            <sz val="10"/>
            <color indexed="81"/>
            <rFont val="Tahoma"/>
            <family val="2"/>
          </rPr>
          <t>Switch, Router, AP……
ALL network hardware/material necessary for the project</t>
        </r>
      </text>
    </comment>
    <comment ref="BF10" authorId="0">
      <text>
        <r>
          <rPr>
            <b/>
            <sz val="10"/>
            <color indexed="81"/>
            <rFont val="Tahoma"/>
            <family val="2"/>
          </rPr>
          <t>Switch, Router, AP……
ALL network hardware/material necessary for the project</t>
        </r>
      </text>
    </comment>
    <comment ref="B14" authorId="0">
      <text>
        <r>
          <rPr>
            <b/>
            <sz val="10"/>
            <color indexed="81"/>
            <rFont val="Tahoma"/>
            <family val="2"/>
          </rPr>
          <t xml:space="preserve">PABX...
</t>
        </r>
      </text>
    </comment>
    <comment ref="P14" authorId="0">
      <text>
        <r>
          <rPr>
            <b/>
            <sz val="10"/>
            <color indexed="81"/>
            <rFont val="Tahoma"/>
            <family val="2"/>
          </rPr>
          <t xml:space="preserve">PABX...
</t>
        </r>
      </text>
    </comment>
    <comment ref="AD14" authorId="0">
      <text>
        <r>
          <rPr>
            <b/>
            <sz val="10"/>
            <color indexed="81"/>
            <rFont val="Tahoma"/>
            <family val="2"/>
          </rPr>
          <t xml:space="preserve">PABX...
</t>
        </r>
      </text>
    </comment>
    <comment ref="AR14" authorId="0">
      <text>
        <r>
          <rPr>
            <b/>
            <sz val="10"/>
            <color indexed="81"/>
            <rFont val="Tahoma"/>
            <family val="2"/>
          </rPr>
          <t xml:space="preserve">PABX...
</t>
        </r>
      </text>
    </comment>
    <comment ref="BF14" authorId="0">
      <text>
        <r>
          <rPr>
            <b/>
            <sz val="10"/>
            <color indexed="81"/>
            <rFont val="Tahoma"/>
            <family val="2"/>
          </rPr>
          <t xml:space="preserve">PABX...
</t>
        </r>
      </text>
    </comment>
    <comment ref="B17" authorId="0">
      <text>
        <r>
          <rPr>
            <b/>
            <sz val="10"/>
            <color indexed="81"/>
            <rFont val="Tahoma"/>
            <family val="2"/>
          </rPr>
          <t xml:space="preserve">PC, Laptop, Laser Printer, UPS, Rack </t>
        </r>
      </text>
    </comment>
    <comment ref="P17" authorId="0">
      <text>
        <r>
          <rPr>
            <b/>
            <sz val="10"/>
            <color indexed="81"/>
            <rFont val="Tahoma"/>
            <family val="2"/>
          </rPr>
          <t xml:space="preserve">PC, Laptop, Laser Printer, UPS, Rack </t>
        </r>
      </text>
    </comment>
    <comment ref="AD17" authorId="0">
      <text>
        <r>
          <rPr>
            <b/>
            <sz val="10"/>
            <color indexed="81"/>
            <rFont val="Tahoma"/>
            <family val="2"/>
          </rPr>
          <t xml:space="preserve">PC, Laptop, Laser Printer, UPS, Rack </t>
        </r>
      </text>
    </comment>
    <comment ref="AR17" authorId="0">
      <text>
        <r>
          <rPr>
            <b/>
            <sz val="10"/>
            <color indexed="81"/>
            <rFont val="Tahoma"/>
            <family val="2"/>
          </rPr>
          <t xml:space="preserve">PC, Laptop, Laser Printer, UPS, Rack </t>
        </r>
      </text>
    </comment>
    <comment ref="BF17" authorId="0">
      <text>
        <r>
          <rPr>
            <b/>
            <sz val="10"/>
            <color indexed="81"/>
            <rFont val="Tahoma"/>
            <family val="2"/>
          </rPr>
          <t xml:space="preserve">PC, Laptop, Laser Printer, UPS, Rack </t>
        </r>
      </text>
    </comment>
    <comment ref="B27" authorId="0">
      <text>
        <r>
          <rPr>
            <b/>
            <sz val="10"/>
            <color indexed="81"/>
            <rFont val="Tahoma"/>
            <family val="2"/>
          </rPr>
          <t>Office servers</t>
        </r>
      </text>
    </comment>
    <comment ref="P27" authorId="0">
      <text>
        <r>
          <rPr>
            <b/>
            <sz val="10"/>
            <color indexed="81"/>
            <rFont val="Tahoma"/>
            <family val="2"/>
          </rPr>
          <t>Office servers</t>
        </r>
      </text>
    </comment>
    <comment ref="AD27" authorId="0">
      <text>
        <r>
          <rPr>
            <b/>
            <sz val="10"/>
            <color indexed="81"/>
            <rFont val="Tahoma"/>
            <family val="2"/>
          </rPr>
          <t>Office servers</t>
        </r>
      </text>
    </comment>
    <comment ref="AR27" authorId="0">
      <text>
        <r>
          <rPr>
            <b/>
            <sz val="10"/>
            <color indexed="81"/>
            <rFont val="Tahoma"/>
            <family val="2"/>
          </rPr>
          <t>Office servers</t>
        </r>
      </text>
    </comment>
    <comment ref="BF27" authorId="0">
      <text>
        <r>
          <rPr>
            <b/>
            <sz val="10"/>
            <color indexed="81"/>
            <rFont val="Tahoma"/>
            <family val="2"/>
          </rPr>
          <t>Office servers</t>
        </r>
      </text>
    </comment>
    <comment ref="B30" authorId="0">
      <text>
        <r>
          <rPr>
            <b/>
            <sz val="10"/>
            <color indexed="81"/>
            <rFont val="Tahoma"/>
            <family val="2"/>
          </rPr>
          <t>Other hardware if needed</t>
        </r>
      </text>
    </comment>
    <comment ref="P30" authorId="0">
      <text>
        <r>
          <rPr>
            <b/>
            <sz val="10"/>
            <color indexed="81"/>
            <rFont val="Tahoma"/>
            <family val="2"/>
          </rPr>
          <t>Other hardware if needed</t>
        </r>
      </text>
    </comment>
    <comment ref="AD30" authorId="0">
      <text>
        <r>
          <rPr>
            <b/>
            <sz val="10"/>
            <color indexed="81"/>
            <rFont val="Tahoma"/>
            <family val="2"/>
          </rPr>
          <t>Other hardware if needed</t>
        </r>
      </text>
    </comment>
    <comment ref="AR30" authorId="0">
      <text>
        <r>
          <rPr>
            <b/>
            <sz val="10"/>
            <color indexed="81"/>
            <rFont val="Tahoma"/>
            <family val="2"/>
          </rPr>
          <t>Other hardware if needed</t>
        </r>
      </text>
    </comment>
    <comment ref="BF30" authorId="0">
      <text>
        <r>
          <rPr>
            <b/>
            <sz val="10"/>
            <color indexed="81"/>
            <rFont val="Tahoma"/>
            <family val="2"/>
          </rPr>
          <t>Other hardware if needed</t>
        </r>
      </text>
    </comment>
    <comment ref="B42" authorId="0">
      <text>
        <r>
          <rPr>
            <b/>
            <sz val="10"/>
            <color indexed="81"/>
            <rFont val="Tahoma"/>
            <family val="2"/>
          </rPr>
          <t>……
ALL Software licences necessary for the project</t>
        </r>
      </text>
    </comment>
    <comment ref="P42" authorId="0">
      <text>
        <r>
          <rPr>
            <b/>
            <sz val="10"/>
            <color indexed="81"/>
            <rFont val="Tahoma"/>
            <family val="2"/>
          </rPr>
          <t>……
ALL Software licences necessary for the project</t>
        </r>
      </text>
    </comment>
    <comment ref="AD42" authorId="0">
      <text>
        <r>
          <rPr>
            <b/>
            <sz val="10"/>
            <color indexed="81"/>
            <rFont val="Tahoma"/>
            <family val="2"/>
          </rPr>
          <t>……
ALL Software licences necessary for the project</t>
        </r>
      </text>
    </comment>
    <comment ref="AR42" authorId="0">
      <text>
        <r>
          <rPr>
            <b/>
            <sz val="10"/>
            <color indexed="81"/>
            <rFont val="Tahoma"/>
            <family val="2"/>
          </rPr>
          <t>……
ALL Software licences necessary for the project</t>
        </r>
      </text>
    </comment>
    <comment ref="BF42" authorId="0">
      <text>
        <r>
          <rPr>
            <b/>
            <sz val="10"/>
            <color indexed="81"/>
            <rFont val="Tahoma"/>
            <family val="2"/>
          </rPr>
          <t>……
ALL Software licences necessary for the project</t>
        </r>
      </text>
    </comment>
    <comment ref="B58" authorId="1">
      <text>
        <r>
          <rPr>
            <b/>
            <sz val="9"/>
            <color indexed="81"/>
            <rFont val="Tahoma"/>
            <family val="2"/>
          </rPr>
          <t>Nicole THOMAS:</t>
        </r>
        <r>
          <rPr>
            <sz val="9"/>
            <color indexed="81"/>
            <rFont val="Tahoma"/>
            <family val="2"/>
          </rPr>
          <t xml:space="preserve">
Coûts des jours/homme pour mettre en place les infrastructures techhniques</t>
        </r>
      </text>
    </comment>
    <comment ref="P58" authorId="1">
      <text>
        <r>
          <rPr>
            <b/>
            <sz val="9"/>
            <color indexed="81"/>
            <rFont val="Tahoma"/>
            <family val="2"/>
          </rPr>
          <t>Nicole THOMAS:</t>
        </r>
        <r>
          <rPr>
            <sz val="9"/>
            <color indexed="81"/>
            <rFont val="Tahoma"/>
            <family val="2"/>
          </rPr>
          <t xml:space="preserve">
Coûts des jours/homme pour mettre en place les infrastructures techhniques</t>
        </r>
      </text>
    </comment>
    <comment ref="AD58" authorId="1">
      <text>
        <r>
          <rPr>
            <b/>
            <sz val="9"/>
            <color indexed="81"/>
            <rFont val="Tahoma"/>
            <family val="2"/>
          </rPr>
          <t>Nicole THOMAS:</t>
        </r>
        <r>
          <rPr>
            <sz val="9"/>
            <color indexed="81"/>
            <rFont val="Tahoma"/>
            <family val="2"/>
          </rPr>
          <t xml:space="preserve">
Coûts des jours/homme pour mettre en place les infrastructures techhniques</t>
        </r>
      </text>
    </comment>
    <comment ref="AR58" authorId="1">
      <text>
        <r>
          <rPr>
            <b/>
            <sz val="9"/>
            <color indexed="81"/>
            <rFont val="Tahoma"/>
            <family val="2"/>
          </rPr>
          <t>Nicole THOMAS:</t>
        </r>
        <r>
          <rPr>
            <sz val="9"/>
            <color indexed="81"/>
            <rFont val="Tahoma"/>
            <family val="2"/>
          </rPr>
          <t xml:space="preserve">
Coûts des jours/homme pour mettre en place les infrastructures techhniques</t>
        </r>
      </text>
    </comment>
    <comment ref="BF58" authorId="1">
      <text>
        <r>
          <rPr>
            <b/>
            <sz val="9"/>
            <color indexed="81"/>
            <rFont val="Tahoma"/>
            <family val="2"/>
          </rPr>
          <t>Nicole THOMAS:</t>
        </r>
        <r>
          <rPr>
            <sz val="9"/>
            <color indexed="81"/>
            <rFont val="Tahoma"/>
            <family val="2"/>
          </rPr>
          <t xml:space="preserve">
Coûts des jours/homme pour mettre en place les infrastructures techhniques</t>
        </r>
      </text>
    </comment>
    <comment ref="G59" authorId="1">
      <text>
        <r>
          <rPr>
            <b/>
            <sz val="8"/>
            <color indexed="81"/>
            <rFont val="Tahoma"/>
            <family val="2"/>
          </rPr>
          <t>Nicole THOMAS:</t>
        </r>
        <r>
          <rPr>
            <sz val="8"/>
            <color indexed="81"/>
            <rFont val="Tahoma"/>
            <family val="2"/>
          </rPr>
          <t xml:space="preserve">
Taux / Rate</t>
        </r>
      </text>
    </comment>
    <comment ref="H59" authorId="1">
      <text>
        <r>
          <rPr>
            <b/>
            <sz val="9"/>
            <color indexed="81"/>
            <rFont val="Tahoma"/>
            <family val="2"/>
          </rPr>
          <t>Nicole THOMAS:</t>
        </r>
        <r>
          <rPr>
            <sz val="9"/>
            <color indexed="81"/>
            <rFont val="Tahoma"/>
            <family val="2"/>
          </rPr>
          <t xml:space="preserve">
Qté/Qty</t>
        </r>
      </text>
    </comment>
    <comment ref="U59" authorId="1">
      <text>
        <r>
          <rPr>
            <b/>
            <sz val="8"/>
            <color indexed="81"/>
            <rFont val="Tahoma"/>
            <family val="2"/>
          </rPr>
          <t>Nicole THOMAS:</t>
        </r>
        <r>
          <rPr>
            <sz val="8"/>
            <color indexed="81"/>
            <rFont val="Tahoma"/>
            <family val="2"/>
          </rPr>
          <t xml:space="preserve">
Taux / Rate</t>
        </r>
      </text>
    </comment>
    <comment ref="V59" authorId="1">
      <text>
        <r>
          <rPr>
            <b/>
            <sz val="9"/>
            <color indexed="81"/>
            <rFont val="Tahoma"/>
            <family val="2"/>
          </rPr>
          <t>Nicole THOMAS:</t>
        </r>
        <r>
          <rPr>
            <sz val="9"/>
            <color indexed="81"/>
            <rFont val="Tahoma"/>
            <family val="2"/>
          </rPr>
          <t xml:space="preserve">
Qté/Qty</t>
        </r>
      </text>
    </comment>
    <comment ref="AI59" authorId="1">
      <text>
        <r>
          <rPr>
            <b/>
            <sz val="8"/>
            <color indexed="81"/>
            <rFont val="Tahoma"/>
            <family val="2"/>
          </rPr>
          <t>Nicole THOMAS:</t>
        </r>
        <r>
          <rPr>
            <sz val="8"/>
            <color indexed="81"/>
            <rFont val="Tahoma"/>
            <family val="2"/>
          </rPr>
          <t xml:space="preserve">
Taux / Rate</t>
        </r>
      </text>
    </comment>
    <comment ref="AJ59" authorId="1">
      <text>
        <r>
          <rPr>
            <b/>
            <sz val="9"/>
            <color indexed="81"/>
            <rFont val="Tahoma"/>
            <family val="2"/>
          </rPr>
          <t>Nicole THOMAS:</t>
        </r>
        <r>
          <rPr>
            <sz val="9"/>
            <color indexed="81"/>
            <rFont val="Tahoma"/>
            <family val="2"/>
          </rPr>
          <t xml:space="preserve">
Qté/Qty</t>
        </r>
      </text>
    </comment>
    <comment ref="AW59" authorId="1">
      <text>
        <r>
          <rPr>
            <b/>
            <sz val="8"/>
            <color indexed="81"/>
            <rFont val="Tahoma"/>
            <family val="2"/>
          </rPr>
          <t>Nicole THOMAS:</t>
        </r>
        <r>
          <rPr>
            <sz val="8"/>
            <color indexed="81"/>
            <rFont val="Tahoma"/>
            <family val="2"/>
          </rPr>
          <t xml:space="preserve">
Taux / Rate</t>
        </r>
      </text>
    </comment>
    <comment ref="AX59" authorId="1">
      <text>
        <r>
          <rPr>
            <b/>
            <sz val="9"/>
            <color indexed="81"/>
            <rFont val="Tahoma"/>
            <family val="2"/>
          </rPr>
          <t>Nicole THOMAS:</t>
        </r>
        <r>
          <rPr>
            <sz val="9"/>
            <color indexed="81"/>
            <rFont val="Tahoma"/>
            <family val="2"/>
          </rPr>
          <t xml:space="preserve">
Qté/Qty</t>
        </r>
      </text>
    </comment>
    <comment ref="BK59" authorId="1">
      <text>
        <r>
          <rPr>
            <b/>
            <sz val="8"/>
            <color indexed="81"/>
            <rFont val="Tahoma"/>
            <family val="2"/>
          </rPr>
          <t>Nicole THOMAS:</t>
        </r>
        <r>
          <rPr>
            <sz val="8"/>
            <color indexed="81"/>
            <rFont val="Tahoma"/>
            <family val="2"/>
          </rPr>
          <t xml:space="preserve">
Taux / Rate</t>
        </r>
      </text>
    </comment>
    <comment ref="BL59" authorId="1">
      <text>
        <r>
          <rPr>
            <b/>
            <sz val="9"/>
            <color indexed="81"/>
            <rFont val="Tahoma"/>
            <family val="2"/>
          </rPr>
          <t>Nicole THOMAS:</t>
        </r>
        <r>
          <rPr>
            <sz val="9"/>
            <color indexed="81"/>
            <rFont val="Tahoma"/>
            <family val="2"/>
          </rPr>
          <t xml:space="preserve">
Qté/Qty</t>
        </r>
      </text>
    </comment>
    <comment ref="B67" authorId="1">
      <text>
        <r>
          <rPr>
            <b/>
            <sz val="9"/>
            <color indexed="81"/>
            <rFont val="Tahoma"/>
            <family val="2"/>
          </rPr>
          <t>Nicole THOMAS:</t>
        </r>
        <r>
          <rPr>
            <sz val="9"/>
            <color indexed="81"/>
            <rFont val="Tahoma"/>
            <family val="2"/>
          </rPr>
          <t xml:space="preserve">
Coûts des jours/homme pour mettre en place les applications métiers</t>
        </r>
      </text>
    </comment>
    <comment ref="P67" authorId="1">
      <text>
        <r>
          <rPr>
            <b/>
            <sz val="9"/>
            <color indexed="81"/>
            <rFont val="Tahoma"/>
            <family val="2"/>
          </rPr>
          <t>Nicole THOMAS:</t>
        </r>
        <r>
          <rPr>
            <sz val="9"/>
            <color indexed="81"/>
            <rFont val="Tahoma"/>
            <family val="2"/>
          </rPr>
          <t xml:space="preserve">
Coûts des jours/homme pour mettre en place les applications métiers</t>
        </r>
      </text>
    </comment>
    <comment ref="AD67" authorId="1">
      <text>
        <r>
          <rPr>
            <b/>
            <sz val="9"/>
            <color indexed="81"/>
            <rFont val="Tahoma"/>
            <family val="2"/>
          </rPr>
          <t>Nicole THOMAS:</t>
        </r>
        <r>
          <rPr>
            <sz val="9"/>
            <color indexed="81"/>
            <rFont val="Tahoma"/>
            <family val="2"/>
          </rPr>
          <t xml:space="preserve">
Coûts des jours/homme pour mettre en place les applications métiers</t>
        </r>
      </text>
    </comment>
    <comment ref="AR67" authorId="1">
      <text>
        <r>
          <rPr>
            <b/>
            <sz val="9"/>
            <color indexed="81"/>
            <rFont val="Tahoma"/>
            <family val="2"/>
          </rPr>
          <t>Nicole THOMAS:</t>
        </r>
        <r>
          <rPr>
            <sz val="9"/>
            <color indexed="81"/>
            <rFont val="Tahoma"/>
            <family val="2"/>
          </rPr>
          <t xml:space="preserve">
Coûts des jours/homme pour mettre en place les applications métiers</t>
        </r>
      </text>
    </comment>
    <comment ref="BF67" authorId="1">
      <text>
        <r>
          <rPr>
            <b/>
            <sz val="9"/>
            <color indexed="81"/>
            <rFont val="Tahoma"/>
            <family val="2"/>
          </rPr>
          <t>Nicole THOMAS:</t>
        </r>
        <r>
          <rPr>
            <sz val="9"/>
            <color indexed="81"/>
            <rFont val="Tahoma"/>
            <family val="2"/>
          </rPr>
          <t xml:space="preserve">
Coûts des jours/homme pour mettre en place les applications métiers</t>
        </r>
      </text>
    </comment>
    <comment ref="B82" authorId="0">
      <text>
        <r>
          <rPr>
            <b/>
            <sz val="8"/>
            <color indexed="81"/>
            <rFont val="Tahoma"/>
            <family val="2"/>
          </rPr>
          <t>Nom des Directions, des services, des sous-traitants, …...
Name of business unit, services, subcontractors, ….</t>
        </r>
      </text>
    </comment>
    <comment ref="P82" authorId="0">
      <text>
        <r>
          <rPr>
            <b/>
            <sz val="8"/>
            <color indexed="81"/>
            <rFont val="Tahoma"/>
            <family val="2"/>
          </rPr>
          <t>Nom des Directions, des services, des sous-traitants, …...
Name of business unit, services, subcontractors, ….</t>
        </r>
      </text>
    </comment>
    <comment ref="AD82" authorId="0">
      <text>
        <r>
          <rPr>
            <b/>
            <sz val="8"/>
            <color indexed="81"/>
            <rFont val="Tahoma"/>
            <family val="2"/>
          </rPr>
          <t>Nom des Directions, des services, des sous-traitants, …...
Name of business unit, services, subcontractors, ….</t>
        </r>
      </text>
    </comment>
    <comment ref="AR82" authorId="0">
      <text>
        <r>
          <rPr>
            <b/>
            <sz val="8"/>
            <color indexed="81"/>
            <rFont val="Tahoma"/>
            <family val="2"/>
          </rPr>
          <t>Nom des Directions, des services, des sous-traitants, …...
Name of business unit, services, subcontractors, ….</t>
        </r>
      </text>
    </comment>
    <comment ref="BF82" authorId="0">
      <text>
        <r>
          <rPr>
            <b/>
            <sz val="8"/>
            <color indexed="81"/>
            <rFont val="Tahoma"/>
            <family val="2"/>
          </rPr>
          <t>Nom des Directions, des services, des sous-traitants, …...
Name of business unit, services, subcontractors, ….</t>
        </r>
      </text>
    </comment>
  </commentList>
</comments>
</file>

<file path=xl/comments11.xml><?xml version="1.0" encoding="utf-8"?>
<comments xmlns="http://schemas.openxmlformats.org/spreadsheetml/2006/main">
  <authors>
    <author>u334709</author>
  </authors>
  <commentList>
    <comment ref="E8" authorId="0">
      <text>
        <r>
          <rPr>
            <b/>
            <sz val="8"/>
            <color indexed="81"/>
            <rFont val="Tahoma"/>
            <family val="2"/>
          </rPr>
          <t>u334709:</t>
        </r>
        <r>
          <rPr>
            <sz val="8"/>
            <color indexed="81"/>
            <rFont val="Tahoma"/>
            <family val="2"/>
          </rPr>
          <t xml:space="preserve">
Intragroupe ou financée</t>
        </r>
      </text>
    </comment>
  </commentList>
</comments>
</file>

<file path=xl/comments12.xml><?xml version="1.0" encoding="utf-8"?>
<comments xmlns="http://schemas.openxmlformats.org/spreadsheetml/2006/main">
  <authors>
    <author>Mustafa CAN</author>
  </authors>
  <commentList>
    <comment ref="AI6" authorId="0">
      <text>
        <r>
          <rPr>
            <sz val="8"/>
            <color indexed="81"/>
            <rFont val="Tahoma"/>
            <family val="2"/>
            <charset val="162"/>
          </rPr>
          <t xml:space="preserve">Calculated based on monthly salary. 
Please put the nbr of months for recruitment cost or new staff
</t>
        </r>
      </text>
    </comment>
    <comment ref="AV6" authorId="0">
      <text>
        <r>
          <rPr>
            <sz val="8"/>
            <color indexed="81"/>
            <rFont val="Tahoma"/>
            <family val="2"/>
            <charset val="162"/>
          </rPr>
          <t xml:space="preserve">Calculated based on % of yearly salary.
Please put the </t>
        </r>
        <r>
          <rPr>
            <b/>
            <sz val="8"/>
            <color indexed="81"/>
            <rFont val="Tahoma"/>
            <family val="2"/>
            <charset val="162"/>
          </rPr>
          <t>%</t>
        </r>
      </text>
    </comment>
    <comment ref="BB6" authorId="0">
      <text>
        <r>
          <rPr>
            <sz val="8"/>
            <color indexed="81"/>
            <rFont val="Tahoma"/>
            <family val="2"/>
            <charset val="162"/>
          </rPr>
          <t xml:space="preserve">Please put the amount per person per period
</t>
        </r>
        <r>
          <rPr>
            <b/>
            <sz val="8"/>
            <color indexed="81"/>
            <rFont val="Tahoma"/>
            <family val="2"/>
            <charset val="162"/>
          </rPr>
          <t>Cost person/period</t>
        </r>
      </text>
    </comment>
    <comment ref="BC6" authorId="0">
      <text>
        <r>
          <rPr>
            <sz val="8"/>
            <color indexed="81"/>
            <rFont val="Tahoma"/>
            <family val="2"/>
            <charset val="162"/>
          </rPr>
          <t xml:space="preserve">Please select the period of your coefficient: </t>
        </r>
        <r>
          <rPr>
            <b/>
            <sz val="8"/>
            <color indexed="81"/>
            <rFont val="Tahoma"/>
            <family val="2"/>
            <charset val="162"/>
          </rPr>
          <t>(Monthly/yearly)</t>
        </r>
      </text>
    </comment>
    <comment ref="BB9" authorId="0">
      <text>
        <r>
          <rPr>
            <sz val="8"/>
            <color indexed="81"/>
            <rFont val="Tahoma"/>
            <family val="2"/>
            <charset val="162"/>
          </rPr>
          <t xml:space="preserve">Please put increase (or decrease) rate </t>
        </r>
        <r>
          <rPr>
            <b/>
            <sz val="8"/>
            <color indexed="81"/>
            <rFont val="Tahoma"/>
            <family val="2"/>
            <charset val="162"/>
          </rPr>
          <t>(%)</t>
        </r>
        <r>
          <rPr>
            <sz val="8"/>
            <color indexed="81"/>
            <rFont val="Tahoma"/>
            <family val="2"/>
            <charset val="162"/>
          </rPr>
          <t xml:space="preserve"> of the coefficient </t>
        </r>
      </text>
    </comment>
    <comment ref="C13" authorId="0">
      <text>
        <r>
          <rPr>
            <b/>
            <sz val="8"/>
            <color indexed="81"/>
            <rFont val="Tahoma"/>
            <family val="2"/>
            <charset val="162"/>
          </rPr>
          <t>Mandatory Selection</t>
        </r>
        <r>
          <rPr>
            <sz val="8"/>
            <color indexed="81"/>
            <rFont val="Tahoma"/>
            <family val="2"/>
            <charset val="162"/>
          </rPr>
          <t xml:space="preserve">
Please make sure that you select correct language from the list
</t>
        </r>
        <r>
          <rPr>
            <b/>
            <sz val="8"/>
            <color indexed="81"/>
            <rFont val="Tahoma"/>
            <family val="2"/>
            <charset val="162"/>
          </rPr>
          <t>EN :</t>
        </r>
        <r>
          <rPr>
            <sz val="8"/>
            <color indexed="81"/>
            <rFont val="Tahoma"/>
            <family val="2"/>
            <charset val="162"/>
          </rPr>
          <t xml:space="preserve"> Headcount/interim </t>
        </r>
      </text>
    </comment>
    <comment ref="E13" authorId="0">
      <text>
        <r>
          <rPr>
            <b/>
            <sz val="8"/>
            <color indexed="81"/>
            <rFont val="Tahoma"/>
            <family val="2"/>
            <charset val="162"/>
          </rPr>
          <t>Mandatory Selection</t>
        </r>
        <r>
          <rPr>
            <sz val="8"/>
            <color indexed="81"/>
            <rFont val="Tahoma"/>
            <family val="2"/>
            <charset val="162"/>
          </rPr>
          <t xml:space="preserve">
Department
UO</t>
        </r>
      </text>
    </comment>
    <comment ref="J13" authorId="0">
      <text>
        <r>
          <rPr>
            <b/>
            <sz val="8"/>
            <color indexed="81"/>
            <rFont val="Tahoma"/>
            <family val="2"/>
            <charset val="162"/>
          </rPr>
          <t>Mandatory Selection</t>
        </r>
        <r>
          <rPr>
            <sz val="8"/>
            <color indexed="81"/>
            <rFont val="Tahoma"/>
            <family val="2"/>
            <charset val="162"/>
          </rPr>
          <t xml:space="preserve">
Please make sure that you select correct language from the list
</t>
        </r>
        <r>
          <rPr>
            <b/>
            <sz val="8"/>
            <color indexed="81"/>
            <rFont val="Tahoma"/>
            <family val="2"/>
            <charset val="162"/>
          </rPr>
          <t>EN :</t>
        </r>
        <r>
          <rPr>
            <sz val="8"/>
            <color indexed="81"/>
            <rFont val="Tahoma"/>
            <family val="2"/>
            <charset val="162"/>
          </rPr>
          <t xml:space="preserve"> Market/Inflation/Other</t>
        </r>
      </text>
    </comment>
    <comment ref="CI13" authorId="0">
      <text>
        <r>
          <rPr>
            <sz val="8"/>
            <color indexed="81"/>
            <rFont val="Tahoma"/>
            <family val="2"/>
            <charset val="162"/>
          </rPr>
          <t>Monthly or yearly rent per company car</t>
        </r>
      </text>
    </comment>
    <comment ref="CJ13" authorId="0">
      <text>
        <r>
          <rPr>
            <sz val="8"/>
            <color indexed="81"/>
            <rFont val="Tahoma"/>
            <family val="2"/>
            <charset val="162"/>
          </rPr>
          <t xml:space="preserve">Monthly or yearly gasoline consumption per company car
</t>
        </r>
      </text>
    </comment>
    <comment ref="CK13" authorId="0">
      <text>
        <r>
          <rPr>
            <sz val="8"/>
            <color indexed="81"/>
            <rFont val="Tahoma"/>
            <family val="2"/>
            <charset val="162"/>
          </rPr>
          <t xml:space="preserve">Monthly or yearly mobile telecom cost per staff
</t>
        </r>
      </text>
    </comment>
    <comment ref="DE13" authorId="0">
      <text>
        <r>
          <rPr>
            <sz val="8"/>
            <color indexed="81"/>
            <rFont val="Tahoma"/>
            <family val="2"/>
            <charset val="162"/>
          </rPr>
          <t xml:space="preserve">Nbr of travels per year per person
</t>
        </r>
      </text>
    </comment>
    <comment ref="DF13" authorId="0">
      <text>
        <r>
          <rPr>
            <sz val="8"/>
            <color indexed="81"/>
            <rFont val="Tahoma"/>
            <family val="2"/>
            <charset val="162"/>
          </rPr>
          <t>Transport cost per trip (plane, bus,train,car rent, etc)</t>
        </r>
        <r>
          <rPr>
            <b/>
            <sz val="8"/>
            <color indexed="81"/>
            <rFont val="Tahoma"/>
            <family val="2"/>
            <charset val="162"/>
          </rPr>
          <t xml:space="preserve">
</t>
        </r>
      </text>
    </comment>
    <comment ref="DG13" authorId="0">
      <text>
        <r>
          <rPr>
            <sz val="8"/>
            <color indexed="81"/>
            <rFont val="Tahoma"/>
            <family val="2"/>
            <charset val="162"/>
          </rPr>
          <t xml:space="preserve">Accommodation cost per trip
</t>
        </r>
      </text>
    </comment>
    <comment ref="DT13" authorId="0">
      <text>
        <r>
          <rPr>
            <b/>
            <sz val="8"/>
            <color indexed="81"/>
            <rFont val="Tahoma"/>
            <family val="2"/>
            <charset val="162"/>
          </rPr>
          <t>Mandatory Selection</t>
        </r>
        <r>
          <rPr>
            <sz val="8"/>
            <color indexed="81"/>
            <rFont val="Tahoma"/>
            <family val="2"/>
            <charset val="162"/>
          </rPr>
          <t xml:space="preserve">
</t>
        </r>
      </text>
    </comment>
    <comment ref="P15" authorId="0">
      <text>
        <r>
          <rPr>
            <b/>
            <sz val="8"/>
            <color indexed="81"/>
            <rFont val="Tahoma"/>
            <family val="2"/>
            <charset val="162"/>
          </rPr>
          <t>Avg effectif:</t>
        </r>
        <r>
          <rPr>
            <sz val="8"/>
            <color indexed="81"/>
            <rFont val="Tahoma"/>
            <family val="2"/>
            <charset val="162"/>
          </rPr>
          <t xml:space="preserve">
 Nb de mois travaillé/12:
 Nb of months /12:
Exp: 
6 months/ mois = 6/12
8 months/mois  = 8/12
12 months/mois = 1</t>
        </r>
      </text>
    </comment>
  </commentList>
</comments>
</file>

<file path=xl/comments2.xml><?xml version="1.0" encoding="utf-8"?>
<comments xmlns="http://schemas.openxmlformats.org/spreadsheetml/2006/main">
  <authors>
    <author>u429437</author>
  </authors>
  <commentList>
    <comment ref="C56" authorId="0">
      <text>
        <r>
          <rPr>
            <sz val="9"/>
            <color indexed="81"/>
            <rFont val="Tahoma"/>
            <family val="2"/>
          </rPr>
          <t>NE PAS MODIFIER
SI BESOIN CONTACTER CELLULE INVESTISSEMENTS
DO NOT MODIFY
IF NECESSARY, CONTACT INVESTS DEPARTMENT</t>
        </r>
      </text>
    </comment>
    <comment ref="C60" authorId="0">
      <text>
        <r>
          <rPr>
            <sz val="9"/>
            <color indexed="81"/>
            <rFont val="Tahoma"/>
            <family val="2"/>
          </rPr>
          <t>NE PAS MODIFIER
SI BESOIN CONTACTER CELLULE INVESTISSEMENTS
DO NOT MODIFY
IF NECESSARY, CONTACT INVESTS DEPARTMENT</t>
        </r>
      </text>
    </comment>
  </commentList>
</comments>
</file>

<file path=xl/comments3.xml><?xml version="1.0" encoding="utf-8"?>
<comments xmlns="http://schemas.openxmlformats.org/spreadsheetml/2006/main">
  <authors>
    <author>Cécile Bécourt</author>
    <author>Hayette ZEMROUR</author>
    <author>Laurent TREMOIS</author>
  </authors>
  <commentList>
    <comment ref="D7" authorId="0">
      <text>
        <r>
          <rPr>
            <sz val="11"/>
            <color indexed="81"/>
            <rFont val="Tahoma"/>
            <family val="2"/>
          </rPr>
          <t>année d'investissement</t>
        </r>
      </text>
    </comment>
    <comment ref="C58" authorId="1">
      <text>
        <r>
          <rPr>
            <b/>
            <sz val="8"/>
            <color indexed="81"/>
            <rFont val="Tahoma"/>
            <family val="2"/>
          </rPr>
          <t>SI RATTACHE A PROJET ANTERIEUR</t>
        </r>
      </text>
    </comment>
    <comment ref="D67" authorId="2">
      <text>
        <r>
          <rPr>
            <b/>
            <sz val="12"/>
            <color indexed="81"/>
            <rFont val="Tahoma"/>
            <family val="2"/>
          </rPr>
          <t xml:space="preserve">Saisir 1 </t>
        </r>
        <r>
          <rPr>
            <sz val="12"/>
            <color indexed="81"/>
            <rFont val="Tahoma"/>
            <family val="2"/>
          </rPr>
          <t>pour déclencher l'actualisation</t>
        </r>
        <r>
          <rPr>
            <b/>
            <sz val="12"/>
            <color indexed="81"/>
            <rFont val="Tahoma"/>
            <family val="2"/>
          </rPr>
          <t xml:space="preserve"> SI </t>
        </r>
        <r>
          <rPr>
            <sz val="12"/>
            <color indexed="81"/>
            <rFont val="Tahoma"/>
            <family val="2"/>
          </rPr>
          <t xml:space="preserve">c'est la 1ère année pleine 
</t>
        </r>
        <r>
          <rPr>
            <b/>
            <sz val="12"/>
            <color indexed="81"/>
            <rFont val="Tahoma"/>
            <family val="2"/>
          </rPr>
          <t>sinon Saisir 0</t>
        </r>
      </text>
    </comment>
    <comment ref="P67" authorId="2">
      <text>
        <r>
          <rPr>
            <b/>
            <sz val="10"/>
            <color indexed="81"/>
            <rFont val="Tahoma"/>
            <family val="2"/>
          </rPr>
          <t xml:space="preserve">extrait du paragraphe 6.1 de la norme PSA COAD0057G
</t>
        </r>
        <r>
          <rPr>
            <sz val="10"/>
            <color indexed="81"/>
            <rFont val="Tahoma"/>
            <family val="2"/>
          </rPr>
          <t xml:space="preserve">Le calcul de la VAN nécéssite le choix d'une année d'actualisation. Il s'agit </t>
        </r>
        <r>
          <rPr>
            <b/>
            <sz val="10"/>
            <color indexed="81"/>
            <rFont val="Tahoma"/>
            <family val="2"/>
          </rPr>
          <t xml:space="preserve">de la première année pleine </t>
        </r>
        <r>
          <rPr>
            <sz val="10"/>
            <color indexed="81"/>
            <rFont val="Tahoma"/>
            <family val="2"/>
          </rPr>
          <t>d'exploitation liée au projet (on considère que l'année est pleine s'il y a eu des recettes avant le 30 juin)</t>
        </r>
      </text>
    </comment>
    <comment ref="S67" authorId="2">
      <text>
        <r>
          <rPr>
            <b/>
            <sz val="10"/>
            <color indexed="81"/>
            <rFont val="Tahoma"/>
            <family val="2"/>
          </rPr>
          <t xml:space="preserve">extrait du paragraphe 6.1 de la norme PSA COAD0057G
</t>
        </r>
        <r>
          <rPr>
            <sz val="10"/>
            <color indexed="81"/>
            <rFont val="Tahoma"/>
            <family val="2"/>
          </rPr>
          <t xml:space="preserve">Le calcul de la VAN nécéssite le choix d'une année d'actualisation. Il s'agit </t>
        </r>
        <r>
          <rPr>
            <b/>
            <sz val="10"/>
            <color indexed="81"/>
            <rFont val="Tahoma"/>
            <family val="2"/>
          </rPr>
          <t xml:space="preserve">de la première année pleine </t>
        </r>
        <r>
          <rPr>
            <sz val="10"/>
            <color indexed="81"/>
            <rFont val="Tahoma"/>
            <family val="2"/>
          </rPr>
          <t>d'exploitation liée au projet (on considère que l'année est pleine s'il y a eu des recettes avant le 30 juin)</t>
        </r>
      </text>
    </comment>
  </commentList>
</comments>
</file>

<file path=xl/comments4.xml><?xml version="1.0" encoding="utf-8"?>
<comments xmlns="http://schemas.openxmlformats.org/spreadsheetml/2006/main">
  <authors>
    <author>sbrea</author>
  </authors>
  <commentList>
    <comment ref="B3" authorId="0">
      <text>
        <r>
          <rPr>
            <b/>
            <sz val="9"/>
            <color indexed="81"/>
            <rFont val="Tahoma"/>
            <family val="2"/>
          </rPr>
          <t>sbrea:</t>
        </r>
        <r>
          <rPr>
            <sz val="9"/>
            <color indexed="81"/>
            <rFont val="Tahoma"/>
            <family val="2"/>
          </rPr>
          <t xml:space="preserve">
Crecimiento previsto en Presupuesto Nacional 2015</t>
        </r>
      </text>
    </comment>
    <comment ref="C3" authorId="0">
      <text>
        <r>
          <rPr>
            <b/>
            <sz val="9"/>
            <color indexed="81"/>
            <rFont val="Tahoma"/>
            <family val="2"/>
          </rPr>
          <t>sbrea:</t>
        </r>
        <r>
          <rPr>
            <sz val="9"/>
            <color indexed="81"/>
            <rFont val="Tahoma"/>
            <family val="2"/>
          </rPr>
          <t xml:space="preserve">
Ámbito financiero - 7/4/2015 según Presupuesto Nacional 2015</t>
        </r>
      </text>
    </comment>
    <comment ref="B4" authorId="0">
      <text>
        <r>
          <rPr>
            <b/>
            <sz val="9"/>
            <color indexed="81"/>
            <rFont val="Tahoma"/>
            <family val="2"/>
          </rPr>
          <t>sbrea:</t>
        </r>
        <r>
          <rPr>
            <sz val="9"/>
            <color indexed="81"/>
            <rFont val="Tahoma"/>
            <family val="2"/>
          </rPr>
          <t xml:space="preserve">
Crecimiento previsto en Presupuesto Nacional 2014</t>
        </r>
      </text>
    </comment>
    <comment ref="C4" authorId="0">
      <text>
        <r>
          <rPr>
            <b/>
            <sz val="9"/>
            <color indexed="81"/>
            <rFont val="Tahoma"/>
            <family val="2"/>
          </rPr>
          <t>sbrea:</t>
        </r>
        <r>
          <rPr>
            <sz val="9"/>
            <color indexed="81"/>
            <rFont val="Tahoma"/>
            <family val="2"/>
          </rPr>
          <t xml:space="preserve">
Infobae - 13/09/2013, según estimación oficial del Gobierno por medio de Hernán Lorenzino</t>
        </r>
      </text>
    </comment>
    <comment ref="E7" authorId="0">
      <text>
        <r>
          <rPr>
            <b/>
            <sz val="9"/>
            <color indexed="81"/>
            <rFont val="Tahoma"/>
            <family val="2"/>
          </rPr>
          <t>sbrea:</t>
        </r>
        <r>
          <rPr>
            <sz val="9"/>
            <color indexed="81"/>
            <rFont val="Tahoma"/>
            <family val="2"/>
          </rPr>
          <t xml:space="preserve">
Valor supuesto en base a la estadística 2006-2010.</t>
        </r>
      </text>
    </comment>
  </commentList>
</comments>
</file>

<file path=xl/comments5.xml><?xml version="1.0" encoding="utf-8"?>
<comments xmlns="http://schemas.openxmlformats.org/spreadsheetml/2006/main">
  <authors>
    <author>u429437</author>
  </authors>
  <commentList>
    <comment ref="C56" authorId="0">
      <text>
        <r>
          <rPr>
            <sz val="9"/>
            <color indexed="81"/>
            <rFont val="Tahoma"/>
            <family val="2"/>
          </rPr>
          <t>NE PAS MODIFIER
SI BESOIN CONTACTER CELLULE INVESTISSEMENTS
DO NOT MODIFY
IF NECESSARY, CONTACT INVESTS DEPARTMENT</t>
        </r>
      </text>
    </comment>
    <comment ref="C60" authorId="0">
      <text>
        <r>
          <rPr>
            <sz val="9"/>
            <color indexed="81"/>
            <rFont val="Tahoma"/>
            <family val="2"/>
          </rPr>
          <t>NE PAS MODIFIER
SI BESOIN CONTACTER CELLULE INVESTISSEMENTS
DO NOT MODIFY
IF NECESSARY, CONTACT INVESTS DEPARTMENT</t>
        </r>
      </text>
    </comment>
  </commentList>
</comments>
</file>

<file path=xl/comments6.xml><?xml version="1.0" encoding="utf-8"?>
<comments xmlns="http://schemas.openxmlformats.org/spreadsheetml/2006/main">
  <authors>
    <author>u429437</author>
  </authors>
  <commentList>
    <comment ref="C56" authorId="0">
      <text>
        <r>
          <rPr>
            <sz val="9"/>
            <color indexed="81"/>
            <rFont val="Tahoma"/>
            <family val="2"/>
          </rPr>
          <t>NE PAS MODIFIER
SI BESOIN CONTACTER CELLULE INVESTISSEMENTS
DO NOT MODIFY
IF NECESSARY, CONTACT INVESTS DEPARTMENT</t>
        </r>
      </text>
    </comment>
    <comment ref="C60" authorId="0">
      <text>
        <r>
          <rPr>
            <sz val="9"/>
            <color indexed="81"/>
            <rFont val="Tahoma"/>
            <family val="2"/>
          </rPr>
          <t>NE PAS MODIFIER
SI BESOIN CONTACTER CELLULE INVESTISSEMENTS
DO NOT MODIFY
IF NECESSARY, CONTACT INVESTS DEPARTMENT</t>
        </r>
      </text>
    </comment>
  </commentList>
</comments>
</file>

<file path=xl/comments7.xml><?xml version="1.0" encoding="utf-8"?>
<comments xmlns="http://schemas.openxmlformats.org/spreadsheetml/2006/main">
  <authors>
    <author>u429437</author>
  </authors>
  <commentList>
    <comment ref="C56" authorId="0">
      <text>
        <r>
          <rPr>
            <sz val="9"/>
            <color indexed="81"/>
            <rFont val="Tahoma"/>
            <family val="2"/>
          </rPr>
          <t>NE PAS MODIFIER
SI BESOIN CONTACTER CELLULE INVESTISSEMENTS
DO NOT MODIFY
IF NECESSARY, CONTACT INVESTS DEPARTMENT</t>
        </r>
      </text>
    </comment>
    <comment ref="C60" authorId="0">
      <text>
        <r>
          <rPr>
            <sz val="9"/>
            <color indexed="81"/>
            <rFont val="Tahoma"/>
            <family val="2"/>
          </rPr>
          <t>NE PAS MODIFIER
SI BESOIN CONTACTER CELLULE INVESTISSEMENTS
DO NOT MODIFY
IF NECESSARY, CONTACT INVESTS DEPARTMENT</t>
        </r>
      </text>
    </comment>
  </commentList>
</comments>
</file>

<file path=xl/comments8.xml><?xml version="1.0" encoding="utf-8"?>
<comments xmlns="http://schemas.openxmlformats.org/spreadsheetml/2006/main">
  <authors>
    <author>Cécile Bécourt</author>
    <author>Hayette ZEMROUR</author>
    <author>Laurent TREMOIS</author>
  </authors>
  <commentList>
    <comment ref="D7" authorId="0">
      <text>
        <r>
          <rPr>
            <sz val="11"/>
            <color indexed="81"/>
            <rFont val="Tahoma"/>
            <family val="2"/>
          </rPr>
          <t>année d'investissement</t>
        </r>
      </text>
    </comment>
    <comment ref="B13" authorId="1">
      <text>
        <r>
          <rPr>
            <b/>
            <sz val="8"/>
            <color indexed="81"/>
            <rFont val="Tahoma"/>
            <family val="2"/>
          </rPr>
          <t>amenagement</t>
        </r>
      </text>
    </comment>
    <comment ref="Q13" authorId="1">
      <text>
        <r>
          <rPr>
            <b/>
            <sz val="8"/>
            <color indexed="81"/>
            <rFont val="Tahoma"/>
            <family val="2"/>
          </rPr>
          <t>amenagement</t>
        </r>
      </text>
    </comment>
    <comment ref="T13" authorId="1">
      <text>
        <r>
          <rPr>
            <b/>
            <sz val="8"/>
            <color indexed="81"/>
            <rFont val="Tahoma"/>
            <family val="2"/>
          </rPr>
          <t>amenagement</t>
        </r>
      </text>
    </comment>
    <comment ref="C99" authorId="1">
      <text>
        <r>
          <rPr>
            <b/>
            <sz val="8"/>
            <color indexed="81"/>
            <rFont val="Tahoma"/>
            <family val="2"/>
          </rPr>
          <t>SI RATTACHE A PROJET ANTERIEUR</t>
        </r>
      </text>
    </comment>
    <comment ref="A110" authorId="2">
      <text>
        <r>
          <rPr>
            <b/>
            <sz val="10"/>
            <color indexed="81"/>
            <rFont val="Tahoma"/>
            <family val="2"/>
          </rPr>
          <t xml:space="preserve">extrait du paragraphe 6.1 de la norme PSA COAD0057G
</t>
        </r>
        <r>
          <rPr>
            <sz val="10"/>
            <color indexed="81"/>
            <rFont val="Tahoma"/>
            <family val="2"/>
          </rPr>
          <t xml:space="preserve">Le calcul de la VAN nécéssite le choix d'une année d'actualisation. Il s'agit </t>
        </r>
        <r>
          <rPr>
            <b/>
            <sz val="10"/>
            <color indexed="81"/>
            <rFont val="Tahoma"/>
            <family val="2"/>
          </rPr>
          <t xml:space="preserve">de la première année pleine </t>
        </r>
        <r>
          <rPr>
            <sz val="10"/>
            <color indexed="81"/>
            <rFont val="Tahoma"/>
            <family val="2"/>
          </rPr>
          <t>d'exploitation liée au projet (on considère que l'année est pleine s'il y a eu des recettes avant le 30 juin)</t>
        </r>
      </text>
    </comment>
    <comment ref="D110" authorId="2">
      <text>
        <r>
          <rPr>
            <b/>
            <sz val="12"/>
            <color indexed="81"/>
            <rFont val="Tahoma"/>
            <family val="2"/>
          </rPr>
          <t xml:space="preserve">Saisir 1 </t>
        </r>
        <r>
          <rPr>
            <sz val="12"/>
            <color indexed="81"/>
            <rFont val="Tahoma"/>
            <family val="2"/>
          </rPr>
          <t>pour déclencher l'actualisation</t>
        </r>
        <r>
          <rPr>
            <b/>
            <sz val="12"/>
            <color indexed="81"/>
            <rFont val="Tahoma"/>
            <family val="2"/>
          </rPr>
          <t xml:space="preserve"> SI </t>
        </r>
        <r>
          <rPr>
            <sz val="12"/>
            <color indexed="81"/>
            <rFont val="Tahoma"/>
            <family val="2"/>
          </rPr>
          <t xml:space="preserve">c'est la 1ère année pleine 
</t>
        </r>
        <r>
          <rPr>
            <b/>
            <sz val="12"/>
            <color indexed="81"/>
            <rFont val="Tahoma"/>
            <family val="2"/>
          </rPr>
          <t>sinon Saisir 0</t>
        </r>
      </text>
    </comment>
    <comment ref="P110" authorId="2">
      <text>
        <r>
          <rPr>
            <b/>
            <sz val="10"/>
            <color indexed="81"/>
            <rFont val="Tahoma"/>
            <family val="2"/>
          </rPr>
          <t xml:space="preserve">extrait du paragraphe 6.1 de la norme PSA COAD0057G
</t>
        </r>
        <r>
          <rPr>
            <sz val="10"/>
            <color indexed="81"/>
            <rFont val="Tahoma"/>
            <family val="2"/>
          </rPr>
          <t xml:space="preserve">Le calcul de la VAN nécéssite le choix d'une année d'actualisation. Il s'agit </t>
        </r>
        <r>
          <rPr>
            <b/>
            <sz val="10"/>
            <color indexed="81"/>
            <rFont val="Tahoma"/>
            <family val="2"/>
          </rPr>
          <t xml:space="preserve">de la première année pleine </t>
        </r>
        <r>
          <rPr>
            <sz val="10"/>
            <color indexed="81"/>
            <rFont val="Tahoma"/>
            <family val="2"/>
          </rPr>
          <t>d'exploitation liée au projet (on considère que l'année est pleine s'il y a eu des recettes avant le 30 juin)</t>
        </r>
      </text>
    </comment>
    <comment ref="S110" authorId="2">
      <text>
        <r>
          <rPr>
            <b/>
            <sz val="10"/>
            <color indexed="81"/>
            <rFont val="Tahoma"/>
            <family val="2"/>
          </rPr>
          <t xml:space="preserve">extrait du paragraphe 6.1 de la norme PSA COAD0057G
</t>
        </r>
        <r>
          <rPr>
            <sz val="10"/>
            <color indexed="81"/>
            <rFont val="Tahoma"/>
            <family val="2"/>
          </rPr>
          <t xml:space="preserve">Le calcul de la VAN nécéssite le choix d'une année d'actualisation. Il s'agit </t>
        </r>
        <r>
          <rPr>
            <b/>
            <sz val="10"/>
            <color indexed="81"/>
            <rFont val="Tahoma"/>
            <family val="2"/>
          </rPr>
          <t xml:space="preserve">de la première année pleine </t>
        </r>
        <r>
          <rPr>
            <sz val="10"/>
            <color indexed="81"/>
            <rFont val="Tahoma"/>
            <family val="2"/>
          </rPr>
          <t>d'exploitation liée au projet (on considère que l'année est pleine s'il y a eu des recettes avant le 30 juin)</t>
        </r>
      </text>
    </comment>
  </commentList>
</comments>
</file>

<file path=xl/comments9.xml><?xml version="1.0" encoding="utf-8"?>
<comments xmlns="http://schemas.openxmlformats.org/spreadsheetml/2006/main">
  <authors>
    <author>Romain LYSONICK</author>
  </authors>
  <commentList>
    <comment ref="D8" authorId="0">
      <text>
        <r>
          <rPr>
            <sz val="9"/>
            <color indexed="81"/>
            <rFont val="Tahoma"/>
            <family val="2"/>
          </rPr>
          <t xml:space="preserve">A noter sur la base de l'échelle suivante:
0 = aucun impact
1 = impact faible
2 = impact moyen
3 = impact grave
Rate it according the following scale:
0 = no impact
1 = weak impact 
2 = average impact 
3 = severe impact 
</t>
        </r>
      </text>
    </comment>
    <comment ref="E8" authorId="0">
      <text>
        <r>
          <rPr>
            <sz val="9"/>
            <color indexed="81"/>
            <rFont val="Tahoma"/>
            <family val="2"/>
          </rPr>
          <t>A noter sur la base de l'échelle suivante:
0 = probabilité nulle
1 = probabilité mineure
2 = probabilité courante
3 = probabilité certaine</t>
        </r>
      </text>
    </comment>
    <comment ref="F8" authorId="0">
      <text>
        <r>
          <rPr>
            <sz val="9"/>
            <color indexed="81"/>
            <rFont val="Tahoma"/>
            <family val="2"/>
          </rPr>
          <t xml:space="preserve">Produit de la gravité par la probabilité d'occurence
</t>
        </r>
      </text>
    </comment>
    <comment ref="P8" authorId="0">
      <text>
        <r>
          <rPr>
            <sz val="9"/>
            <color indexed="81"/>
            <rFont val="Tahoma"/>
            <family val="2"/>
          </rPr>
          <t xml:space="preserve">A noter sur la base de l'échelle suivante:
0 = aucun impact
1 = impact faible
2 = impact moyen
3 = impact grave
</t>
        </r>
      </text>
    </comment>
    <comment ref="Q8" authorId="0">
      <text>
        <r>
          <rPr>
            <sz val="9"/>
            <color indexed="81"/>
            <rFont val="Tahoma"/>
            <family val="2"/>
          </rPr>
          <t>A noter sur la base de l'échelle suivante:
0 = probabilité nulle
1 = probabilité mineure
2 = probabilité courante
3 = probabilité certaine</t>
        </r>
      </text>
    </comment>
    <comment ref="R8" authorId="0">
      <text>
        <r>
          <rPr>
            <sz val="9"/>
            <color indexed="81"/>
            <rFont val="Tahoma"/>
            <family val="2"/>
          </rPr>
          <t xml:space="preserve">Produit de la gravité par la probabilité d'occurence
</t>
        </r>
      </text>
    </comment>
    <comment ref="AB8" authorId="0">
      <text>
        <r>
          <rPr>
            <sz val="9"/>
            <color indexed="81"/>
            <rFont val="Tahoma"/>
            <family val="2"/>
          </rPr>
          <t xml:space="preserve">A noter sur la base de l'échelle suivante:
0 = aucun impact
1 = impact faible
2 = impact moyen
3 = impact grave
Rate it according the following scale:
0 = no impact
1 = weak impact 
2 = average impact 
3 = severe impact </t>
        </r>
      </text>
    </comment>
    <comment ref="AC8" authorId="0">
      <text>
        <r>
          <rPr>
            <sz val="9"/>
            <color indexed="81"/>
            <rFont val="Tahoma"/>
            <family val="2"/>
          </rPr>
          <t>A noter sur la base de l'échelle suivante:
0 = probabilité nulle
1 = probabilité mineure
2 = probabilité courante
3 = probabilité certaine
Rate it according the following scale:
0 = no probability
1 = minor probability
2 = common probability
3 = certain probability</t>
        </r>
      </text>
    </comment>
    <comment ref="AD8" authorId="0">
      <text>
        <r>
          <rPr>
            <sz val="9"/>
            <color indexed="81"/>
            <rFont val="Tahoma"/>
            <family val="2"/>
          </rPr>
          <t>Produit de la gravité par la probabilité d'occurence
Multiply seriousness by probability</t>
        </r>
      </text>
    </comment>
  </commentList>
</comments>
</file>

<file path=xl/sharedStrings.xml><?xml version="1.0" encoding="utf-8"?>
<sst xmlns="http://schemas.openxmlformats.org/spreadsheetml/2006/main" count="5266" uniqueCount="1964">
  <si>
    <t>Autres</t>
  </si>
  <si>
    <t>Immobilier</t>
  </si>
  <si>
    <t>Architecte, MOD, études etc :</t>
  </si>
  <si>
    <t>Consolidant</t>
  </si>
  <si>
    <t>K€</t>
  </si>
  <si>
    <t xml:space="preserve">           Année</t>
  </si>
  <si>
    <t>Investissements</t>
  </si>
  <si>
    <t>Terrain</t>
  </si>
  <si>
    <t>Constructions</t>
  </si>
  <si>
    <t>IAA des constructions</t>
  </si>
  <si>
    <t>Matériel de Bureau</t>
  </si>
  <si>
    <t>Equipement Informatique</t>
  </si>
  <si>
    <t>Informatique</t>
  </si>
  <si>
    <t>Amortissements</t>
  </si>
  <si>
    <t>Amortissements annuels</t>
  </si>
  <si>
    <t>Valeur Nette des Immobilisations</t>
  </si>
  <si>
    <t>Compte d'exploitation</t>
  </si>
  <si>
    <t>Ventes PSA</t>
  </si>
  <si>
    <t>+</t>
  </si>
  <si>
    <t>Ventes Hors Groupe</t>
  </si>
  <si>
    <t>-</t>
  </si>
  <si>
    <t>Marge commerciale</t>
  </si>
  <si>
    <t>% MCO/Ventes</t>
  </si>
  <si>
    <t>Loyer</t>
  </si>
  <si>
    <t>Besoin en fonds de roulement</t>
  </si>
  <si>
    <t>TVA</t>
  </si>
  <si>
    <t>Clients hors groupe</t>
  </si>
  <si>
    <t>Clients groupe</t>
  </si>
  <si>
    <t>BFR</t>
  </si>
  <si>
    <t>Rentabilité des capitaux employés</t>
  </si>
  <si>
    <t>Immobilisations</t>
  </si>
  <si>
    <t>Capitaux Employés</t>
  </si>
  <si>
    <t>Calcul de la VAN</t>
  </si>
  <si>
    <t>Investissements corporels</t>
  </si>
  <si>
    <t>Variation du BFR</t>
  </si>
  <si>
    <t>Total dépenses</t>
  </si>
  <si>
    <t>Total revenus</t>
  </si>
  <si>
    <t>Délai de retour</t>
  </si>
  <si>
    <t>Année 1</t>
  </si>
  <si>
    <t>Année 2</t>
  </si>
  <si>
    <t>Année 3</t>
  </si>
  <si>
    <t>Année 4</t>
  </si>
  <si>
    <t>Année 5</t>
  </si>
  <si>
    <t>Salaires et Charges</t>
  </si>
  <si>
    <t xml:space="preserve">Achats </t>
  </si>
  <si>
    <t>Ventes Gefco</t>
  </si>
  <si>
    <t>Autres frais de personnel</t>
  </si>
  <si>
    <t>Location d'engins</t>
  </si>
  <si>
    <t>Achat de petits matériels</t>
  </si>
  <si>
    <t xml:space="preserve">Entretien et réparation </t>
  </si>
  <si>
    <t>Autres frais d'exploitation</t>
  </si>
  <si>
    <t>Entretien Batiments</t>
  </si>
  <si>
    <t>Autres frais de structure</t>
  </si>
  <si>
    <t xml:space="preserve"> Intérimaires</t>
  </si>
  <si>
    <t>Equipement</t>
  </si>
  <si>
    <t xml:space="preserve">Visa </t>
  </si>
  <si>
    <t xml:space="preserve">pour </t>
  </si>
  <si>
    <t>accord</t>
  </si>
  <si>
    <t>Nom</t>
  </si>
  <si>
    <t>Signature</t>
  </si>
  <si>
    <t>DSI</t>
  </si>
  <si>
    <t>ROCE</t>
  </si>
  <si>
    <t>VAN</t>
  </si>
  <si>
    <t>%</t>
  </si>
  <si>
    <t>nb</t>
  </si>
  <si>
    <t>Remarques des signataires</t>
  </si>
  <si>
    <t xml:space="preserve">Informatique </t>
  </si>
  <si>
    <t>Location k€</t>
  </si>
  <si>
    <t>% des ventes</t>
  </si>
  <si>
    <t>Montants investis</t>
  </si>
  <si>
    <t>N-1</t>
  </si>
  <si>
    <t>Rédacteur de cette fiche :</t>
  </si>
  <si>
    <t>Version :</t>
  </si>
  <si>
    <t>X</t>
  </si>
  <si>
    <t>Date de mise en service</t>
  </si>
  <si>
    <t>Financier</t>
  </si>
  <si>
    <t>Intérim</t>
  </si>
  <si>
    <t>Honoraires</t>
  </si>
  <si>
    <t>Année 6</t>
  </si>
  <si>
    <t>PSA Group sales</t>
  </si>
  <si>
    <t>Non PSA Group sales</t>
  </si>
  <si>
    <t>Gefco Group sales</t>
  </si>
  <si>
    <t>Purchases</t>
  </si>
  <si>
    <t>Gross margin</t>
  </si>
  <si>
    <t>% Sales</t>
  </si>
  <si>
    <t>Salary +  employment taxes</t>
  </si>
  <si>
    <t xml:space="preserve">Formation </t>
  </si>
  <si>
    <t>Temporary worker costs</t>
  </si>
  <si>
    <t>Training cost</t>
  </si>
  <si>
    <t>Personnel expenses</t>
  </si>
  <si>
    <t>other operating expenses</t>
  </si>
  <si>
    <t>Otherstructure costs</t>
  </si>
  <si>
    <t>Structure costs</t>
  </si>
  <si>
    <t>Direct costs</t>
  </si>
  <si>
    <t>Operating margin</t>
  </si>
  <si>
    <t>Temporary workers</t>
  </si>
  <si>
    <t>Operating full time equivalent</t>
  </si>
  <si>
    <t>Validation</t>
  </si>
  <si>
    <t xml:space="preserve">UO </t>
  </si>
  <si>
    <t xml:space="preserve">PAYS </t>
  </si>
  <si>
    <t>Date</t>
  </si>
  <si>
    <t>P. Cossé</t>
  </si>
  <si>
    <t>Headcount (Ful time equivalent)</t>
  </si>
  <si>
    <t>Other staff cost</t>
  </si>
  <si>
    <t>Depreciation</t>
  </si>
  <si>
    <t>Equipment rental</t>
  </si>
  <si>
    <t>Equipment (purchases)</t>
  </si>
  <si>
    <t>Maintenance &amp; repair costs</t>
  </si>
  <si>
    <t>Operating cost</t>
  </si>
  <si>
    <t>Deprecition (depot)</t>
  </si>
  <si>
    <t>Maintenance (real estate)</t>
  </si>
  <si>
    <t>Rental (Real Estate)</t>
  </si>
  <si>
    <t>Fees</t>
  </si>
  <si>
    <t>Rotation des capitaux</t>
  </si>
  <si>
    <t xml:space="preserve"> Racks</t>
  </si>
  <si>
    <t xml:space="preserve"> Chariots</t>
  </si>
  <si>
    <t>Outillage</t>
  </si>
  <si>
    <t>Frais de personnel</t>
  </si>
  <si>
    <t xml:space="preserve">Total achats </t>
  </si>
  <si>
    <t>Frais d'agence</t>
  </si>
  <si>
    <t>Effectifs Opérationnels</t>
  </si>
  <si>
    <t>Effectifs opérationnels fin d'année</t>
  </si>
  <si>
    <t>Inscrits (ETP)</t>
  </si>
  <si>
    <t>Achats</t>
  </si>
  <si>
    <t>Délai de paiement (jours)</t>
  </si>
  <si>
    <t>Fournisseurs</t>
  </si>
  <si>
    <t>Aménagement terrain</t>
  </si>
  <si>
    <t>Matériel d'exploitation, chariots</t>
  </si>
  <si>
    <t>Amortissements d'exploitation</t>
  </si>
  <si>
    <t>Amortissements agence</t>
  </si>
  <si>
    <t>Durée</t>
  </si>
  <si>
    <t>7/9</t>
  </si>
  <si>
    <t>Total des ventes</t>
  </si>
  <si>
    <t>Annuel</t>
  </si>
  <si>
    <t>RUO</t>
  </si>
  <si>
    <t xml:space="preserve">Frais opérationnels </t>
  </si>
  <si>
    <t>Calculs financiers</t>
  </si>
  <si>
    <r>
      <t xml:space="preserve">K€ </t>
    </r>
    <r>
      <rPr>
        <i/>
        <sz val="8"/>
        <color indexed="8"/>
        <rFont val="ARIAL"/>
        <family val="2"/>
      </rPr>
      <t>(montants signés)</t>
    </r>
  </si>
  <si>
    <t>RDVM</t>
  </si>
  <si>
    <t>RDVF</t>
  </si>
  <si>
    <t>PVNO</t>
  </si>
  <si>
    <t>GSM</t>
  </si>
  <si>
    <t>ILI</t>
  </si>
  <si>
    <t>Siège</t>
  </si>
  <si>
    <t>Siège Opérationnel</t>
  </si>
  <si>
    <t>TOTAL Frais Indirects</t>
  </si>
  <si>
    <t>DSF</t>
  </si>
  <si>
    <t>OF</t>
  </si>
  <si>
    <t>Résultat Opérationnel Courant</t>
  </si>
  <si>
    <t>Total ventes externes</t>
  </si>
  <si>
    <t>External sales</t>
  </si>
  <si>
    <t>Automatique</t>
  </si>
  <si>
    <t>Manuel</t>
  </si>
  <si>
    <t>Amortissements cumulés</t>
  </si>
  <si>
    <t>Investissements cumulés</t>
  </si>
  <si>
    <t xml:space="preserve">Ventes Gefco </t>
  </si>
  <si>
    <t>% ROC / ventes</t>
  </si>
  <si>
    <t>Clients Gefco</t>
  </si>
  <si>
    <t>ROCE (ROC/CE)</t>
  </si>
  <si>
    <t>Réalisé 2005</t>
  </si>
  <si>
    <t>Réalisé 2006</t>
  </si>
  <si>
    <t>CTP</t>
  </si>
  <si>
    <t>DIV</t>
  </si>
  <si>
    <t>GMO</t>
  </si>
  <si>
    <t>ACTIVITE</t>
  </si>
  <si>
    <t>Part des frais indirects sur les ventes externes par activité</t>
  </si>
  <si>
    <t>BFR d'exploitation</t>
  </si>
  <si>
    <t>Installation specifiques, racks</t>
  </si>
  <si>
    <t>Mobiliers</t>
  </si>
  <si>
    <t>Ref ROC Groupe : 5%</t>
  </si>
  <si>
    <r>
      <t>Valeur résiduelle des immos</t>
    </r>
    <r>
      <rPr>
        <sz val="9"/>
        <rFont val="Arial"/>
        <family val="2"/>
      </rPr>
      <t xml:space="preserve"> (si cession d'activité)</t>
    </r>
  </si>
  <si>
    <r>
      <t xml:space="preserve">Valeur résiduelle du BFR </t>
    </r>
    <r>
      <rPr>
        <sz val="9"/>
        <rFont val="Arial"/>
        <family val="2"/>
      </rPr>
      <t xml:space="preserve"> (si cession d'activité)</t>
    </r>
  </si>
  <si>
    <t>MBA</t>
  </si>
  <si>
    <t>Réalisé 2007</t>
  </si>
  <si>
    <t>Mme. Megret</t>
  </si>
  <si>
    <t>CASHFLOW</t>
  </si>
  <si>
    <t>Total</t>
  </si>
  <si>
    <t>TLI</t>
  </si>
  <si>
    <t>Contrôle</t>
  </si>
  <si>
    <t>DG</t>
  </si>
  <si>
    <t>Dir Op</t>
  </si>
  <si>
    <t>Dir Client</t>
  </si>
  <si>
    <t>CGG</t>
  </si>
  <si>
    <t>DSF/DAJG</t>
  </si>
  <si>
    <t>DSF/PII</t>
  </si>
  <si>
    <t>Réalisé 2008</t>
  </si>
  <si>
    <t>Résultat brut Commercial</t>
  </si>
  <si>
    <t>Résultat d'activité</t>
  </si>
  <si>
    <t>Dépréciation de créances douteuses</t>
  </si>
  <si>
    <t xml:space="preserve">Différence de change </t>
  </si>
  <si>
    <t>Compte d'Exploitation Total</t>
  </si>
  <si>
    <t>Indicateurs</t>
  </si>
  <si>
    <t>TRI</t>
  </si>
  <si>
    <t>Exchange Gain / Loss</t>
  </si>
  <si>
    <t>Gross Commercial Result</t>
  </si>
  <si>
    <t>Activity Result</t>
  </si>
  <si>
    <t>Y.Fargues</t>
  </si>
  <si>
    <t>JM. Prigent</t>
  </si>
  <si>
    <t>Bad debts</t>
  </si>
  <si>
    <t>JM de Cruz</t>
  </si>
  <si>
    <t>M. Tissier</t>
  </si>
  <si>
    <t>Réalisé 2009</t>
  </si>
  <si>
    <t>OVL</t>
  </si>
  <si>
    <t>OVS</t>
  </si>
  <si>
    <t>Mode opératoire</t>
  </si>
  <si>
    <t>Actualisation à :</t>
  </si>
  <si>
    <t>Seasonality of the activity</t>
  </si>
  <si>
    <t>Check</t>
  </si>
  <si>
    <t>Compte d'exploitation mensuel</t>
  </si>
  <si>
    <t>Dépréciation créances douteuses</t>
  </si>
  <si>
    <t>Personnel</t>
  </si>
  <si>
    <t>Frais de Groupe</t>
  </si>
  <si>
    <t>Cash in hypothesis</t>
  </si>
  <si>
    <t>M-1</t>
  </si>
  <si>
    <t>M</t>
  </si>
  <si>
    <t>M+1</t>
  </si>
  <si>
    <t>M+2</t>
  </si>
  <si>
    <t>M+3</t>
  </si>
  <si>
    <t>Mois</t>
  </si>
  <si>
    <t>M+12</t>
  </si>
  <si>
    <t>Jours</t>
  </si>
  <si>
    <t>Cash in</t>
  </si>
  <si>
    <t>Cash out</t>
  </si>
  <si>
    <t>Treasury variation</t>
  </si>
  <si>
    <t>Opening treasury balance</t>
  </si>
  <si>
    <t>Closing treasury balance</t>
  </si>
  <si>
    <t>Year</t>
  </si>
  <si>
    <t>Recruitment Cost</t>
  </si>
  <si>
    <t>Other</t>
  </si>
  <si>
    <t>Mobile phone</t>
  </si>
  <si>
    <t>Gasoline</t>
  </si>
  <si>
    <t>IT</t>
  </si>
  <si>
    <t>Investments</t>
  </si>
  <si>
    <t>UO</t>
  </si>
  <si>
    <t>Company Car</t>
  </si>
  <si>
    <t xml:space="preserve"> Description</t>
  </si>
  <si>
    <t>DRHCO</t>
  </si>
  <si>
    <t>Name</t>
  </si>
  <si>
    <t>Rédacteur</t>
  </si>
  <si>
    <t>Localisation</t>
  </si>
  <si>
    <t>Surfaces  et effectifs</t>
  </si>
  <si>
    <t>Date de remise de clefs</t>
  </si>
  <si>
    <t>Bâti en m²</t>
  </si>
  <si>
    <t>Surfaces non baties</t>
  </si>
  <si>
    <t>Nb d'employés (Déc)</t>
  </si>
  <si>
    <t>Bureaux</t>
  </si>
  <si>
    <t>Entrepôt/Quai messagerie/atelier</t>
  </si>
  <si>
    <t>m² / Nb de places (parc TLA)</t>
  </si>
  <si>
    <t>Parking PL</t>
  </si>
  <si>
    <t>Parking VL</t>
  </si>
  <si>
    <t>Budget en  K€ (à établir avec PII / AI / DSI / DRHCO)</t>
  </si>
  <si>
    <t>INVESTISSEMENT</t>
  </si>
  <si>
    <t>Travaux bâtiment</t>
  </si>
  <si>
    <t>(cloisons bureaux, protections, marquage, enseigne..)</t>
  </si>
  <si>
    <t>Aménagements divers :</t>
  </si>
  <si>
    <t>Autre</t>
  </si>
  <si>
    <t>Câblage IT</t>
  </si>
  <si>
    <t>Sécurité</t>
  </si>
  <si>
    <t>Total Investissement</t>
  </si>
  <si>
    <t>COUTS DE TRANFERT</t>
  </si>
  <si>
    <t>Perte VNC</t>
  </si>
  <si>
    <t>Travaux remise en état ancien site</t>
  </si>
  <si>
    <t>(stocks, matériel, équipement, mobilier..)</t>
  </si>
  <si>
    <t>Total coûts de transfert</t>
  </si>
  <si>
    <t>Hypothèse indexation annuelle</t>
  </si>
  <si>
    <t xml:space="preserve">Hypothèse loyer moyen </t>
  </si>
  <si>
    <t>Total engagement locatif</t>
  </si>
  <si>
    <t>ENGAGEMENT LOCATIF</t>
  </si>
  <si>
    <t>Maintenance (curatif)</t>
  </si>
  <si>
    <t>Electricité</t>
  </si>
  <si>
    <t>Gaz</t>
  </si>
  <si>
    <t>Eau</t>
  </si>
  <si>
    <t xml:space="preserve">Autre </t>
  </si>
  <si>
    <t xml:space="preserve">AUTRES CHARGES ANNUELLES </t>
  </si>
  <si>
    <t>Total autres charges</t>
  </si>
  <si>
    <t>Charges locatives et taxes</t>
  </si>
  <si>
    <t>Visa pour validation</t>
  </si>
  <si>
    <t>Commentaires</t>
  </si>
  <si>
    <t>Synthèse projet</t>
  </si>
  <si>
    <t>Nom projet / Project Name :</t>
  </si>
  <si>
    <t>xxx</t>
  </si>
  <si>
    <t>Rédacteur / Writer  :</t>
  </si>
  <si>
    <t>Version / Date :</t>
  </si>
  <si>
    <t>Chef de Projet / Project Manager :</t>
  </si>
  <si>
    <t>xxxxxxxx</t>
  </si>
  <si>
    <t>AXE</t>
  </si>
  <si>
    <t>Sponsor</t>
  </si>
  <si>
    <t>TYPE</t>
  </si>
  <si>
    <t>Type d'engagement :</t>
  </si>
  <si>
    <t>Investissements &gt; 500 K€</t>
  </si>
  <si>
    <t>Programme</t>
  </si>
  <si>
    <t>xxxxxxxxxxxxxxx</t>
  </si>
  <si>
    <t>Classe :</t>
  </si>
  <si>
    <t>Comité d'investissement</t>
  </si>
  <si>
    <t>Description du projet / Project description</t>
  </si>
  <si>
    <t>Elément déclencheur (contexte)</t>
  </si>
  <si>
    <t>Objet de la demande (objectifs et résultats à atteindre)</t>
  </si>
  <si>
    <t>Enjeux (impact et risques)</t>
  </si>
  <si>
    <t xml:space="preserve">Montant estimé de l'engagement  (K€) </t>
  </si>
  <si>
    <t>Nature des Engagements</t>
  </si>
  <si>
    <t>Investissement k€</t>
  </si>
  <si>
    <t>Construction et agencements</t>
  </si>
  <si>
    <t>Equipements</t>
  </si>
  <si>
    <t>Immobilisations incorporelles</t>
  </si>
  <si>
    <t>Principaux indicateurs financiers</t>
  </si>
  <si>
    <t>Evolution des ventes</t>
  </si>
  <si>
    <t>Taux de résultat d'activité</t>
  </si>
  <si>
    <t>Résultat Opérationel Courant</t>
  </si>
  <si>
    <t>Evolution de l’effectif opérationnel (fin d'année)</t>
  </si>
  <si>
    <t>Date de livraison</t>
  </si>
  <si>
    <t xml:space="preserve">Mode de Financement : </t>
  </si>
  <si>
    <t>Demandeur</t>
  </si>
  <si>
    <t>Validation DSI, PII et DAJG sur les fiches spécifiques jointes :</t>
  </si>
  <si>
    <t>Fiches à joindre</t>
  </si>
  <si>
    <t>Synthèse</t>
  </si>
  <si>
    <t>Cpte exploit.</t>
  </si>
  <si>
    <t>Risques</t>
  </si>
  <si>
    <t>Suivi à 3 ans</t>
  </si>
  <si>
    <t>Filiale</t>
  </si>
  <si>
    <t>Oui</t>
  </si>
  <si>
    <t>Financement</t>
  </si>
  <si>
    <t>Location</t>
  </si>
  <si>
    <t>Plan in the present budget (Actual budget Y/N)</t>
  </si>
  <si>
    <t>NON</t>
  </si>
  <si>
    <t>Infrastructure costs</t>
  </si>
  <si>
    <t>Office hardware (Computer, Laptop, Laser, MFP…)</t>
  </si>
  <si>
    <t>Total : Hardware</t>
  </si>
  <si>
    <t>External services costs for "RUN" (SD, UO pc, UO servers …)</t>
  </si>
  <si>
    <t>Total : Annual current costs</t>
  </si>
  <si>
    <t>Cabling (To report in sheet "Immobilier")</t>
  </si>
  <si>
    <t>Rollout of business solutions</t>
  </si>
  <si>
    <t>Business Hardware (Dot matrix, CAB, PDA, PDT,...)</t>
  </si>
  <si>
    <t>Business software (if depreciation possible in the country)</t>
  </si>
  <si>
    <t>Business Server</t>
  </si>
  <si>
    <t>Total : Investments for Business solutions</t>
  </si>
  <si>
    <t>TOTAL IT Costs</t>
  </si>
  <si>
    <t>Information system service (Redevance)</t>
  </si>
  <si>
    <t>VALIDATION FOR DSI</t>
  </si>
  <si>
    <t>PROJECT  NAME</t>
  </si>
  <si>
    <t>Comments or Information :</t>
  </si>
  <si>
    <t>SETTINGS</t>
  </si>
  <si>
    <t>Pays / Country :</t>
  </si>
  <si>
    <t>Agency Address :</t>
  </si>
  <si>
    <t>Project costs (one shot)</t>
  </si>
  <si>
    <t>Comments / Commentaires</t>
  </si>
  <si>
    <t>Unit price
Local</t>
  </si>
  <si>
    <t>Qté</t>
  </si>
  <si>
    <t>Global price Local</t>
  </si>
  <si>
    <t>NETWORK</t>
  </si>
  <si>
    <t>PABX</t>
  </si>
  <si>
    <t>OFFICE</t>
  </si>
  <si>
    <t>UPS</t>
  </si>
  <si>
    <t>Rack</t>
  </si>
  <si>
    <t>SERVER</t>
  </si>
  <si>
    <t>OTHER</t>
  </si>
  <si>
    <t>SOFTWARE</t>
  </si>
  <si>
    <t>TOTAL SOFTWARE</t>
  </si>
  <si>
    <t>Telecom Voice</t>
  </si>
  <si>
    <t>External Company name</t>
  </si>
  <si>
    <t>TOTAL  Local currency</t>
  </si>
  <si>
    <t>Current costs annual</t>
  </si>
  <si>
    <t>CABLING</t>
  </si>
  <si>
    <t>TOTAL CABLING</t>
  </si>
  <si>
    <t>BUSINESS HARDWARE</t>
  </si>
  <si>
    <t>Eau / EDF</t>
  </si>
  <si>
    <t>Salary Increase assumptions (%)</t>
  </si>
  <si>
    <t>Market</t>
  </si>
  <si>
    <t>Other costs related to personnel</t>
  </si>
  <si>
    <t>Inflation</t>
  </si>
  <si>
    <t>Coefficient:</t>
  </si>
  <si>
    <t>monthly</t>
  </si>
  <si>
    <t>Monthly Gross Salary including charges</t>
  </si>
  <si>
    <t>Effectif (Yearly Average)</t>
  </si>
  <si>
    <t>Salary and Charges:</t>
  </si>
  <si>
    <t>Interim:</t>
  </si>
  <si>
    <t>Training:</t>
  </si>
  <si>
    <t>Cantine</t>
  </si>
  <si>
    <t xml:space="preserve">Other staff cost </t>
  </si>
  <si>
    <t>Company Car -Rent</t>
  </si>
  <si>
    <t>Telecom cost - Mobile Phones</t>
  </si>
  <si>
    <t>Position</t>
  </si>
  <si>
    <t>Headcount/Interim</t>
  </si>
  <si>
    <t>Mobile Phone</t>
  </si>
  <si>
    <t>Select from list</t>
  </si>
  <si>
    <t>Do not touch</t>
  </si>
  <si>
    <t>N+1</t>
  </si>
  <si>
    <t>N+2</t>
  </si>
  <si>
    <t>N+3</t>
  </si>
  <si>
    <t>N+4</t>
  </si>
  <si>
    <t>Headcount</t>
  </si>
  <si>
    <t>Yes</t>
  </si>
  <si>
    <t>Hypothèses augmentation de salaire (%)</t>
  </si>
  <si>
    <t xml:space="preserve">Standard </t>
  </si>
  <si>
    <t>Standard</t>
  </si>
  <si>
    <t>mensuel</t>
  </si>
  <si>
    <t>Autres coûts liés au personnel</t>
  </si>
  <si>
    <t>Honoraires lies au domaine RH</t>
  </si>
  <si>
    <t>Choose language/Choisissez la langue</t>
  </si>
  <si>
    <t xml:space="preserve">Performance </t>
  </si>
  <si>
    <t>Performance</t>
  </si>
  <si>
    <t>yearly</t>
  </si>
  <si>
    <t>annuel</t>
  </si>
  <si>
    <t>Fees related to HR department</t>
  </si>
  <si>
    <t>Inscrits</t>
  </si>
  <si>
    <t>Marché</t>
  </si>
  <si>
    <t xml:space="preserve"> mois de salaire</t>
  </si>
  <si>
    <t>Sales</t>
  </si>
  <si>
    <t>Commerce</t>
  </si>
  <si>
    <t>% Salaire annual</t>
  </si>
  <si>
    <t>Interim</t>
  </si>
  <si>
    <t>Intérimaires</t>
  </si>
  <si>
    <t xml:space="preserve"> months salary</t>
  </si>
  <si>
    <t>Dispatcher</t>
  </si>
  <si>
    <t>Affretement</t>
  </si>
  <si>
    <t>% yearly salary</t>
  </si>
  <si>
    <t>period</t>
  </si>
  <si>
    <t>Manager</t>
  </si>
  <si>
    <t>Forfait</t>
  </si>
  <si>
    <t>Hypothèses augmentation (%)</t>
  </si>
  <si>
    <t>Régie</t>
  </si>
  <si>
    <t>Increase assumptions (%)</t>
  </si>
  <si>
    <t>Le salaire mensuel brut incluant les charges</t>
  </si>
  <si>
    <t>Effectif (moyenne annuelle)</t>
  </si>
  <si>
    <t>Frais d'embauche</t>
  </si>
  <si>
    <t>Prov. pour Primes</t>
  </si>
  <si>
    <t>Formation</t>
  </si>
  <si>
    <t>Divers Frais de Perso.</t>
  </si>
  <si>
    <t>Loyer de Voitures</t>
  </si>
  <si>
    <t>Cout telecom portable</t>
  </si>
  <si>
    <t>Frais de Deplacement</t>
  </si>
  <si>
    <t>Honoraries</t>
  </si>
  <si>
    <t>Inscrits/Intérimaires</t>
  </si>
  <si>
    <t>Prévu au budget :</t>
  </si>
  <si>
    <t>Voiture de Service</t>
  </si>
  <si>
    <t xml:space="preserve">Tel. Portable </t>
  </si>
  <si>
    <t>Deplacement</t>
  </si>
  <si>
    <t>indicateur-Salaire</t>
  </si>
  <si>
    <t>Type de bonus</t>
  </si>
  <si>
    <t>Bonus prov.:</t>
  </si>
  <si>
    <t>Voitures de service</t>
  </si>
  <si>
    <t>Indicateur -period</t>
  </si>
  <si>
    <t>Model</t>
  </si>
  <si>
    <t>Frequence</t>
  </si>
  <si>
    <t>Transport</t>
  </si>
  <si>
    <t>Frais d'Hotel</t>
  </si>
  <si>
    <t>Toute</t>
  </si>
  <si>
    <t xml:space="preserve">Travel Cost </t>
  </si>
  <si>
    <t>Organisme</t>
  </si>
  <si>
    <t>Type de Service</t>
  </si>
  <si>
    <t>Forfait ou régie:</t>
  </si>
  <si>
    <t>Nbre de jours</t>
  </si>
  <si>
    <t xml:space="preserve">Prix unitaire </t>
  </si>
  <si>
    <t>Outsourcing</t>
  </si>
  <si>
    <t>Budgeted</t>
  </si>
  <si>
    <t>Travel</t>
  </si>
  <si>
    <t>Salary indicator</t>
  </si>
  <si>
    <t>Bonus type</t>
  </si>
  <si>
    <t>Indicator -Term</t>
  </si>
  <si>
    <t>Frequency</t>
  </si>
  <si>
    <t>Hotel</t>
  </si>
  <si>
    <t xml:space="preserve">Total </t>
  </si>
  <si>
    <t>Company</t>
  </si>
  <si>
    <t>Service Type</t>
  </si>
  <si>
    <t>Budgeted:</t>
  </si>
  <si>
    <t>Nbr of days</t>
  </si>
  <si>
    <t>Unit Price</t>
  </si>
  <si>
    <t>N</t>
  </si>
  <si>
    <t>Cost</t>
  </si>
  <si>
    <t>times / year</t>
  </si>
  <si>
    <t>Cost/trip</t>
  </si>
  <si>
    <t>Quality</t>
  </si>
  <si>
    <t>HQ-DG</t>
  </si>
  <si>
    <t>No</t>
  </si>
  <si>
    <t>Effectif -Prévu au budget :</t>
  </si>
  <si>
    <t>HQ-RH</t>
  </si>
  <si>
    <t>HQ-DSF</t>
  </si>
  <si>
    <t>DCM</t>
  </si>
  <si>
    <t>inclus dans le budget</t>
  </si>
  <si>
    <t>Attention! please check all mandatory selections &amp; language</t>
  </si>
  <si>
    <t>Attention! Vérifier toutes les sélections de  obligatoires et langue svp.</t>
  </si>
  <si>
    <t>Provisions pour primes</t>
  </si>
  <si>
    <t>Frais déplacement + frais annexes</t>
  </si>
  <si>
    <t>Ref e - Doc</t>
  </si>
  <si>
    <t>Achat</t>
  </si>
  <si>
    <t>Nature de l'équipement</t>
  </si>
  <si>
    <t>Quantité</t>
  </si>
  <si>
    <t>Durée Amortissement</t>
  </si>
  <si>
    <t xml:space="preserve">Durée du contrat </t>
  </si>
  <si>
    <t>…</t>
  </si>
  <si>
    <t>Badgeuse</t>
  </si>
  <si>
    <t>Mobilier</t>
  </si>
  <si>
    <t>Saisie</t>
  </si>
  <si>
    <t>Réalisé 2010</t>
  </si>
  <si>
    <t>Réalisé 2011</t>
  </si>
  <si>
    <t>,</t>
  </si>
  <si>
    <t>Brésil</t>
  </si>
  <si>
    <t>Voice TELECOM</t>
  </si>
  <si>
    <t>Telecom WAN</t>
  </si>
  <si>
    <t>Telecom Internet</t>
  </si>
  <si>
    <t>Multifunction</t>
  </si>
  <si>
    <t>Desktop</t>
  </si>
  <si>
    <t>Laptop</t>
  </si>
  <si>
    <t>Laser Printer</t>
  </si>
  <si>
    <t>Rented Solution (Hard&amp;Soft)</t>
  </si>
  <si>
    <t>Infrastructure Server</t>
  </si>
  <si>
    <t>Switch</t>
  </si>
  <si>
    <t>Routeur</t>
  </si>
  <si>
    <t>Office Access Point</t>
  </si>
  <si>
    <t>Printer Dot</t>
  </si>
  <si>
    <t>Printer CAB</t>
  </si>
  <si>
    <t>Business access Point</t>
  </si>
  <si>
    <t>PDT</t>
  </si>
  <si>
    <t>PDA</t>
  </si>
  <si>
    <t>Business Softwares</t>
  </si>
  <si>
    <t>ITEM…</t>
  </si>
  <si>
    <t>PC Anywhere …</t>
  </si>
  <si>
    <t>DSI Corp.</t>
  </si>
  <si>
    <t>DSI Subsidiary</t>
  </si>
  <si>
    <t>Network hardware (LAN, WAN)</t>
  </si>
  <si>
    <t>Voice Telecom hardware (PABX,..)</t>
  </si>
  <si>
    <t xml:space="preserve">External work amount </t>
  </si>
  <si>
    <t>Hardware : Maintenance</t>
  </si>
  <si>
    <t>Software :  Maintenance</t>
  </si>
  <si>
    <t>External services costs for "RUN" (UO servers …)</t>
  </si>
  <si>
    <t>Run/Partnership for infrastructure (SD, UO pc, UO for infra. servers …)</t>
  </si>
  <si>
    <t>Total : One shot and annual current costs for infrastructure</t>
  </si>
  <si>
    <t>Total : One shot and annual current costs for business IT</t>
  </si>
  <si>
    <t>Locations</t>
  </si>
  <si>
    <t xml:space="preserve">Zone réservée à des calculs </t>
  </si>
  <si>
    <t>Ne pas écrire</t>
  </si>
  <si>
    <t>Foncier - Terrain inclus études et frais de notaire</t>
  </si>
  <si>
    <t>Architecte/Moeuvre/Betudes</t>
  </si>
  <si>
    <t>Bail actuel</t>
  </si>
  <si>
    <t>Nouveau bail</t>
  </si>
  <si>
    <t>Date de prise d'effet nouveau bail</t>
  </si>
  <si>
    <r>
      <t>Durée du bail (</t>
    </r>
    <r>
      <rPr>
        <sz val="8"/>
        <rFont val="Arial"/>
        <family val="2"/>
      </rPr>
      <t>durée restante pour bail actuel</t>
    </r>
    <r>
      <rPr>
        <sz val="11"/>
        <rFont val="Arial"/>
        <family val="2"/>
      </rPr>
      <t>)</t>
    </r>
  </si>
  <si>
    <r>
      <t xml:space="preserve">Durée ferme du bail </t>
    </r>
    <r>
      <rPr>
        <sz val="8"/>
        <rFont val="Arial"/>
        <family val="2"/>
      </rPr>
      <t>(durée ferme restante pour bail actuel)</t>
    </r>
  </si>
  <si>
    <r>
      <t xml:space="preserve">Loyer 1ere année </t>
    </r>
    <r>
      <rPr>
        <sz val="8"/>
        <rFont val="Arial"/>
        <family val="2"/>
      </rPr>
      <t>(sur 12 mois)</t>
    </r>
  </si>
  <si>
    <t>Double loyer</t>
  </si>
  <si>
    <t>Frais de déménagement :</t>
  </si>
  <si>
    <t>Synthèse de la procédure de validation des demandes d'engagement</t>
  </si>
  <si>
    <t>Guichet DSF/PCO</t>
  </si>
  <si>
    <t>….</t>
  </si>
  <si>
    <t>Valeur d'achat
€</t>
  </si>
  <si>
    <t>Loyer annuel
€</t>
  </si>
  <si>
    <t>Valeur totale
€</t>
  </si>
  <si>
    <t>Amort. Annuel
€</t>
  </si>
  <si>
    <t>Cost calculateur ou saisie manuelle</t>
  </si>
  <si>
    <t>Cashflow forecast - (Pour toute création de filiale)</t>
  </si>
  <si>
    <t>Responsable</t>
  </si>
  <si>
    <t>Déploiement</t>
  </si>
  <si>
    <t>Ref ROCE Groupe : 64 %</t>
  </si>
  <si>
    <t>Rotation CE</t>
  </si>
  <si>
    <t>XXXXXX</t>
  </si>
  <si>
    <t>T Gilis</t>
  </si>
  <si>
    <t>VALIDATION Achats</t>
  </si>
  <si>
    <t>N° Contrôle</t>
  </si>
  <si>
    <t>Descriptif</t>
  </si>
  <si>
    <t>Actions</t>
  </si>
  <si>
    <t>Page</t>
  </si>
  <si>
    <t>Investissements immobiliers</t>
  </si>
  <si>
    <t>Détail contrôle</t>
  </si>
  <si>
    <t>Coûts informatiques</t>
  </si>
  <si>
    <t>='Synthèse projet'!C32:D32+'Synthèse projet'!C33:D33='IT Costs'!J52</t>
  </si>
  <si>
    <t>Contrôler IT Costs / Synthèse</t>
  </si>
  <si>
    <t>Report cablage</t>
  </si>
  <si>
    <t>=+Immobilier!C32=somme('IT Costs'!D32:J32)</t>
  </si>
  <si>
    <t>Cablage chiffré en IT et repris en PII</t>
  </si>
  <si>
    <t>Equipement investissement</t>
  </si>
  <si>
    <t>Equipement location</t>
  </si>
  <si>
    <t>='Synthèse projet'!C31:D31-Equipement!G47=0</t>
  </si>
  <si>
    <t>=+'Synthèse projet'!F31-Equipement!G48=0</t>
  </si>
  <si>
    <t>Contrôle Equipement / Synthèse</t>
  </si>
  <si>
    <t>Immobilier location</t>
  </si>
  <si>
    <t>Investissement Immobilier / Synthèse</t>
  </si>
  <si>
    <t>Location Immobilier / Synthèse</t>
  </si>
  <si>
    <t>=SOMME(Financier!D24:N24)-'Synthèse projet'!C34:D34=0</t>
  </si>
  <si>
    <t>Investisement / financier pour calcul des amortissements</t>
  </si>
  <si>
    <t>Contrôle ROC</t>
  </si>
  <si>
    <t>=+Financier!D60-'Cpte exploitation 1+2+3'!D55=0</t>
  </si>
  <si>
    <t>Année1 Financier = Cpte exploitation +1+2+3</t>
  </si>
  <si>
    <t>Année2 Financier = Cpte exploitation +1+2+3</t>
  </si>
  <si>
    <t>Année3 Financier = Cpte exploitation +1+2+3</t>
  </si>
  <si>
    <t>Année4 Financier = Cpte exploitation +1+2+3</t>
  </si>
  <si>
    <t>Année5 Financier = Cpte exploitation +1+2+3</t>
  </si>
  <si>
    <t>Année6 Financier = Cpte exploitation +1+2+3</t>
  </si>
  <si>
    <t>=+Financier!$E$60-'Cpte exploitation 1+2+3'!$E$55=0</t>
  </si>
  <si>
    <t>=+Financier!$F$60-'Cpte exploitation 1+2+3'!$F$55=0</t>
  </si>
  <si>
    <t>=+Financier!$G$60-'Cpte exploitation 1+2+3'!$G$55=0</t>
  </si>
  <si>
    <t>=+Financier!$H$60-'Cpte exploitation 1+2+3'!$H$55=0</t>
  </si>
  <si>
    <t>=+Financier!$I$60-'Cpte exploitation 1+2+3'!$I$55=0</t>
  </si>
  <si>
    <t>Taux actualisation</t>
  </si>
  <si>
    <t>=Financier!C111=12,5%</t>
  </si>
  <si>
    <t>Taux Groupe à prendre dès 2012</t>
  </si>
  <si>
    <t>=+'Synthèse projet'!E39-'Cpte exploitation 1+2+3'!D17=0</t>
  </si>
  <si>
    <t>=+'Synthèse projet'!E42-'Cpte exploitation 1+2+3'!D55=0</t>
  </si>
  <si>
    <t>=+'Synthèse projet'!E43-'Cpte exploitation 1+2+3'!D62=0</t>
  </si>
  <si>
    <t>Année 1 Synthèse ROC= cpte exploitation</t>
  </si>
  <si>
    <t>Année 1 Synthèse effectif = Cpte exploitation</t>
  </si>
  <si>
    <t xml:space="preserve">Année 2 Synthèse Vente = Cpte exploitation </t>
  </si>
  <si>
    <t xml:space="preserve">Année 1 Synthèse Vente = Cpte exploitation </t>
  </si>
  <si>
    <t>Année 2 Synthèse ROC= cpte exploitation</t>
  </si>
  <si>
    <t>Année 2 Synthèse effectif = Cpte exploitation</t>
  </si>
  <si>
    <t xml:space="preserve">Année 3 Synthèse Vente = Cpte exploitation </t>
  </si>
  <si>
    <t>Année 3 Synthèse ROC= cpte exploitation</t>
  </si>
  <si>
    <t>Année 3 Synthèse effectif = Cpte exploitation</t>
  </si>
  <si>
    <t xml:space="preserve">Année 4 Synthèse Vente = Cpte exploitation </t>
  </si>
  <si>
    <t>Année 4 Synthèse ROC= cpte exploitation</t>
  </si>
  <si>
    <t>Année 4 Synthèse effectif = Cpte exploitation</t>
  </si>
  <si>
    <t xml:space="preserve">Année 5 Synthèse Vente = Cpte exploitation </t>
  </si>
  <si>
    <t>Année 5 Synthèse ROC= cpte exploitation</t>
  </si>
  <si>
    <t>Année 5 Synthèse effectif = Cpte exploitation</t>
  </si>
  <si>
    <t>=+'Synthèse projet'!$F$39-'Cpte exploitation 1+2+3'!$E$17=1</t>
  </si>
  <si>
    <t>=+'Synthèse projet'!$F$42-'Cpte exploitation 1+2+3'!$E$55=1</t>
  </si>
  <si>
    <t>=+'Synthèse projet'!$F$43-'Cpte exploitation 1+2+3'!$E$62=1</t>
  </si>
  <si>
    <t>=+'Synthèse projet'!$G$39-'Cpte exploitation 1+2+3'!$F$17=0</t>
  </si>
  <si>
    <t>=+'Synthèse projet'!$H$39-'Cpte exploitation 1+2+3'!$G$17=0</t>
  </si>
  <si>
    <t>=+'Synthèse projet'!$H$42-'Cpte exploitation 1+2+3'!$G$55=0</t>
  </si>
  <si>
    <t>=+'Synthèse projet'!$H$43-'Cpte exploitation 1+2+3'!$G$62=0</t>
  </si>
  <si>
    <t>=+'Synthèse projet'!$I$39-'Cpte exploitation 1+2+3'!$H$17=0</t>
  </si>
  <si>
    <t>=+'Synthèse projet'!$I$42-'Cpte exploitation 1+2+3'!$H$55=0</t>
  </si>
  <si>
    <t>=+'Synthèse projet'!$I$43-'Cpte exploitation 1+2+3'!$H$62=0</t>
  </si>
  <si>
    <t>=+'Synthèse projet'!$G$42-'Cpte exploitation 1+2+3'!$F$55=0</t>
  </si>
  <si>
    <t>=+'Synthèse projet'!$G$43-'Cpte exploitation 1+2+3'!$F$62=0</t>
  </si>
  <si>
    <t>Rotation Capitaux employés</t>
  </si>
  <si>
    <t>?</t>
  </si>
  <si>
    <t>Onglet renseigne</t>
  </si>
  <si>
    <t>Risque</t>
  </si>
  <si>
    <t>=+Risque!C48&gt;0</t>
  </si>
  <si>
    <t>Remplir la feuille risque - obligatoire</t>
  </si>
  <si>
    <t>=+'Synthèse projet'!B37=MAX(Financier!D90:I90)</t>
  </si>
  <si>
    <t>=+'Synthèse projet'!D37=MAX(Financier!D91:I91)</t>
  </si>
  <si>
    <t>=+'Synthèse projet'!I37=MAX(Financier!D112:I112)</t>
  </si>
  <si>
    <t>Maxi est retenu sur la durée du compte d'exploitation (6 ans)</t>
  </si>
  <si>
    <t>Compte d'expoitation / Synthèse</t>
  </si>
  <si>
    <t>Contrôle uniquement à partir d'une année "pleine"</t>
  </si>
  <si>
    <t>Location matériel exploitation</t>
  </si>
  <si>
    <t>Location "frais d'agence"</t>
  </si>
  <si>
    <t>Ne pas éditer - calcul pour contrôle</t>
  </si>
  <si>
    <t>Compte d'expoitation / Equipement matériel Exploitation</t>
  </si>
  <si>
    <t>Compte d'expoitation / Equipement 'frais agence'</t>
  </si>
  <si>
    <t>Locations diverses (hors immobilière)</t>
  </si>
  <si>
    <t>=+'Cpte exploitation 1+2+3'!E34&gt;=Equipement!D62</t>
  </si>
  <si>
    <t>'=+'Cpte exploitation 1+2+3'!I34&gt;=Equipement!H62</t>
  </si>
  <si>
    <t>'=+'Cpte exploitation 1+2+3'!F34&gt;=Equipement!E62</t>
  </si>
  <si>
    <t>'=+'Cpte exploitation 1+2+3'!G34&gt;=Equipement!F62</t>
  </si>
  <si>
    <t>'=+'Cpte exploitation 1+2+3'!H34&gt;=Equipement!G62</t>
  </si>
  <si>
    <t>'=+'Cpte exploitation 1+2+3'!E45&gt;=Equipement!D69</t>
  </si>
  <si>
    <t>'=+'Cpte exploitation 1+2+3'!F45&gt;=Equipement!E69</t>
  </si>
  <si>
    <t>'=+'Cpte exploitation 1+2+3'!G45&gt;=Equipement!F69</t>
  </si>
  <si>
    <t>'=+'Cpte exploitation 1+2+3'!H45&gt;=Equipement!G69</t>
  </si>
  <si>
    <t>'=+'Cpte exploitation 1+2+3'!I45&gt;=Equipement!H69</t>
  </si>
  <si>
    <t>Coût de transfert</t>
  </si>
  <si>
    <t>Compte d'exploitation / Coût de transfert</t>
  </si>
  <si>
    <t>=+Immobilier!C43='Cpte exploitation 1+2+3'!D44</t>
  </si>
  <si>
    <t>Contrôle coût de transfert = charge 1ère année</t>
  </si>
  <si>
    <t>Entretien (préventif)</t>
  </si>
  <si>
    <t>Compte d'exploitation / Entretien batiment</t>
  </si>
  <si>
    <t>=+'Cpte exploitation 1+2+3'!E42&gt;=Immobilier!G35+Immobilier!G36</t>
  </si>
  <si>
    <t>Entretien du batiment sur 1ère année pleine</t>
  </si>
  <si>
    <t>Compte d'exploitation / Energie</t>
  </si>
  <si>
    <t>Energie sur 1ère année pleine</t>
  </si>
  <si>
    <t>Français</t>
  </si>
  <si>
    <t xml:space="preserve">Description du projet </t>
  </si>
  <si>
    <t>Project description</t>
  </si>
  <si>
    <t>Nature of the Investment</t>
  </si>
  <si>
    <t>Investment</t>
  </si>
  <si>
    <t>Rental k€</t>
  </si>
  <si>
    <t>Surface / Land / Area</t>
  </si>
  <si>
    <t>Constructions ans Agency</t>
  </si>
  <si>
    <t>Equipments</t>
  </si>
  <si>
    <t>I T Systems</t>
  </si>
  <si>
    <t>Intangible Assets (Right, Licences…)</t>
  </si>
  <si>
    <t>Principal Financial Indicators</t>
  </si>
  <si>
    <t>Time of return</t>
  </si>
  <si>
    <t>Rate of Gross Margin</t>
  </si>
  <si>
    <t>Rate of Activity Résult</t>
  </si>
  <si>
    <t>Operational Margin (ROC)</t>
  </si>
  <si>
    <t>Date of delivery</t>
  </si>
  <si>
    <t>Date of stats of service</t>
  </si>
  <si>
    <t>Consolidated</t>
  </si>
  <si>
    <t>Type of financement</t>
  </si>
  <si>
    <t>Control</t>
  </si>
  <si>
    <t>Anglais</t>
  </si>
  <si>
    <t>Real Estate</t>
  </si>
  <si>
    <t>Author :</t>
  </si>
  <si>
    <t>Delivery date</t>
  </si>
  <si>
    <t>Areas in m² and staff</t>
  </si>
  <si>
    <t>Built areas m²</t>
  </si>
  <si>
    <t>Non built areas</t>
  </si>
  <si>
    <t>Office</t>
  </si>
  <si>
    <t>Warehouse/cross-dock/Workshop</t>
  </si>
  <si>
    <t>m² / Nb of boxes 
(compound)</t>
  </si>
  <si>
    <t>Truck park</t>
  </si>
  <si>
    <t>Car park</t>
  </si>
  <si>
    <t>Offices</t>
  </si>
  <si>
    <t>Others</t>
  </si>
  <si>
    <t>Budget in  K€ (to be established with PII / AI / DSI / DRHCO)</t>
  </si>
  <si>
    <t>INVESTMENT</t>
  </si>
  <si>
    <t>RENT COMMITMENT</t>
  </si>
  <si>
    <t>Current lease</t>
  </si>
  <si>
    <t>New lease</t>
  </si>
  <si>
    <t>Land incl.surveys and taxes</t>
  </si>
  <si>
    <t>Starting date</t>
  </si>
  <si>
    <t>Architect/engineering</t>
  </si>
  <si>
    <t>years</t>
  </si>
  <si>
    <t>Building works</t>
  </si>
  <si>
    <t>First year rent (net rent, no charge)</t>
  </si>
  <si>
    <t xml:space="preserve">Other </t>
  </si>
  <si>
    <t>Rent Indexation hypothesis</t>
  </si>
  <si>
    <t>Average rent hypothesis</t>
  </si>
  <si>
    <t>K€/year</t>
  </si>
  <si>
    <t>Yearly Rental Charges incl.taxes</t>
  </si>
  <si>
    <t xml:space="preserve">Real estate </t>
  </si>
  <si>
    <t xml:space="preserve">Total rent commitment </t>
  </si>
  <si>
    <t>Security</t>
  </si>
  <si>
    <t>OTHER YEARLY CHARGES</t>
  </si>
  <si>
    <t>Total Investment</t>
  </si>
  <si>
    <t>Maintenance</t>
  </si>
  <si>
    <t>TRANSFER COSTS</t>
  </si>
  <si>
    <t>Repair</t>
  </si>
  <si>
    <t>Net Book Value loss</t>
  </si>
  <si>
    <t>Electricity</t>
  </si>
  <si>
    <t>Double rent</t>
  </si>
  <si>
    <t xml:space="preserve">Heating </t>
  </si>
  <si>
    <t>Transfer cost :</t>
  </si>
  <si>
    <t>Water</t>
  </si>
  <si>
    <t>stock, equipment, furniture, material..</t>
  </si>
  <si>
    <t>Refurbishment of old site</t>
  </si>
  <si>
    <t>Total transfer costs</t>
  </si>
  <si>
    <t>Total yearly charges</t>
  </si>
  <si>
    <t>Comments</t>
  </si>
  <si>
    <t>(offices, safety, design..)</t>
  </si>
  <si>
    <t xml:space="preserve">Fitting out </t>
  </si>
  <si>
    <t>Signature for validation</t>
  </si>
  <si>
    <t>Transfet cost</t>
  </si>
  <si>
    <t>Other rental</t>
  </si>
  <si>
    <t>Water / Electricity</t>
  </si>
  <si>
    <t xml:space="preserve">Deplacement + other cost </t>
  </si>
  <si>
    <t>Bonusprovision</t>
  </si>
  <si>
    <t>P&amp;L Global</t>
  </si>
  <si>
    <t>All</t>
  </si>
  <si>
    <t>Year 1</t>
  </si>
  <si>
    <t>Year 3</t>
  </si>
  <si>
    <t>Year 4</t>
  </si>
  <si>
    <t>Year 5</t>
  </si>
  <si>
    <t>Year 6</t>
  </si>
  <si>
    <t>Year 2</t>
  </si>
  <si>
    <t>Quantity</t>
  </si>
  <si>
    <t>Yearly Rent</t>
  </si>
  <si>
    <t>Duration of contrat</t>
  </si>
  <si>
    <t>Yearly depreciation</t>
  </si>
  <si>
    <t>Deprciation duration</t>
  </si>
  <si>
    <t>Purchase value</t>
  </si>
  <si>
    <t>Purchase value unit €</t>
  </si>
  <si>
    <t>Purchase</t>
  </si>
  <si>
    <t>Rent</t>
  </si>
  <si>
    <t>Nature of equipment</t>
  </si>
  <si>
    <t>Equipements et Matériels</t>
  </si>
  <si>
    <t>Equipments and Materials</t>
  </si>
  <si>
    <t>Furniture</t>
  </si>
  <si>
    <t>Forklift</t>
  </si>
  <si>
    <t>Tools</t>
  </si>
  <si>
    <t>=(+'Cpte exploitation 1+2+3'!E36&gt;=(Immobilier!G37+Immobilier!G38+Immobilier!G39))</t>
  </si>
  <si>
    <t>Surface / Land / Aera</t>
  </si>
  <si>
    <t>Surface/Land/Aera Arrangement</t>
  </si>
  <si>
    <t>Operational materals, forklifts</t>
  </si>
  <si>
    <t>Office Materials</t>
  </si>
  <si>
    <t>IT Equipments</t>
  </si>
  <si>
    <t>IT system</t>
  </si>
  <si>
    <t>Furnitures</t>
  </si>
  <si>
    <t>Investment Amount</t>
  </si>
  <si>
    <t>Investments cumulative</t>
  </si>
  <si>
    <t>Depreciation cumulative</t>
  </si>
  <si>
    <t>Net value of assets</t>
  </si>
  <si>
    <t>P&amp;L</t>
  </si>
  <si>
    <t>Total external sales</t>
  </si>
  <si>
    <t>%GM/Sales</t>
  </si>
  <si>
    <t>Other operating expenses</t>
  </si>
  <si>
    <t>% ROC / sales</t>
  </si>
  <si>
    <t>Working capital requirements</t>
  </si>
  <si>
    <t>Paymet Terms (days)</t>
  </si>
  <si>
    <t>Suppliers</t>
  </si>
  <si>
    <t>Annual</t>
  </si>
  <si>
    <t>Assets</t>
  </si>
  <si>
    <t>WCR</t>
  </si>
  <si>
    <t>Variation WRC</t>
  </si>
  <si>
    <t>Total expenses</t>
  </si>
  <si>
    <t>Rental</t>
  </si>
  <si>
    <r>
      <t xml:space="preserve">Lease duration </t>
    </r>
    <r>
      <rPr>
        <sz val="8"/>
        <color theme="1"/>
        <rFont val="Arial"/>
        <family val="2"/>
      </rPr>
      <t>(remaining for current lease)</t>
    </r>
  </si>
  <si>
    <r>
      <t xml:space="preserve">Minimum rent duration </t>
    </r>
    <r>
      <rPr>
        <sz val="8"/>
        <color theme="1"/>
        <rFont val="Arial"/>
        <family val="2"/>
      </rPr>
      <t>(remaining for current lease)</t>
    </r>
  </si>
  <si>
    <t>Type d'engagement / Type of commitment:</t>
  </si>
  <si>
    <t>Investissements / Investments &gt; 500 K€</t>
  </si>
  <si>
    <t>Comité d'investissement / Investment committee</t>
  </si>
  <si>
    <t>Classe / typology:</t>
  </si>
  <si>
    <t>Author Rédacteur de cette fiche :</t>
  </si>
  <si>
    <t>Purschase validation /VALIDATION Achats</t>
  </si>
  <si>
    <t>Bonus provision</t>
  </si>
  <si>
    <t>Operational staff or Operating full time equivalent</t>
  </si>
  <si>
    <t>Evolution of Sales</t>
  </si>
  <si>
    <t>Validation DSI, PII et DAJG sur les fiches spécifiques jointes : on specifics forms attached</t>
  </si>
  <si>
    <t>Synthesis Synthèse</t>
  </si>
  <si>
    <t>Risks Risques</t>
  </si>
  <si>
    <t>Financial Financier</t>
  </si>
  <si>
    <t>Real Estate Immobilier</t>
  </si>
  <si>
    <t>Equipment Equipement</t>
  </si>
  <si>
    <t>Computing Informatique</t>
  </si>
  <si>
    <t>Followed in 3 years Suivi à 3 ans</t>
  </si>
  <si>
    <t>Form to be joined Fiches à joindre</t>
  </si>
  <si>
    <t>Global P&amp;LCpte exploit.</t>
  </si>
  <si>
    <t>Subsidiary</t>
  </si>
  <si>
    <r>
      <t xml:space="preserve">Triggering factor (context of the project) </t>
    </r>
    <r>
      <rPr>
        <b/>
        <sz val="10"/>
        <color theme="0"/>
        <rFont val="Arial Narrow"/>
        <family val="2"/>
      </rPr>
      <t>or launch factor</t>
    </r>
  </si>
  <si>
    <t>Clocking Terminal</t>
  </si>
  <si>
    <t xml:space="preserve">Rent (agency fee) </t>
  </si>
  <si>
    <t>Racks</t>
  </si>
  <si>
    <t xml:space="preserve">Subject of the request (objectives and target results) </t>
  </si>
  <si>
    <t>Issue (impact and risks)</t>
  </si>
  <si>
    <t xml:space="preserve">Evaluation amount  (K€) </t>
  </si>
  <si>
    <t>Evolution of operational staff (year end)</t>
  </si>
  <si>
    <t>Responsable/Responsible</t>
  </si>
  <si>
    <t>Tiphaine TATIBOUET</t>
  </si>
  <si>
    <t>+ 33 1 49 05 29 52</t>
  </si>
  <si>
    <t>tiphaine.tatibouet@gefco.fr</t>
  </si>
  <si>
    <t>Comment from signatories</t>
  </si>
  <si>
    <t>Applicant</t>
  </si>
  <si>
    <t>Visa</t>
  </si>
  <si>
    <t>pour</t>
  </si>
  <si>
    <t xml:space="preserve">Signature </t>
  </si>
  <si>
    <t xml:space="preserve">for </t>
  </si>
  <si>
    <t xml:space="preserve">validation </t>
  </si>
  <si>
    <t>Date of start of service</t>
  </si>
  <si>
    <t>Nb of employees (Dec)</t>
  </si>
  <si>
    <t>IT Cabling</t>
  </si>
  <si>
    <t xml:space="preserve">IT costs </t>
  </si>
  <si>
    <t>Do not enter - calculation for control</t>
  </si>
  <si>
    <t>AXIS</t>
  </si>
  <si>
    <r>
      <t xml:space="preserve">K€ </t>
    </r>
    <r>
      <rPr>
        <i/>
        <sz val="8"/>
        <color theme="1"/>
        <rFont val="ARIAL"/>
        <family val="2"/>
      </rPr>
      <t>(signed amounts)</t>
    </r>
  </si>
  <si>
    <t xml:space="preserve">Travel expenses + other cost </t>
  </si>
  <si>
    <t>Other structure costs</t>
  </si>
  <si>
    <t xml:space="preserve">cout moyen/effectifs </t>
  </si>
  <si>
    <t>Average cost/staff</t>
  </si>
  <si>
    <t>Exchange gain / Loss</t>
  </si>
  <si>
    <t>Salary + employment taxes</t>
  </si>
  <si>
    <t>Duration</t>
  </si>
  <si>
    <t>Total Income</t>
  </si>
  <si>
    <t>Capital Employed</t>
  </si>
  <si>
    <t>Return on Capital Employed</t>
  </si>
  <si>
    <t>Monthly P&amp;L</t>
  </si>
  <si>
    <t>% ROC / Sales</t>
  </si>
  <si>
    <t>Ref ROC Group : 5%</t>
  </si>
  <si>
    <t>Working Capital Requirements</t>
  </si>
  <si>
    <t>WCR d'exploitation</t>
  </si>
  <si>
    <t>Head office expenses</t>
  </si>
  <si>
    <t>Personnel Expenses</t>
  </si>
  <si>
    <t>Structure Expenses</t>
  </si>
  <si>
    <t>Bad Debts</t>
  </si>
  <si>
    <t>FR</t>
  </si>
  <si>
    <t xml:space="preserve">Subsidiary </t>
  </si>
  <si>
    <t>Capital Turnover</t>
  </si>
  <si>
    <t>=+'Synthèse projet'!D29:D29+'Synthèse projet'!C30:D30-Immobilier!C30=0</t>
  </si>
  <si>
    <t>=+'Synthèse projet'!F37=MAX(Financier!D112:n112)</t>
  </si>
  <si>
    <t>Commitments and Investments procedure summary</t>
  </si>
  <si>
    <t>Version sélection</t>
  </si>
  <si>
    <r>
      <t xml:space="preserve">Rédacteur / </t>
    </r>
    <r>
      <rPr>
        <b/>
        <i/>
        <sz val="10"/>
        <color indexed="9"/>
        <rFont val="Arial Narrow"/>
        <family val="2"/>
      </rPr>
      <t xml:space="preserve">Writer </t>
    </r>
    <r>
      <rPr>
        <b/>
        <sz val="10"/>
        <color indexed="9"/>
        <rFont val="Arial Narrow"/>
        <family val="2"/>
      </rPr>
      <t xml:space="preserve"> :</t>
    </r>
  </si>
  <si>
    <r>
      <t xml:space="preserve">UO / </t>
    </r>
    <r>
      <rPr>
        <b/>
        <i/>
        <sz val="10"/>
        <color indexed="9"/>
        <rFont val="Arial Narrow"/>
        <family val="2"/>
      </rPr>
      <t>BU</t>
    </r>
  </si>
  <si>
    <r>
      <t xml:space="preserve">FILIALE / </t>
    </r>
    <r>
      <rPr>
        <b/>
        <i/>
        <sz val="10"/>
        <color indexed="9"/>
        <rFont val="Arial Narrow"/>
        <family val="2"/>
      </rPr>
      <t>SUBSIDIARY</t>
    </r>
  </si>
  <si>
    <r>
      <t xml:space="preserve">Chef de Projet / </t>
    </r>
    <r>
      <rPr>
        <b/>
        <i/>
        <sz val="10"/>
        <color indexed="9"/>
        <rFont val="Arial Narrow"/>
        <family val="2"/>
      </rPr>
      <t>Project Manager</t>
    </r>
    <r>
      <rPr>
        <b/>
        <sz val="10"/>
        <color indexed="9"/>
        <rFont val="Arial Narrow"/>
        <family val="2"/>
      </rPr>
      <t xml:space="preserve"> :</t>
    </r>
  </si>
  <si>
    <r>
      <t xml:space="preserve">AXE / </t>
    </r>
    <r>
      <rPr>
        <b/>
        <i/>
        <sz val="10"/>
        <color indexed="9"/>
        <rFont val="Arial Narrow"/>
        <family val="2"/>
      </rPr>
      <t>AXIS</t>
    </r>
  </si>
  <si>
    <r>
      <t xml:space="preserve">Type d'engagement / </t>
    </r>
    <r>
      <rPr>
        <b/>
        <i/>
        <sz val="10"/>
        <color indexed="9"/>
        <rFont val="Arial Narrow"/>
        <family val="2"/>
      </rPr>
      <t>Commitment type</t>
    </r>
    <r>
      <rPr>
        <b/>
        <sz val="10"/>
        <color indexed="9"/>
        <rFont val="Arial Narrow"/>
        <family val="2"/>
      </rPr>
      <t>:</t>
    </r>
  </si>
  <si>
    <r>
      <rPr>
        <b/>
        <sz val="10"/>
        <color indexed="62"/>
        <rFont val="Arial Narrow"/>
        <family val="2"/>
      </rPr>
      <t>Elément déclencheur (contexte)</t>
    </r>
    <r>
      <rPr>
        <b/>
        <i/>
        <sz val="10"/>
        <color indexed="62"/>
        <rFont val="Arial Narrow"/>
        <family val="2"/>
      </rPr>
      <t xml:space="preserve"> / Triggering factor (Context of the project)</t>
    </r>
  </si>
  <si>
    <r>
      <rPr>
        <b/>
        <sz val="10"/>
        <color indexed="62"/>
        <rFont val="Arial Narrow"/>
        <family val="2"/>
      </rPr>
      <t>Objet de la demande (objectifs et résultats à atteindre)</t>
    </r>
    <r>
      <rPr>
        <b/>
        <i/>
        <sz val="10"/>
        <color indexed="62"/>
        <rFont val="Arial Narrow"/>
        <family val="2"/>
      </rPr>
      <t xml:space="preserve"> / Subject of the request (Goals and results to achieve)</t>
    </r>
  </si>
  <si>
    <r>
      <rPr>
        <b/>
        <sz val="10"/>
        <color indexed="62"/>
        <rFont val="Arial Narrow"/>
        <family val="2"/>
      </rPr>
      <t xml:space="preserve">Enjeux (impact et risques) </t>
    </r>
    <r>
      <rPr>
        <b/>
        <i/>
        <sz val="10"/>
        <color indexed="62"/>
        <rFont val="Arial Narrow"/>
        <family val="2"/>
      </rPr>
      <t>/ Stakes (Impact and risks)</t>
    </r>
  </si>
  <si>
    <t>investissements &gt; 500 K€</t>
  </si>
  <si>
    <t>A</t>
  </si>
  <si>
    <t>B</t>
  </si>
  <si>
    <t>C</t>
  </si>
  <si>
    <t>bail immobilier &gt; 500 K€</t>
  </si>
  <si>
    <t>bail immobilier &lt; 500 K€</t>
  </si>
  <si>
    <t>Croissance externe</t>
  </si>
  <si>
    <t>Dossier stratégique client</t>
  </si>
  <si>
    <t>Dossier stratégique fournisseur</t>
  </si>
  <si>
    <t>Dossier stratégique multimodal</t>
  </si>
  <si>
    <t>Cession site</t>
  </si>
  <si>
    <t>Cession titres de participation</t>
  </si>
  <si>
    <t>Cession biens &gt; 500K€</t>
  </si>
  <si>
    <t>Signature pour validation</t>
  </si>
  <si>
    <t>Sheets to be filled</t>
  </si>
  <si>
    <t>Contacts</t>
  </si>
  <si>
    <t>DSF/PCO Contact desk</t>
  </si>
  <si>
    <t>Select English</t>
  </si>
  <si>
    <t>Run</t>
  </si>
  <si>
    <t>Grow</t>
  </si>
  <si>
    <t>Transformation</t>
  </si>
  <si>
    <t>Croissance interne (Filiale)</t>
  </si>
  <si>
    <t>Croissance interne (Agence)</t>
  </si>
  <si>
    <t>investments &gt; 500 K€</t>
  </si>
  <si>
    <t>building rent &gt; 500 K€</t>
  </si>
  <si>
    <t>equipment rent &gt; 500 K€</t>
  </si>
  <si>
    <t>location matériel  &gt; 500 K€</t>
  </si>
  <si>
    <t>location matériel  &lt; 500 K€</t>
  </si>
  <si>
    <t>equipment rent &lt; 500 K€</t>
  </si>
  <si>
    <t>building rent &lt; 500 K€</t>
  </si>
  <si>
    <t>External growth</t>
  </si>
  <si>
    <t>Internal growth (subsidiary)</t>
  </si>
  <si>
    <t>Internal growth (Depot)</t>
  </si>
  <si>
    <t>Customer strategic project</t>
  </si>
  <si>
    <t>Supplier strategic project</t>
  </si>
  <si>
    <t xml:space="preserve">Multimodal strategic project </t>
  </si>
  <si>
    <t>Sites sales</t>
  </si>
  <si>
    <t>Shares sales</t>
  </si>
  <si>
    <t>Asset sales &gt; 500K€</t>
  </si>
  <si>
    <t>Etude</t>
  </si>
  <si>
    <t>Augmentation de capital</t>
  </si>
  <si>
    <t>L Nadal</t>
  </si>
  <si>
    <t>JN Théobald</t>
  </si>
  <si>
    <t>Détail des équipements d'exploitation :</t>
  </si>
  <si>
    <t>Détail des équipements mobilier de bureau et divers:</t>
  </si>
  <si>
    <t>Detail for Operating Equipment :</t>
  </si>
  <si>
    <t>Detail of office Equiments and miscellaneous  :</t>
  </si>
  <si>
    <t>Depreciation duration</t>
  </si>
  <si>
    <t>Jean-Nicolas THEOBALD</t>
  </si>
  <si>
    <t>+ 33 1 49 05 28 19</t>
  </si>
  <si>
    <t>jean-nicolas.theobald@gefco.fr</t>
  </si>
  <si>
    <t>FVL</t>
  </si>
  <si>
    <t>Taux d'imposition</t>
  </si>
  <si>
    <t>Réalisé 2012</t>
  </si>
  <si>
    <t>B 2013</t>
  </si>
  <si>
    <t>Hors FVL</t>
  </si>
  <si>
    <t>LOT</t>
  </si>
  <si>
    <t>MSG</t>
  </si>
  <si>
    <t>MOY</t>
  </si>
  <si>
    <t>AIR</t>
  </si>
  <si>
    <t>SEA</t>
  </si>
  <si>
    <t>ROM</t>
  </si>
  <si>
    <t>WRP</t>
  </si>
  <si>
    <t>RPS</t>
  </si>
  <si>
    <t>Année</t>
  </si>
  <si>
    <t>Taux de ROC</t>
  </si>
  <si>
    <t>Rate of operational margin</t>
  </si>
  <si>
    <t>Résultat Net après Impôts</t>
  </si>
  <si>
    <t>Net income After tax</t>
  </si>
  <si>
    <t>% RNAIS / ventes</t>
  </si>
  <si>
    <t>% NI / sales</t>
  </si>
  <si>
    <t>EBITDA</t>
  </si>
  <si>
    <t>% EBITDA / ventes</t>
  </si>
  <si>
    <t>% EBITDA / sales</t>
  </si>
  <si>
    <t>Taux EBITDA</t>
  </si>
  <si>
    <t>Rate of EBITDA</t>
  </si>
  <si>
    <t>Ventes GM</t>
  </si>
  <si>
    <t>GM sales</t>
  </si>
  <si>
    <t>Ventes RZD</t>
  </si>
  <si>
    <t>RZD sales</t>
  </si>
  <si>
    <t>GM Sales</t>
  </si>
  <si>
    <t>Marge sur Coûts Directs</t>
  </si>
  <si>
    <t>Margin on Direct costs</t>
  </si>
  <si>
    <t>Frais de Siège opérationnel</t>
  </si>
  <si>
    <t>Frais Groupe</t>
  </si>
  <si>
    <t>Operational HQ costs</t>
  </si>
  <si>
    <t>Group HeadOffice costs</t>
  </si>
  <si>
    <t>RAC/effectifs</t>
  </si>
  <si>
    <t>MCO/effectifs</t>
  </si>
  <si>
    <t>Activity Result /staff</t>
  </si>
  <si>
    <t>Gross Margin / Staff</t>
  </si>
  <si>
    <t>Total Frais Indirect</t>
  </si>
  <si>
    <t>Total Indirect costs</t>
  </si>
  <si>
    <t>RZD Sales</t>
  </si>
  <si>
    <t>Frais Siège Opérationnels</t>
  </si>
  <si>
    <t>Clients GM</t>
  </si>
  <si>
    <t>GM Customers</t>
  </si>
  <si>
    <t>Non Group Customers</t>
  </si>
  <si>
    <t>Clients RZD</t>
  </si>
  <si>
    <t>RZD customers</t>
  </si>
  <si>
    <t>PSA Group Customers</t>
  </si>
  <si>
    <t>Do not forget to fill in FTE numbers in the speadsheets UO1, UO2, UO3</t>
  </si>
  <si>
    <t>Change in this spreadsheet the fisrt year of the Business Plan if necessary. This will impact all spreadsheets</t>
  </si>
  <si>
    <t>Ne pas oublier de renseigner les ETP.</t>
  </si>
  <si>
    <t>Changer le Taux de TVA avec le taux en vigueur pour votre Filiale</t>
  </si>
  <si>
    <t>Changer le Taux d'IS avec le taux en vigueur pour votre Filiale</t>
  </si>
  <si>
    <t>Ne pas changer le taux d'actualisation</t>
  </si>
  <si>
    <t>Do not change the discount rate</t>
  </si>
  <si>
    <t>Taux de RN</t>
  </si>
  <si>
    <t>Rate of Net Income</t>
  </si>
  <si>
    <t>Net Income after Tax</t>
  </si>
  <si>
    <t>Les frais de sièges opérationnels sont calculés automatiquement</t>
  </si>
  <si>
    <t>Les frais de sièges groupe sont calculés automatiquement</t>
  </si>
  <si>
    <t>Selectionner l'UO concernée</t>
  </si>
  <si>
    <t>Penser à changer les conditions de paiement clients</t>
  </si>
  <si>
    <t>Penser à changer les conditions de paiement fournisseurs</t>
  </si>
  <si>
    <t>COMMENTAIRES</t>
  </si>
  <si>
    <t>COMMENTS</t>
  </si>
  <si>
    <t>Changer la 1ere année du Business Plan, si nécessaire. Cela impactera tous les autres onglets</t>
  </si>
  <si>
    <t>Select the Activity</t>
  </si>
  <si>
    <t>Operational HQ costs are automatically calculated</t>
  </si>
  <si>
    <t>Group HQ costs are automatically calculated</t>
  </si>
  <si>
    <t>Change the Income Tax rate with your local rate.</t>
  </si>
  <si>
    <t>Change the VAT rate with your local rate.</t>
  </si>
  <si>
    <t>Think to change the Customers terms o f payment</t>
  </si>
  <si>
    <t>Think to change the suppliers terms o f payment</t>
  </si>
  <si>
    <t>Put "1" if the first year is a full year, if not, put "0"</t>
  </si>
  <si>
    <t>Mettre "1" si la 1ere année est une année pleine, sinon "0".</t>
  </si>
  <si>
    <t>Projet</t>
  </si>
  <si>
    <t>Pénalités de sorties</t>
  </si>
  <si>
    <t xml:space="preserve">Break option </t>
  </si>
  <si>
    <t>Break option penalties</t>
  </si>
  <si>
    <t>Option de résiliation</t>
  </si>
  <si>
    <t>PRINCIPAUX RISQUES DU PROJET</t>
  </si>
  <si>
    <t>Typologie des risques</t>
  </si>
  <si>
    <t>Risques pour le projet</t>
  </si>
  <si>
    <t>Gravité 
(de 0 à 3)</t>
  </si>
  <si>
    <t>Probabilité de survenance (de 0 à 3)</t>
  </si>
  <si>
    <t>Criticité</t>
  </si>
  <si>
    <t>Cible</t>
  </si>
  <si>
    <t>Actions de prévention</t>
  </si>
  <si>
    <t>Actions de correction</t>
  </si>
  <si>
    <t>Juridique</t>
  </si>
  <si>
    <t>Systèmes d'information</t>
  </si>
  <si>
    <t>Ressources humaines</t>
  </si>
  <si>
    <t>Pilotage</t>
  </si>
  <si>
    <t>Gestion administrative et finances</t>
  </si>
  <si>
    <t>Client, commerce, service</t>
  </si>
  <si>
    <t>Exploitation</t>
  </si>
  <si>
    <t>Fournisseurs/ partenaires</t>
  </si>
  <si>
    <t>visibilité suivi du projet, pilotage du projet, risque pays</t>
  </si>
  <si>
    <t>Risque de change, risque fiscal, trésorerie, non maitrise des délais de paiement</t>
  </si>
  <si>
    <t>Remarques</t>
  </si>
  <si>
    <t>Risque de dérapage du planning, des coûts, dépendance à d'autres projets</t>
  </si>
  <si>
    <t>Pour évaluer de manière exhaustive et rigoureuse la criticité d'un projet, il est conseillé aux chefs de projet de : 
- passer en revue la liste des risques ci-dessous ; 
- d'évaluer pour chacun d'entre eux leur gravité et leur probabilité de survenance (ce qui aboutit à une note de criticité du risque) ;
- de reprendre le tableau et les représentations graphiques de ces risques dans la présentation PPT (copie écran).</t>
  </si>
  <si>
    <t xml:space="preserve">Evolution défavorable de la réglementation, absence d'un agrément, d'un certificat ou d'une autorisation, droit du travail, maitrise des ressources </t>
  </si>
  <si>
    <t xml:space="preserve">Déploiement outil local, outil corporate, outil spécifique… </t>
  </si>
  <si>
    <t xml:space="preserve">fond propre, location, emprunts, capitalisation… </t>
  </si>
  <si>
    <t xml:space="preserve">contrat client = contrat immobilier, risque de fin de bail,  </t>
  </si>
  <si>
    <t>impact sur le réseau, synergies, …</t>
  </si>
  <si>
    <t>manque de ressources ou de compétences, risque social</t>
  </si>
  <si>
    <t>Incertitude du chiffre d'affaires, impératif client (délais, accompagnement…), inadéquation des attentes clients face au service proposé, perte du CA client</t>
  </si>
  <si>
    <t>Risques contentieux, risque de défaillance, non-respect des conditions d'achat, monopole du fournisseur…</t>
  </si>
  <si>
    <t xml:space="preserve">Résultat Net  </t>
  </si>
  <si>
    <t>Marge commerciale (% des ventes)</t>
  </si>
  <si>
    <t>Fiscal</t>
  </si>
  <si>
    <t>Project : one shot costs</t>
  </si>
  <si>
    <t>Fiche de synthèse</t>
  </si>
  <si>
    <t>Nature de l'investissement</t>
  </si>
  <si>
    <t>Tous</t>
  </si>
  <si>
    <t>Les onglets verts contiennent des données à saisir manuellement</t>
  </si>
  <si>
    <t>Les onglets bleus sont renseignés automatiquement</t>
  </si>
  <si>
    <t>IT Detail</t>
  </si>
  <si>
    <t>Les données de l'onglet IT Details se déversent automatiquement dans l'onglet informatique et financier</t>
  </si>
  <si>
    <t>UO 1, UO2, UO3</t>
  </si>
  <si>
    <t xml:space="preserve">A réaliser conjointement avec CG DSI </t>
  </si>
  <si>
    <t>A réaliser conjointement avec le service achat de votre métier/ filiale/ direction ou PII (sur de la rénovation ou aménagement)</t>
  </si>
  <si>
    <t xml:space="preserve">Décrire le risque potentiel, déterminer la gravité et probabilité de survenance ainsi que les plans de prévention et de correction
</t>
  </si>
  <si>
    <t>attention à adapter le taux d'imposition, de TVA et délais de paiement</t>
  </si>
  <si>
    <t>Seuil</t>
  </si>
  <si>
    <t>tous</t>
  </si>
  <si>
    <t>si applicable</t>
  </si>
  <si>
    <t>Renseigner uniquement les risques identifiés</t>
  </si>
  <si>
    <t>Other (amount of the break-option)</t>
  </si>
  <si>
    <t>Autre (montant de l'option de résiliation)</t>
  </si>
  <si>
    <t>Votre correspondant Corporate</t>
  </si>
  <si>
    <t>Materiel de buerau</t>
  </si>
  <si>
    <t>ok</t>
  </si>
  <si>
    <t>XXXXX</t>
  </si>
  <si>
    <t>Operational HQ costs are automatically calculated
These costs are corresponding to Operational Direct &amp; Indirect HQs</t>
  </si>
  <si>
    <t>Les frais de sièges opérationnels sont calculés automatiquement
Ces coûts correspondent aux Sieges opérationnels Direct &amp; Indirect (TLA, OVL, OVS, WRP, 4PL,DCM, DCPSA)</t>
  </si>
  <si>
    <t>Les frais de sièges groupe sont calculés automatiquement
Ces coûts correspondent aux Sièges Fonctionnels et Informatiques (yc QP Mgt fees et Redevances groupe)</t>
  </si>
  <si>
    <t>Group HQ costs are automatically calculated
These costs are corresponding to Functional &amp; IT HQs (including Managment &amp; Group fees)</t>
  </si>
  <si>
    <t>xxxxx</t>
  </si>
  <si>
    <t>Install. Costs</t>
  </si>
  <si>
    <t>Maint. Costs</t>
  </si>
  <si>
    <t>INFRASTRUCTURES HARDWARE</t>
  </si>
  <si>
    <t>CURRENT SERVICES COSTS</t>
  </si>
  <si>
    <t>OTHER HUMAN COSTS FOR THE PROJECT  (One shot)</t>
  </si>
  <si>
    <t>Hardware costs</t>
  </si>
  <si>
    <t>TOTAL HARDWARE</t>
  </si>
  <si>
    <t>Projet : Coûts "one shot"</t>
  </si>
  <si>
    <t>Hardware</t>
  </si>
  <si>
    <t>Software</t>
  </si>
  <si>
    <t>R</t>
  </si>
  <si>
    <t>Hardware/Software costs</t>
  </si>
  <si>
    <t>Software costs</t>
  </si>
  <si>
    <t>Maint. costs</t>
  </si>
  <si>
    <t>Install. costs</t>
  </si>
  <si>
    <t>Current annual costs</t>
  </si>
  <si>
    <t>TOTAL HUMAN days costs  for the project</t>
  </si>
  <si>
    <t>TOTAL HUMAN days costs to rollout the IINFRASRUCTURE</t>
  </si>
  <si>
    <t>TOTAL HUMAN days costs to rollout the BUSINESS software</t>
  </si>
  <si>
    <t>EXTERNAL</t>
  </si>
  <si>
    <t>INTERNAL</t>
  </si>
  <si>
    <t>Softwares for infrastructure</t>
  </si>
  <si>
    <t>en €</t>
  </si>
  <si>
    <t>OTHER ANNUAL CURRENT COSTS</t>
  </si>
  <si>
    <t>Server</t>
  </si>
  <si>
    <t>Total : Hardware &amp; Software for infrastructures</t>
  </si>
  <si>
    <t>Total : Projects costs for Infrastructure</t>
  </si>
  <si>
    <t>Run/Partnership for business (UO for business servers, SAAS  …)</t>
  </si>
  <si>
    <t>Currents costs for Infrastructure</t>
  </si>
  <si>
    <t>Currents costs for Business</t>
  </si>
  <si>
    <t>Hardware Investments</t>
  </si>
  <si>
    <t>Software Investments</t>
  </si>
  <si>
    <t>Total : Projects costs to rollout the business application</t>
  </si>
  <si>
    <t xml:space="preserve">Telecom (Voice and Data) Annual costs </t>
  </si>
  <si>
    <t>Internal work amount</t>
  </si>
  <si>
    <t>External work amount</t>
  </si>
  <si>
    <t>Current costs (including one shot project costs)</t>
  </si>
  <si>
    <t>Hardware Rental</t>
  </si>
  <si>
    <t>Software Rental</t>
  </si>
  <si>
    <t>Cabling costs</t>
  </si>
  <si>
    <t>Rachat d'une entreprise</t>
  </si>
  <si>
    <t>in KEuros</t>
  </si>
  <si>
    <t>Project name</t>
  </si>
  <si>
    <t xml:space="preserve">Besoin de financement pour un investissement </t>
  </si>
  <si>
    <t>HYPOTHESE DE FINANCEMENT : 50% FONDS PROPRES 50% DETTES</t>
  </si>
  <si>
    <t xml:space="preserve">Détermine les impacts sur le cash , working capital… </t>
  </si>
  <si>
    <t>HYPOTHESE</t>
  </si>
  <si>
    <t xml:space="preserve">Objectifs </t>
  </si>
  <si>
    <t>Montant de l'investissement/acquisition</t>
  </si>
  <si>
    <t>Endettement Net de la société achetée</t>
  </si>
  <si>
    <t>BFR en jour de CA</t>
  </si>
  <si>
    <t>Durée des amortissements</t>
  </si>
  <si>
    <t xml:space="preserve">Renseigner les cellules en fonction </t>
  </si>
  <si>
    <t>Croissance</t>
  </si>
  <si>
    <t>Part de la dette</t>
  </si>
  <si>
    <t>Typologie du projet (rachat, investissement immobilier…)</t>
  </si>
  <si>
    <t>Marge EBITA récurrent</t>
  </si>
  <si>
    <t>Taux effectif d'impôt</t>
  </si>
  <si>
    <t>Des objectifs métiers/ filiale fixés</t>
  </si>
  <si>
    <t>Frais financier avant IS</t>
  </si>
  <si>
    <t>Taux des produits financiers</t>
  </si>
  <si>
    <t>En fonction de l'imposition locale, du taux effectif global appliqué par les banques…</t>
  </si>
  <si>
    <t>Coût des Fonds Propres</t>
  </si>
  <si>
    <t>Taux de dividende</t>
  </si>
  <si>
    <t xml:space="preserve"> </t>
  </si>
  <si>
    <t>COMPTE DE RESULTAT</t>
  </si>
  <si>
    <t>Ventes (Chiffre d'affaires)</t>
  </si>
  <si>
    <t>Cout de demarrage, de restructuration</t>
  </si>
  <si>
    <t>EBITA</t>
  </si>
  <si>
    <t>Resultat d'exploitation apres IS</t>
  </si>
  <si>
    <t>Resultat Financier (après IS si déductible)</t>
  </si>
  <si>
    <t>Amortissement de la survaleur apres IS</t>
  </si>
  <si>
    <t>Resultat Net Part du Groupe (RNPG)</t>
  </si>
  <si>
    <t>RNPG% du CA</t>
  </si>
  <si>
    <t>IMPACT SUR RNPG</t>
  </si>
  <si>
    <t>Cout des Capitaux propres</t>
  </si>
  <si>
    <t>Reintegration CI (Crédit d'impôt) après IS (impôt sur les sociétés)</t>
  </si>
  <si>
    <t>Impact sur RNPG (Résultat net part du groupe)</t>
  </si>
  <si>
    <t xml:space="preserve"> &gt; 0   OK</t>
  </si>
  <si>
    <t>Objectifs groupe par métier</t>
  </si>
  <si>
    <t>BILAN</t>
  </si>
  <si>
    <t>Immobilisation corporelle @ valeur brut</t>
  </si>
  <si>
    <t>Survaleur @ valeur brut (Goodwill)</t>
  </si>
  <si>
    <t>Amortissements et depreciations cumulés</t>
  </si>
  <si>
    <t>Actif immobilisé net</t>
  </si>
  <si>
    <t>Charges différées</t>
  </si>
  <si>
    <t xml:space="preserve">Capitaux employés </t>
  </si>
  <si>
    <t>Capitaux propres</t>
  </si>
  <si>
    <t>Position Financière Nette</t>
  </si>
  <si>
    <t>RATIOS CLES</t>
  </si>
  <si>
    <t>Payback (RNPG cumulé - Capitaux Employés)</t>
  </si>
  <si>
    <t>Rendement sur Capitaux Employés (a)</t>
  </si>
  <si>
    <t>Rendement sur Capitaux Propre(b)</t>
  </si>
  <si>
    <t>Rendement moyen des Capitaux employés (5ans)</t>
  </si>
  <si>
    <t xml:space="preserve">  &gt; 15 %  OK</t>
  </si>
  <si>
    <t>Rendement moyen des Capitaux propres (5 ans)</t>
  </si>
  <si>
    <t>CASH FLOW</t>
  </si>
  <si>
    <t>RNPG</t>
  </si>
  <si>
    <t>+ Depreciation  /amortissement</t>
  </si>
  <si>
    <t>- Investissement (-)</t>
  </si>
  <si>
    <t>+/- Variation du BFR</t>
  </si>
  <si>
    <t>LIQUIDITES GENEREES PAR LES OPERATIONS</t>
  </si>
  <si>
    <t>Acquisition</t>
  </si>
  <si>
    <t>Augmentation de Capital</t>
  </si>
  <si>
    <t>Dividendes</t>
  </si>
  <si>
    <t>CHANGEMENT POSITION FINANCIERE NETTE</t>
  </si>
  <si>
    <t>(a) = Résultat Exploitation après IS / Capitaux Employés</t>
  </si>
  <si>
    <t>(b) = (RNPG + Mgmt fee &gt; 0,5% )/ Capitaux Propres</t>
  </si>
  <si>
    <t>Endettement moyen</t>
  </si>
  <si>
    <t>Dotations cumulées non plafonées</t>
  </si>
  <si>
    <t>Dotations cumulées plafonées</t>
  </si>
  <si>
    <t>Depreciation for year</t>
  </si>
  <si>
    <t>Accumulated amortization</t>
  </si>
  <si>
    <t>Accumulated depreciation &amp; amortization</t>
  </si>
  <si>
    <t>Accumulated net income group share</t>
  </si>
  <si>
    <t>Opening balance</t>
  </si>
  <si>
    <t>Cash flow - Net change in NFP (net financial part)</t>
  </si>
  <si>
    <t>Closing balance</t>
  </si>
  <si>
    <t>Control on Change in NFP</t>
  </si>
  <si>
    <t>Onglets à renseigner
Shift to complete</t>
  </si>
  <si>
    <t xml:space="preserve">Fiche de synthèse </t>
  </si>
  <si>
    <t>- Les données investissements de l'onglet immobilier se déversent automatiquement dans l'onglet financier
- Attention à reporter les coûts de transfert dans le compte d'exploitation
- Indiquer les conditions de break option</t>
  </si>
  <si>
    <t>- Financials datas of the "immobilier" shift are automatically reported on the "financier" sheet tab. 
- Pay attention to include transfer cost in the P&amp;L 
- Detail the break option terms</t>
  </si>
  <si>
    <t xml:space="preserve">Have to be realized with PII </t>
  </si>
  <si>
    <t xml:space="preserve">IT datas of "IT details" shift are automatically reported on the "Informatique" sheet tab. </t>
  </si>
  <si>
    <t>Have to be realized with DSI corporate</t>
  </si>
  <si>
    <t>Détailler les équipements nécessaires 
Dans le cas d'une location =&gt; indiquer les conditions des breaks option nécessaires</t>
  </si>
  <si>
    <t>Pay attention to transfert equipment investment in the "financial sheet"
In the case of location, please detail the break option terms</t>
  </si>
  <si>
    <t>Les données sont à renseigner par UO, la consolidation globale se réalisant automatiquement dans l'onglet "Cpte d'exploitation"
La 1ère année du compte d'exploitation est à modifier si besoin dans l'onglet "Cpte d'exploitation", cellule D13</t>
  </si>
  <si>
    <t>Datas have to be completed by operational unit, the consolidation of the datas are automatically calculated in the "Cpte de résultat" sheet tab. 
First year of the P&amp;L can be changed if it's necessary in the "Cpte de résultat" sheet tab, in the D13 cell</t>
  </si>
  <si>
    <t>Specify the potential risk of the project, determine the criticality of a project, for each of them, assess the seriousness and the likelihood (which leads to a criticality grade for the risk)</t>
  </si>
  <si>
    <t>Complete only identidied risks</t>
  </si>
  <si>
    <t>Pay attention to modify the rate of taxation, TVA and payement term</t>
  </si>
  <si>
    <t>WHS</t>
  </si>
  <si>
    <t>TOTAL</t>
  </si>
  <si>
    <t>TOTAL des Engagements</t>
  </si>
  <si>
    <t>Total commitments</t>
  </si>
  <si>
    <t xml:space="preserve">Financial business plan </t>
  </si>
  <si>
    <t>Total Ventes</t>
  </si>
  <si>
    <t>Total Achats</t>
  </si>
  <si>
    <t>Marge Commerciale</t>
  </si>
  <si>
    <t xml:space="preserve"> % des Ventes</t>
  </si>
  <si>
    <t>Résultat Brut Commercial</t>
  </si>
  <si>
    <t>Total Frais de Personnel</t>
  </si>
  <si>
    <t>Total autres Frais d'Exploitation</t>
  </si>
  <si>
    <t>Total Frais d'Agence</t>
  </si>
  <si>
    <t>Dépréciation pour Créances Douteuses</t>
  </si>
  <si>
    <t>x%</t>
  </si>
  <si>
    <t>on sales</t>
  </si>
  <si>
    <t>Marge sur Directs</t>
  </si>
  <si>
    <t>Frais de Siége Opérationnel</t>
  </si>
  <si>
    <t>EBITA %</t>
  </si>
  <si>
    <t xml:space="preserve">Amortissement </t>
  </si>
  <si>
    <t>1. EBITDA</t>
  </si>
  <si>
    <t>2. CAPEX</t>
  </si>
  <si>
    <t>CAPEX %</t>
  </si>
  <si>
    <t>Working capital</t>
  </si>
  <si>
    <t>Clients</t>
  </si>
  <si>
    <t>Autres Actifs Courant</t>
  </si>
  <si>
    <t>Sub-total current assets</t>
  </si>
  <si>
    <t>Fournisseurs (operating)</t>
  </si>
  <si>
    <t>Fournisseurs (capex)</t>
  </si>
  <si>
    <t>Tax &amp; employés</t>
  </si>
  <si>
    <t>Other current liabilities (créances douteuses)</t>
  </si>
  <si>
    <t>Sub-total current liabilities</t>
  </si>
  <si>
    <t>3. WORKING CAPITAL VARIANCE</t>
  </si>
  <si>
    <t>=&gt;FREE CASH FLOW (1+2+3)</t>
  </si>
  <si>
    <t>Free cash flow cumulated</t>
  </si>
  <si>
    <t>4. ROCE</t>
  </si>
  <si>
    <t>EBITA (a)</t>
  </si>
  <si>
    <t>CAPEX cumulated (net fixed assets)</t>
  </si>
  <si>
    <t>= Capital employed (b)</t>
  </si>
  <si>
    <t>ROCE (a) / (b)</t>
  </si>
  <si>
    <t>Situation</t>
  </si>
  <si>
    <t>Capital employed</t>
  </si>
  <si>
    <t>ROCE %</t>
  </si>
  <si>
    <t>B. Legouverneur</t>
  </si>
  <si>
    <t>100 K€ &lt; investissements &gt; 500 K€</t>
  </si>
  <si>
    <t>investissements &lt; 100 K€</t>
  </si>
  <si>
    <t>100 K€ &lt; Cession biens &gt; 500K€</t>
  </si>
  <si>
    <t>Cession biens &lt; 100K€</t>
  </si>
  <si>
    <t>100 K€ &lt; investments &gt; 500 K€</t>
  </si>
  <si>
    <t>investments &lt; 100 K€</t>
  </si>
  <si>
    <t>100 K€ &lt; Asset sales &gt; 500K€</t>
  </si>
  <si>
    <t>Asset sales &lt; 100K€</t>
  </si>
  <si>
    <t>In order to assess comprehensively and robustly the criticality of a project, project leaders should : 
- review the list of risks below ; 
- for each of them, assess the seriousness and the occuring probability (which leads to a criticality grade for the risk) ;
- use the spreadsheet and graphics of these risks in the investment memo (printscreen).</t>
  </si>
  <si>
    <t>MAIN RISKS OF THE PROJECT</t>
  </si>
  <si>
    <t xml:space="preserve">
Type of risk</t>
  </si>
  <si>
    <t xml:space="preserve"> Risks for the project</t>
  </si>
  <si>
    <t>Seriousness
(de 0 à 3)</t>
  </si>
  <si>
    <t>Probability of occuring (0 à 3)</t>
  </si>
  <si>
    <t xml:space="preserve">
Criticality</t>
  </si>
  <si>
    <t xml:space="preserve">
Target</t>
  </si>
  <si>
    <t>Preventive actions</t>
  </si>
  <si>
    <t>Corrective actions</t>
  </si>
  <si>
    <t>Notes</t>
  </si>
  <si>
    <t>Corporate correspondant</t>
  </si>
  <si>
    <t>ans</t>
  </si>
  <si>
    <t>K€/an</t>
  </si>
  <si>
    <t>A réaliser conjointement avec PII
Communiquer le projet de bail à PII</t>
  </si>
  <si>
    <t xml:space="preserve">Have to be realized with the purchase department of your subsidiary/business/department or PII </t>
  </si>
  <si>
    <t>&gt; à 100K€</t>
  </si>
  <si>
    <t>&gt;100 k€</t>
  </si>
  <si>
    <t>Renseigner les zones en vert</t>
  </si>
  <si>
    <t>Lead</t>
  </si>
  <si>
    <t>Financial and administration</t>
  </si>
  <si>
    <t xml:space="preserve">Renseigner les zones en vert
Vérifier que les investissements prévus sont reportés </t>
  </si>
  <si>
    <t xml:space="preserve">Complete green area
Pay attention to include investment </t>
  </si>
  <si>
    <t>&gt;100 K€</t>
  </si>
  <si>
    <t>if applicable</t>
  </si>
  <si>
    <t>tous excepté pour les sièges et investissement &lt;100k€</t>
  </si>
  <si>
    <t>All excepted if it's about a headquarter and investment &lt;100k€</t>
  </si>
  <si>
    <t xml:space="preserve">A réaliser conjointement avec le controleur financier de votre métier/ filiale/ direction
Le compte de résultat correspond à une activité, une agence, un client… </t>
  </si>
  <si>
    <t>To be realized with financial controler of your subsidiary, activity sector and direction. 
The P&amp;L is corresponding with a business, an agency, a customer…</t>
  </si>
  <si>
    <t>Engagement locatif ou investissement immobilier</t>
  </si>
  <si>
    <t>Création de filiale ou d'agence</t>
  </si>
  <si>
    <t>Option de financement</t>
  </si>
  <si>
    <t xml:space="preserve">Communication on the follow-up of the project, project steering, country risks, </t>
  </si>
  <si>
    <t>Legal</t>
  </si>
  <si>
    <t>Negative development of the regulation, approval, certificate or lack of autorisation, labor law, resources control</t>
  </si>
  <si>
    <t>IT System</t>
  </si>
  <si>
    <t>Project</t>
  </si>
  <si>
    <t>risk on delays, cost gap, dependence to other projects…</t>
  </si>
  <si>
    <t>Customer, commercial, service</t>
  </si>
  <si>
    <t xml:space="preserve">
Turnover uncertainty, customer requirement (deadline, …), mismatch between customers' expectations and the service offered, turnover lost</t>
  </si>
  <si>
    <t>Human resources</t>
  </si>
  <si>
    <t>lack of resources or skills, social risk</t>
  </si>
  <si>
    <t xml:space="preserve">
Foreign exchange risk, tax risk, cash management, non-respect of payment deadline</t>
  </si>
  <si>
    <t xml:space="preserve">
Local IT tool, corporate tool, specific tool…</t>
  </si>
  <si>
    <t>Operation</t>
  </si>
  <si>
    <t>network impact, synergies</t>
  </si>
  <si>
    <t>Provider, partner</t>
  </si>
  <si>
    <t>Litigation risk, risk of default, non-compliance of purchase terms, monopoly provider...</t>
  </si>
  <si>
    <t>Financing</t>
  </si>
  <si>
    <t xml:space="preserve">Self-financing, leasing, borrowings, capitalization...
</t>
  </si>
  <si>
    <t>Tax</t>
  </si>
  <si>
    <t>Tax risk</t>
  </si>
  <si>
    <t>customer contrat = real estate contract,  term of contract</t>
  </si>
  <si>
    <t xml:space="preserve">Les onglets rouges aident à la construction des NE, ils sont falcutaltifs </t>
  </si>
  <si>
    <t>De manière générale/ In general</t>
  </si>
  <si>
    <t>Green shift include datas to complete manually</t>
  </si>
  <si>
    <t>Blue shift are automatically completed</t>
  </si>
  <si>
    <t>Red shift help to the NE construction, they are facultated</t>
  </si>
  <si>
    <t>1ère étape / First step</t>
  </si>
  <si>
    <t xml:space="preserve">tous excepté pour les sièges </t>
  </si>
  <si>
    <t>All if it's about a headquarter</t>
  </si>
  <si>
    <t>Engagement locatif matériel ou investissement matériel d'exploitation</t>
  </si>
  <si>
    <t xml:space="preserve">Renseigner les zones en vert
Vérifier que tous les investissements prévus sont reportés </t>
  </si>
  <si>
    <t>Complete green area
Pay attention to include all investment</t>
  </si>
  <si>
    <t xml:space="preserve">Compléter les zones en vert
</t>
  </si>
  <si>
    <t xml:space="preserve">Complete green area
</t>
  </si>
  <si>
    <t>Pay attention : all financement have to be decided with Financing and Treasury Department according</t>
  </si>
  <si>
    <t>Sur l'onglet mode opératoire vous pouvez choisir la version anglaise ou française (case I1)</t>
  </si>
  <si>
    <t>On the "mode opératoire" shift you can choose french or english version (case I1)</t>
  </si>
  <si>
    <t>Attention tout financement doit être validé avec le département finances et trésorerie groupe</t>
  </si>
  <si>
    <t>Cash flow forecast</t>
  </si>
  <si>
    <t>Frais de siège opérationnel</t>
  </si>
  <si>
    <t>Frais de groupe</t>
  </si>
  <si>
    <t>Group headoffice costs</t>
  </si>
  <si>
    <t>PSA sales</t>
  </si>
  <si>
    <t>Non Group sales</t>
  </si>
  <si>
    <t>Gefco sales</t>
  </si>
  <si>
    <t>&gt; Attention, tout engagement financier doit être validé par le financement et la Trésorerie Groupe (siège Courbevoie)</t>
  </si>
  <si>
    <t>Complete green area</t>
  </si>
  <si>
    <t>impression</t>
  </si>
  <si>
    <t>Pour projeter mensuellement les sorties de cash</t>
  </si>
  <si>
    <t>To do a monthly projection of cash out</t>
  </si>
  <si>
    <t>si nécessaire</t>
  </si>
  <si>
    <t>if necessary</t>
  </si>
  <si>
    <t>v0</t>
  </si>
  <si>
    <t>Incluir acá los impuestos (I.BB, I.Ch y Seg e Higiene)</t>
  </si>
  <si>
    <t>Incluir acá los impuestos (I.BB e I.Ch)</t>
  </si>
  <si>
    <t>Ingresos brutos sobre margen comercial.</t>
  </si>
  <si>
    <t>Impuesto al cheque sobre facturación.</t>
  </si>
  <si>
    <t>DESCRIPCIÓN</t>
  </si>
  <si>
    <t>ALQUILER</t>
  </si>
  <si>
    <t>RESUMEN</t>
  </si>
  <si>
    <t>TOTAL MES</t>
  </si>
  <si>
    <t>TOTAL AÑO</t>
  </si>
  <si>
    <t>PERSONAL</t>
  </si>
  <si>
    <t>CONCEPTOS</t>
  </si>
  <si>
    <t>VALORES</t>
  </si>
  <si>
    <t>HORAS POR JORNADA</t>
  </si>
  <si>
    <t>DIAS LABORALES X MES</t>
  </si>
  <si>
    <t>HORAS POR MES</t>
  </si>
  <si>
    <t>MESES LABORABLES</t>
  </si>
  <si>
    <t>MESES MO</t>
  </si>
  <si>
    <t>SECTOR</t>
  </si>
  <si>
    <t>COSTO EMP.</t>
  </si>
  <si>
    <t xml:space="preserve">MES </t>
  </si>
  <si>
    <t>AÑO</t>
  </si>
  <si>
    <t>NIVEL ECONÓMICO</t>
  </si>
  <si>
    <t>SISTEMAS</t>
  </si>
  <si>
    <t>TOTAL MOI</t>
  </si>
  <si>
    <t>TIPO DE MÁQUINAS</t>
  </si>
  <si>
    <t>ALQUILER MES</t>
  </si>
  <si>
    <t xml:space="preserve">% </t>
  </si>
  <si>
    <t>COSTO MES</t>
  </si>
  <si>
    <t>COSTO AÑO</t>
  </si>
  <si>
    <t>OBSERVACIONES</t>
  </si>
  <si>
    <t>Inversiones</t>
  </si>
  <si>
    <t>GASTOS GENERALES</t>
  </si>
  <si>
    <t>CAFE - EXPENDEDORAS DE AGUA</t>
  </si>
  <si>
    <t>MISCELÁNEOS</t>
  </si>
  <si>
    <t>INVERSIÓN</t>
  </si>
  <si>
    <t>PLAZO AMORTIZACIÓN</t>
  </si>
  <si>
    <t>COSTO UNITARIO</t>
  </si>
  <si>
    <t>TOTAL INVERSIÓN</t>
  </si>
  <si>
    <t>xxxxxx</t>
  </si>
  <si>
    <t>COMENTARIOS</t>
  </si>
  <si>
    <t>Seleccionar la UO correspondiente</t>
  </si>
  <si>
    <t>Modificar el 1er año del Business Plan, de ser necesario. Esto impactará en todas las demás hojas</t>
  </si>
  <si>
    <t>Los gastos de siège operacionales se calculan automáticamente</t>
  </si>
  <si>
    <t>Los gastos de siège grupo se calculan automáticamente</t>
  </si>
  <si>
    <t>No olvidar de informar la equivalencia de tiempo completo.</t>
  </si>
  <si>
    <t>Año</t>
  </si>
  <si>
    <t>Montos invertidos</t>
  </si>
  <si>
    <t>Amortización</t>
  </si>
  <si>
    <t>Amortización anual</t>
  </si>
  <si>
    <t>Valor neto del capital inmobilizado</t>
  </si>
  <si>
    <t>MC</t>
  </si>
  <si>
    <t>ARS</t>
  </si>
  <si>
    <t>Frais de Redevance</t>
  </si>
  <si>
    <t>Argentine</t>
  </si>
  <si>
    <t>Croissance/Growth</t>
  </si>
  <si>
    <t>Fond propre</t>
  </si>
  <si>
    <t>Non</t>
  </si>
  <si>
    <t>Tarea</t>
  </si>
  <si>
    <t>Fecha I</t>
  </si>
  <si>
    <t>Dura</t>
  </si>
  <si>
    <t>Fecha F</t>
  </si>
  <si>
    <t>Rango Graph</t>
  </si>
  <si>
    <t>Cuadro de Resultados</t>
  </si>
  <si>
    <t>Transformuebles S.R.L.</t>
  </si>
  <si>
    <t>SB</t>
  </si>
  <si>
    <t>Año 1</t>
  </si>
  <si>
    <t>Año 2</t>
  </si>
  <si>
    <t>Año 3</t>
  </si>
  <si>
    <t>Año 4</t>
  </si>
  <si>
    <t>Año 5</t>
  </si>
  <si>
    <t>Ventas</t>
  </si>
  <si>
    <t>Total Ventas</t>
  </si>
  <si>
    <t>Total Compras</t>
  </si>
  <si>
    <t>Margen Comercial</t>
  </si>
  <si>
    <t>% sobre ventas</t>
  </si>
  <si>
    <t>Salarios y cargas sociales</t>
  </si>
  <si>
    <t>Reclutamiento</t>
  </si>
  <si>
    <t>Capacitación</t>
  </si>
  <si>
    <t>Viáticos</t>
  </si>
  <si>
    <t>Otros gastos de personal</t>
  </si>
  <si>
    <t>Gastos de Personal</t>
  </si>
  <si>
    <t>Otros costos operativos</t>
  </si>
  <si>
    <t>Otros gastos operativos</t>
  </si>
  <si>
    <t>Comisión por ventas</t>
  </si>
  <si>
    <t>Impuestos (IIBB, imp D/C)</t>
  </si>
  <si>
    <t>Otros gastos de estructura</t>
  </si>
  <si>
    <t>Gastos de estructura</t>
  </si>
  <si>
    <t>Costo de operación</t>
  </si>
  <si>
    <t>Margen sobre costos directos</t>
  </si>
  <si>
    <t>Personal</t>
  </si>
  <si>
    <t>Mercado Nacional</t>
  </si>
  <si>
    <t>Hipótesis de volumen no registrado</t>
  </si>
  <si>
    <t>Volumen total</t>
  </si>
  <si>
    <t>GBA</t>
  </si>
  <si>
    <t>Norte</t>
  </si>
  <si>
    <t>Oeste</t>
  </si>
  <si>
    <t>Sur</t>
  </si>
  <si>
    <t>Total GBA</t>
  </si>
  <si>
    <t>Mercado potencial</t>
  </si>
  <si>
    <t>Expectativa de venta</t>
  </si>
  <si>
    <t>6 meses</t>
  </si>
  <si>
    <t>12 meses</t>
  </si>
  <si>
    <t>18 meses</t>
  </si>
  <si>
    <t>24 meses</t>
  </si>
  <si>
    <t>30 meses</t>
  </si>
  <si>
    <t>36 meses</t>
  </si>
  <si>
    <t>Facturación esperada</t>
  </si>
  <si>
    <t>Market Share (% GBA)</t>
  </si>
  <si>
    <t>Enero</t>
  </si>
  <si>
    <t>Febrero</t>
  </si>
  <si>
    <t>Marzo</t>
  </si>
  <si>
    <t>Abril</t>
  </si>
  <si>
    <t>Mayo</t>
  </si>
  <si>
    <t>Junio</t>
  </si>
  <si>
    <t>Julio</t>
  </si>
  <si>
    <t>Agosto</t>
  </si>
  <si>
    <t>Septiembre</t>
  </si>
  <si>
    <t>Octubre</t>
  </si>
  <si>
    <t>Noviembre</t>
  </si>
  <si>
    <t>Diciembre</t>
  </si>
  <si>
    <t>Total anual</t>
  </si>
  <si>
    <t>Tipo de cambio</t>
  </si>
  <si>
    <t>DIRECTOR GENERAL</t>
  </si>
  <si>
    <t>DIRECTOR DE PRODUCTO Y OPERACIONES</t>
  </si>
  <si>
    <t>AÑO 1</t>
  </si>
  <si>
    <t>AÑO 2</t>
  </si>
  <si>
    <t>DISEÑADORA DE MODA (ACCESORIOS)</t>
  </si>
  <si>
    <t>DISEÑADORA DE MUEBLES E INTERIORES</t>
  </si>
  <si>
    <t>Estudio de Contabilidad</t>
  </si>
  <si>
    <t>Costo bancario</t>
  </si>
  <si>
    <t>Desarrollo de software</t>
  </si>
  <si>
    <t>Mantenimiento de software</t>
  </si>
  <si>
    <t>Sillas</t>
  </si>
  <si>
    <t>Mesa ratona</t>
  </si>
  <si>
    <t>Mesa comedor</t>
  </si>
  <si>
    <t>Escritorio</t>
  </si>
  <si>
    <t>Cajonera</t>
  </si>
  <si>
    <t>Mesas de luz</t>
  </si>
  <si>
    <t>Mueble grande living</t>
  </si>
  <si>
    <t>Casa tipo 1</t>
  </si>
  <si>
    <t>Casa tipo 2</t>
  </si>
  <si>
    <t>Casa tipo 3</t>
  </si>
  <si>
    <t>Sector maderero</t>
  </si>
  <si>
    <t>Materia prima e insumos directos</t>
  </si>
  <si>
    <t>Mano de obra directa</t>
  </si>
  <si>
    <t>Otros gastos de producción</t>
  </si>
  <si>
    <t>Comercialización y gastos de transporte</t>
  </si>
  <si>
    <t>Gastos de administración</t>
  </si>
  <si>
    <t>Otros gastos</t>
  </si>
  <si>
    <t>Estructura de costos (Anuario FAIMA)</t>
  </si>
  <si>
    <t>Dados A</t>
  </si>
  <si>
    <t>Dados B</t>
  </si>
  <si>
    <t>Tablon A</t>
  </si>
  <si>
    <t>Tablon B</t>
  </si>
  <si>
    <t>Tablon C</t>
  </si>
  <si>
    <t>Cajon</t>
  </si>
  <si>
    <t>Sillón</t>
  </si>
  <si>
    <t>Volumen unitario</t>
  </si>
  <si>
    <t>Insumos y MP</t>
  </si>
  <si>
    <t>Fuente: Sodimac (05/04/2015)</t>
  </si>
  <si>
    <t>Eucalipto</t>
  </si>
  <si>
    <t>Alto</t>
  </si>
  <si>
    <t>Ancho</t>
  </si>
  <si>
    <t>Largo</t>
  </si>
  <si>
    <t>Costo</t>
  </si>
  <si>
    <t>Costo por m3</t>
  </si>
  <si>
    <t>Madera</t>
  </si>
  <si>
    <t>Carpintería</t>
  </si>
  <si>
    <t>Madera para techos</t>
  </si>
  <si>
    <t>Pino Elliotis</t>
  </si>
  <si>
    <t>Cenefa de Pino</t>
  </si>
  <si>
    <t>Machimbre pino</t>
  </si>
  <si>
    <t>Fuente: Easy (05/04/2015)</t>
  </si>
  <si>
    <t>Madera Seca</t>
  </si>
  <si>
    <t>Pino Cepillado</t>
  </si>
  <si>
    <t>Cenefa de Pino Cedrella</t>
  </si>
  <si>
    <t>Categoría</t>
  </si>
  <si>
    <t>Dureza normal a la fibra</t>
  </si>
  <si>
    <t>kg/cm2</t>
  </si>
  <si>
    <t>Eucalipto (con 12° de humedad):</t>
  </si>
  <si>
    <t>Módulo de rotura por compresión axial</t>
  </si>
  <si>
    <t>Resistente a insectos</t>
  </si>
  <si>
    <t>Comportamiento normal al maquinado, pintado y clavado y con precaución al secado.</t>
  </si>
  <si>
    <t>Durable a la intemperie</t>
  </si>
  <si>
    <t>Usos: pisos, decks, muebles, durmientes, pérgolas, carrocerías</t>
  </si>
  <si>
    <t>Olor: ausente</t>
  </si>
  <si>
    <t>Vetado: suave</t>
  </si>
  <si>
    <t>Textura: fina</t>
  </si>
  <si>
    <t>Brillo: mediano</t>
  </si>
  <si>
    <t>La madera de pino es fácilmente transformable y procesable</t>
  </si>
  <si>
    <t>Se trata de una madera semi-pesada, poco nerviosa (fibra recta), semi-dura, la cual es apta para el chapado y cuyo mecanizado es fácil en todos los aspectos (cepillado, torneado, moldurado, taladrado, etc.). El encolado es apto, se puede clavar y atornillar con facilidad. Se combina sin dificultad con piezas metálicas de conexión. Además es una madera de color claro que ofrece posibilidad de pinturas para todos los gustos.</t>
  </si>
  <si>
    <t>La madera de pino ofrece buenos niveles de resistencia mecánica</t>
  </si>
  <si>
    <t>Densidad, dureza, contracción, flexión, elasticidad/flexibilidad son las características contempladas para elegir una madera. El pino no destaca en una de ellas pero, globalmente, es la madera que proporciona la mejor combinación.</t>
  </si>
  <si>
    <t>Propiedades físicas</t>
  </si>
  <si>
    <t>El pino es una madera suave con propiedades físicas que varían acorde al tipo de pino de que se trate. El pino Blanco Americano es suave y débil; sin embargo, el pino Amarillo del Sur, el pino Paraná y el pino Kauri son más duraderos y son maderas más fuertes. De acuerdo con Woodbin Woodworking, el pino Kauri es considerado una de las maderas blandas más fuertes del mundo. Hay dos principales tipos de cedros: el cedro Original y el cedro Sudamericano. El cedro Original se clasifica dentro de los maderas blandas con poca fuerza y peso promedio. El corazón es resistente a la putrefacción. El cedro Sudamericano, sin embargo, se clasifica dentro de las maderas duras de fuerza moderada y más resistencia a la putrefacción.</t>
  </si>
  <si>
    <t>Rebaba y descarte (supuesto en 10%)</t>
  </si>
  <si>
    <t>Volumen bruto</t>
  </si>
  <si>
    <t>Muebles</t>
  </si>
  <si>
    <t>Costeo productos</t>
  </si>
  <si>
    <t>Materia prima e insumos directos (49%)</t>
  </si>
  <si>
    <t>Costo total (100%)</t>
  </si>
  <si>
    <t>Ganancia proveedor (15%)</t>
  </si>
  <si>
    <t>Costo producto</t>
  </si>
  <si>
    <t>Contemplo el mayor de los costos encontrados en Sodimac para el pino Elliotis.</t>
  </si>
  <si>
    <t>Costeo equivalente muebles</t>
  </si>
  <si>
    <t>Costo variable</t>
  </si>
  <si>
    <t>Almohadones</t>
  </si>
  <si>
    <t>Precio venta</t>
  </si>
  <si>
    <t>Volumen</t>
  </si>
  <si>
    <t>Precio referencia</t>
  </si>
  <si>
    <t>Ahorro ofrecido</t>
  </si>
  <si>
    <t>Venta</t>
  </si>
  <si>
    <t>Mark-up:</t>
  </si>
  <si>
    <t>Almacenamiento</t>
  </si>
  <si>
    <t>IN</t>
  </si>
  <si>
    <t>OUT</t>
  </si>
  <si>
    <t>Distribución</t>
  </si>
  <si>
    <t>Volumen MP por hogar</t>
  </si>
  <si>
    <t>Pensamos empezar a comercializar los productos a través de internet, inmobiliarias, casa de muebles y de decoración.</t>
  </si>
  <si>
    <t>Empezaremos ofreciendo nuestros productos en dos casas de muebles de zona norte y una casa de decoración.</t>
  </si>
  <si>
    <t>En las inmobiliarias dejaríamos folletos de nuestros productos con el link de nuestro sitio web.</t>
  </si>
  <si>
    <t>El documento elaborado por el INTI indica que las empresas comercializadoras de Bs.As. logran hasta cuadruplicar el precio al que compran los muebles del interior, luego de realizar los procesos de acabado y terminación.</t>
  </si>
  <si>
    <t>PBI Argentina</t>
  </si>
  <si>
    <t>El Informe ProChile dice que hay un alto grado de informalidad y un bajo cumplimiento de las obligaciones impositivas, lo cual complica el recopilamiento de estadísticas confiables.</t>
  </si>
  <si>
    <t>Fuente: BM</t>
  </si>
  <si>
    <t>AFIP</t>
  </si>
  <si>
    <t>El Indec informa que el sector muebles conforma el 1,4% del valor bruto de la industria (promedio 2006-2011).</t>
  </si>
  <si>
    <t>El informe de Afip indica no contemplar personas físicas.</t>
  </si>
  <si>
    <t>Su impuesto suma 8 MM ARS y el del resto, 133 MM ARS.</t>
  </si>
  <si>
    <t>Por ende, si se incorporan al análisis, el mercado se agranda:</t>
  </si>
  <si>
    <t>Si contemplamos además el mercado informal podemos estimar que el mercado aumenta en total un 10%.</t>
  </si>
  <si>
    <t>Según FAIMA, las ventas de la industria maderera aumentaron un 29,32% en 2012 respecto de 2011.</t>
  </si>
  <si>
    <t>Según FAIMA, se esperaba que las ventas de la industria maderera aumenten un 16,622% en 2013 respecto de 2012.</t>
  </si>
  <si>
    <t>AFIP / BM</t>
  </si>
  <si>
    <t>Año fiscal</t>
  </si>
  <si>
    <t>Compras (producto terminado)</t>
  </si>
  <si>
    <t>Volumen equivalente</t>
  </si>
  <si>
    <t>Almacenamiento en depósito de un proveedor logístico. Se contemplan costos de mercado.</t>
  </si>
  <si>
    <t>Costo referencia</t>
  </si>
  <si>
    <t>Costo equivalente</t>
  </si>
  <si>
    <t>Contemplo stock en locales según el nivel de ventas previsto para el mes (sin costo) y costo de almacenamiento</t>
  </si>
  <si>
    <t>Contaríamos con un stock de mercadería almacenado para las ventas que se canalicen por medio de internet e inmobilarias.</t>
  </si>
  <si>
    <t>A partir de los 6 meses consideramos el alquiler de una oficina adminsitrativa en zona norte de aproximadamente 100m2.</t>
  </si>
  <si>
    <t>La oficina contaría con baño, cocina y tres ambientes. Los ambientes serían destinados a una oficina, una sala de reuniones y un ambiente principal adonde habría una recepción, un lugar de trabajo para las diseñadoras y un sector ambientado con algunos muebles en exhibición.</t>
  </si>
  <si>
    <t>Los muebles de oficina serían de nuestra propia fabricación.</t>
  </si>
  <si>
    <t>Evaluamos la posibilidad de contar con un local propio y exclusivo.</t>
  </si>
  <si>
    <t>El mismo debería contar con dos vendedores, seguridad por cámaras y seguro para el inventario.</t>
  </si>
  <si>
    <t>No contemplamos personal de seguridad.</t>
  </si>
  <si>
    <t>A las casas de muebles y de decoración venderíamos los productos en forma directa a precios descontados.</t>
  </si>
  <si>
    <t>Guardaríamos un stock equivalente a los siguientes dos meses de venta.</t>
  </si>
  <si>
    <t>En el esquema de venta de productos en locales ofreceríamos los productos con un 30% de descuento sobre el precio de lista a los locales que los comercialicen.</t>
  </si>
  <si>
    <t>Estimación de costos de local:</t>
  </si>
  <si>
    <t>Vendedores</t>
  </si>
  <si>
    <t>Alquiler</t>
  </si>
  <si>
    <t>Gastos</t>
  </si>
  <si>
    <t>Considerando 3 puntos de venta durante el primer año, 6 durante el segundo y 9 durante el tercero, la comisión por punto de venta en ningún caso superaría la tercera parte del costo de contar con un local propio.</t>
  </si>
  <si>
    <t>Por ende, entendemos que hasta que el negocio se desarrolle realmente no tiene sentido contar con un local propio.</t>
  </si>
  <si>
    <t>Total mensual</t>
  </si>
  <si>
    <t>Estimación de costos de oficina:</t>
  </si>
  <si>
    <t>Telefonía:</t>
  </si>
  <si>
    <t>Amueblamiento</t>
  </si>
  <si>
    <t>Equipamiento informático ($15.000), luces ($15.000), amoblamiento ($15.000), seguridad por cámaras ($25.000), material promocional ($60.000) (24 meses)</t>
  </si>
  <si>
    <t>Contemplo contar con oficinas propias a partir del segundo semestre de 2016.</t>
  </si>
  <si>
    <t>Costo logístico</t>
  </si>
  <si>
    <t>Costo almacenamiento</t>
  </si>
  <si>
    <t>Alquiler de oficina</t>
  </si>
  <si>
    <t>Para la distribución contemplo transporte en camionetas chicas debido al volumen.</t>
  </si>
  <si>
    <t>Contemplo 2 entregas mensuales por local y 3 locales por zona de comercialización.</t>
  </si>
  <si>
    <t>Contemplo para cada viaje un costo de $600 por viaje para medio día de utilización de las camionetas y que las mismas hacen entregas en hasta dos locales por recorrido.</t>
  </si>
  <si>
    <t>Costo distribución</t>
  </si>
  <si>
    <t>Desarrollo del sistema web:</t>
  </si>
  <si>
    <t>Monto equivalente en pesos:</t>
  </si>
  <si>
    <t>Amortización aplicación web</t>
  </si>
  <si>
    <t>Plazo de amortización:</t>
  </si>
  <si>
    <t>Amortización anual:</t>
  </si>
  <si>
    <t>Nombre del proyecto:</t>
  </si>
  <si>
    <t>Redactor:</t>
  </si>
  <si>
    <t>Versión:</t>
  </si>
  <si>
    <t>Determinación del volumen del mercado</t>
  </si>
  <si>
    <t>Determinación del objetivo de ventas</t>
  </si>
  <si>
    <t>Costeo de productos</t>
  </si>
  <si>
    <t>Costeo de materia prima</t>
  </si>
  <si>
    <t>Definición de dotación</t>
  </si>
  <si>
    <t>Costos de oficina</t>
  </si>
  <si>
    <t>Costos de almacenamiento</t>
  </si>
  <si>
    <t>Costos de distribución</t>
  </si>
  <si>
    <t>Costos de comercialización</t>
  </si>
  <si>
    <t>Costos de MKT</t>
  </si>
  <si>
    <t>Inversiones (etapas)</t>
  </si>
  <si>
    <t>Cashflow</t>
  </si>
  <si>
    <t>Análisis financiero</t>
  </si>
  <si>
    <t>Gastos generales</t>
  </si>
  <si>
    <t>Costo de la aplicación</t>
  </si>
  <si>
    <t>Costo de comercialización</t>
  </si>
  <si>
    <t>Estas ventas no cargarían con la comisión por ventas.</t>
  </si>
  <si>
    <t>El primer y segundo mes ($600 y $2100) sería de ventas a conocidos o allegados, en forma propia, por lo que no contemplamos comisión por venta para dichos meses.</t>
  </si>
  <si>
    <t>Según la encuesta las compras por internet alcanzarían al 13% de la demanda.</t>
  </si>
  <si>
    <t>Por ende, la comisión se aplica únicamente sobre el 87% del total.</t>
  </si>
  <si>
    <t>Costo promedio</t>
  </si>
  <si>
    <t>Venta promedio</t>
  </si>
  <si>
    <t>Contemplamos únicamente la posibilidad de pago en una cuota y en el acto.</t>
  </si>
  <si>
    <t>Consideramos entregas en cajas de cartón de dimensiones 0,5 x 0,4 x 0,4 con una ocupación volumétrica del 75% en promedio.</t>
  </si>
  <si>
    <t>Inflación 2005 a 2015:</t>
  </si>
  <si>
    <t>Precio de referencia cajas Avon 2004:</t>
  </si>
  <si>
    <t>Costo optimizado por volumen y producción propia.</t>
  </si>
  <si>
    <t>Costo actual estimado por embalaje:</t>
  </si>
  <si>
    <t>Considero un 30% más por no contar con dicha optimización.</t>
  </si>
  <si>
    <t>Costo de packaging</t>
  </si>
  <si>
    <t>Estimación de cantidad de embalajes</t>
  </si>
  <si>
    <t>Costo de embalajes</t>
  </si>
  <si>
    <t>Estructura de costos:</t>
  </si>
  <si>
    <t>Materia prima</t>
  </si>
  <si>
    <t>Packaging</t>
  </si>
  <si>
    <t>Comercialización</t>
  </si>
  <si>
    <t>Marketing</t>
  </si>
  <si>
    <t>Amortizaciones</t>
  </si>
  <si>
    <t>2018-2020</t>
  </si>
  <si>
    <t>Alquiler de oficinas</t>
  </si>
  <si>
    <t>Telefonía</t>
  </si>
  <si>
    <t>Muebles de oficina</t>
  </si>
  <si>
    <t>Amortizado en 60 meses</t>
  </si>
  <si>
    <t>Librería y toner de impresora</t>
  </si>
  <si>
    <t>Notebooks</t>
  </si>
  <si>
    <t>Impresora</t>
  </si>
  <si>
    <t>Artefactos de luz</t>
  </si>
  <si>
    <t>Señalética y cartelería oficinas</t>
  </si>
  <si>
    <t>Equipamiento informático ($50.000), luces ($15.000), material promocional ($60.000) (60 meses)</t>
  </si>
  <si>
    <t>Contemplo que el fabricante entrega directamente en el almacén adonde guardamos los productos.</t>
  </si>
  <si>
    <t>Liquidación de sueldos, emisión de documentación contable, etc.</t>
  </si>
  <si>
    <t>Gastos de mantenimiento de cuenta</t>
  </si>
  <si>
    <t>Modificaciones al sistema, actualización de contenidos, resolución de inconvenientes</t>
  </si>
  <si>
    <t>Provisión por gastos no ordinarios</t>
  </si>
  <si>
    <t>Costos de Marketing</t>
  </si>
  <si>
    <t>Actividades:</t>
  </si>
  <si>
    <t>Febrero 2016:</t>
  </si>
  <si>
    <t>inmobiliarias</t>
  </si>
  <si>
    <t>Abril 2016:</t>
  </si>
  <si>
    <t>rugby</t>
  </si>
  <si>
    <t>facebook</t>
  </si>
  <si>
    <t>Mayo 2016:</t>
  </si>
  <si>
    <t>plazas, eventos</t>
  </si>
  <si>
    <t>Septiembre 2016:</t>
  </si>
  <si>
    <t>Octubre 2016:</t>
  </si>
  <si>
    <t>Junio 2016:</t>
  </si>
  <si>
    <t>La idea es contratar una empresa que se dedique a eventos corporativos e institucionales y tercerizar la gestión para participar de eventos</t>
  </si>
  <si>
    <t>feria</t>
  </si>
  <si>
    <t>Presupuesto en MKT (4% de ventas)</t>
  </si>
  <si>
    <t>Actividades promocionales</t>
  </si>
  <si>
    <t>Enero de 2016</t>
  </si>
  <si>
    <t>Mayo de 2016</t>
  </si>
  <si>
    <t>Cobranzas</t>
  </si>
  <si>
    <t>Producción</t>
  </si>
  <si>
    <t>Inversión AF</t>
  </si>
  <si>
    <t>AÑO 3</t>
  </si>
  <si>
    <t>Ganancia acumulada</t>
  </si>
  <si>
    <t>Capital de trabajo</t>
  </si>
  <si>
    <t>Total 2016</t>
  </si>
  <si>
    <t>Total 2017</t>
  </si>
  <si>
    <t>Total 2018</t>
  </si>
  <si>
    <t>Total 2019</t>
  </si>
  <si>
    <t>Total 2020</t>
  </si>
  <si>
    <t>Mes</t>
  </si>
  <si>
    <r>
      <rPr>
        <b/>
        <sz val="10"/>
        <rFont val="Symbol"/>
        <family val="1"/>
        <charset val="2"/>
      </rPr>
      <t>D</t>
    </r>
    <r>
      <rPr>
        <b/>
        <sz val="10"/>
        <rFont val="Arial"/>
        <family val="2"/>
      </rPr>
      <t xml:space="preserve"> Capital de trabajo</t>
    </r>
  </si>
  <si>
    <t>Etapas de inversión</t>
  </si>
  <si>
    <t>Monto</t>
  </si>
  <si>
    <t>Redondeo</t>
  </si>
  <si>
    <t>Facturación</t>
  </si>
  <si>
    <t>Oficinas</t>
  </si>
  <si>
    <t>Aplicación web</t>
  </si>
  <si>
    <t>Duración</t>
  </si>
  <si>
    <t>Cálculos financieros</t>
  </si>
  <si>
    <t>Amortizaciones acumuladas</t>
  </si>
  <si>
    <t>Cuadro de resultados</t>
  </si>
  <si>
    <t>Compras</t>
  </si>
  <si>
    <t>Compras y comisiones</t>
  </si>
  <si>
    <t>Costo de personal</t>
  </si>
  <si>
    <t>Resultado operativo corriente</t>
  </si>
  <si>
    <t>% ROC / ventas</t>
  </si>
  <si>
    <t>Margen comercial</t>
  </si>
  <si>
    <t>Total de ventas</t>
  </si>
  <si>
    <t>Ref ROC industria :10%</t>
  </si>
  <si>
    <t>Resultado neto después de impuestos</t>
  </si>
  <si>
    <t>Impuesto a las ganancias</t>
  </si>
  <si>
    <t>% EBITDA / ventas</t>
  </si>
  <si>
    <t>% resultado después de impuestos y amortizaciones</t>
  </si>
  <si>
    <t>Necesidad de capital de trabajo</t>
  </si>
  <si>
    <t>IVA</t>
  </si>
  <si>
    <t>Plazo de pago (días)</t>
  </si>
  <si>
    <t>NCT operativo</t>
  </si>
  <si>
    <t>Proveedores</t>
  </si>
  <si>
    <t>Rentabilidad del capital empleado</t>
  </si>
  <si>
    <t>Anual</t>
  </si>
  <si>
    <t>Inmobilizaciones</t>
  </si>
  <si>
    <t>Capitales empleados</t>
  </si>
  <si>
    <t>Rotación de capitales (CE)</t>
  </si>
  <si>
    <t>Período de repago:</t>
  </si>
  <si>
    <t>Actualización a:</t>
  </si>
  <si>
    <t>Indicadores:</t>
  </si>
  <si>
    <t>TIR</t>
  </si>
  <si>
    <t>Total de egresos</t>
  </si>
  <si>
    <r>
      <t>Valor residual de amortizaciones</t>
    </r>
    <r>
      <rPr>
        <sz val="9"/>
        <rFont val="Arial"/>
        <family val="2"/>
      </rPr>
      <t xml:space="preserve"> (si cession d'activité)</t>
    </r>
  </si>
  <si>
    <t>Total ingresos</t>
  </si>
  <si>
    <t>Inversiones en activo fijo</t>
  </si>
  <si>
    <t>Variación de la necesidad de capital de trabajo</t>
  </si>
  <si>
    <t>Cálculo del VAN</t>
  </si>
  <si>
    <t>Rf:</t>
  </si>
  <si>
    <t>Beta:</t>
  </si>
  <si>
    <t>Betas:</t>
  </si>
  <si>
    <t>Haverty:</t>
  </si>
  <si>
    <t>Bassett</t>
  </si>
  <si>
    <t>Hooker</t>
  </si>
  <si>
    <t>B referencia:</t>
  </si>
  <si>
    <t>Inversión inicial de USD 200.000.</t>
  </si>
  <si>
    <t>Calendario de actividades</t>
  </si>
  <si>
    <t>Enero-Febrero</t>
  </si>
  <si>
    <t>Marzo-Abril</t>
  </si>
  <si>
    <t>Mayo-Junio</t>
  </si>
  <si>
    <t>Julio-Agosto</t>
  </si>
  <si>
    <t>Septiembre-Octubre</t>
  </si>
  <si>
    <t>Noviembre-Diciembre</t>
  </si>
  <si>
    <t>Zona</t>
  </si>
  <si>
    <t>Actividad</t>
  </si>
  <si>
    <t>Norte &amp; Oeste</t>
  </si>
  <si>
    <t>Presupuesto</t>
  </si>
  <si>
    <t>Oeste &amp; Sur</t>
  </si>
  <si>
    <t>Sur &amp; Norte</t>
  </si>
  <si>
    <t>Norte &amp; Oeste &amp; Sur</t>
  </si>
  <si>
    <t>Lugar</t>
  </si>
  <si>
    <t>Folletería</t>
  </si>
  <si>
    <t>Mueblerías</t>
  </si>
  <si>
    <t>Inmobiliarias</t>
  </si>
  <si>
    <t>Cartelería</t>
  </si>
  <si>
    <t>Folletos</t>
  </si>
  <si>
    <t>Cantidad</t>
  </si>
  <si>
    <t>Gasto</t>
  </si>
  <si>
    <t>Ambientación</t>
  </si>
  <si>
    <t>Banners</t>
  </si>
  <si>
    <t>Rugby</t>
  </si>
  <si>
    <t>Alumni, Regatas</t>
  </si>
  <si>
    <t>San Martín</t>
  </si>
  <si>
    <t>Publicidad online</t>
  </si>
  <si>
    <t>Revistas decoración</t>
  </si>
  <si>
    <t>Espacioliving.com</t>
  </si>
  <si>
    <t>Revistaohlala.com</t>
  </si>
  <si>
    <t>Interiores</t>
  </si>
  <si>
    <t>CASI</t>
  </si>
  <si>
    <t>Lomas, Newman</t>
  </si>
  <si>
    <t>La Plata, CUBA</t>
  </si>
  <si>
    <t>Champagnat</t>
  </si>
  <si>
    <t>Nuevo Estilo</t>
  </si>
  <si>
    <t>Facebook</t>
  </si>
  <si>
    <t>San Luis, Champagnat</t>
  </si>
  <si>
    <t>Fútbol</t>
  </si>
  <si>
    <t>Indumentaria fútbol</t>
  </si>
  <si>
    <t>Liga Intercountry</t>
  </si>
  <si>
    <t>Ferias de diseño</t>
  </si>
  <si>
    <t>Estilo Pilar y Expo Viviendas</t>
  </si>
  <si>
    <t>Shopping Norcenter</t>
  </si>
  <si>
    <t>Gantt</t>
  </si>
  <si>
    <t>Entrevista Ale Maletti</t>
  </si>
  <si>
    <t>mapa precio-diferenciación (dentro de la sección Oferta)</t>
  </si>
  <si>
    <t>otras herramientas de valuación (KSF; Cadena de Valor; Matriz Comparación Competitiva; etc) (dentro de la sección Oferta)</t>
  </si>
  <si>
    <t>Top – down demand analisys (dentro de Mercado)</t>
  </si>
  <si>
    <t>4P (Marketing)</t>
  </si>
  <si>
    <t>Ingresos Brutos</t>
  </si>
  <si>
    <t>Imp D/C</t>
  </si>
  <si>
    <t>Página 3 de Ley Tributaria 2013 código 5235 y 5154</t>
  </si>
  <si>
    <t>Rp Argentina:</t>
  </si>
  <si>
    <t>Rm</t>
  </si>
  <si>
    <t>R transformuebles:</t>
  </si>
  <si>
    <t>USD</t>
  </si>
  <si>
    <t>Rentabilidad:</t>
  </si>
  <si>
    <t>Impuestos</t>
  </si>
  <si>
    <t>Cap Trab. A hoy</t>
  </si>
  <si>
    <t>Interés</t>
  </si>
  <si>
    <t>Inversión acumulada</t>
  </si>
  <si>
    <t>Res.Neto dps de impuestos + Amortizaciones</t>
  </si>
  <si>
    <t>Fabricación de primeras muestras</t>
  </si>
  <si>
    <t>Contratación de desarrollo de aplicación web</t>
  </si>
  <si>
    <t>Relevamiento de operadores logísticos</t>
  </si>
  <si>
    <t>Diseño de material promocional</t>
  </si>
  <si>
    <t>Relevamiento de proveedores de marketing</t>
  </si>
  <si>
    <t>Desarrollo de material promocional</t>
  </si>
  <si>
    <t>Capacitación a mueblerías</t>
  </si>
  <si>
    <t>Promoción en inmobiliarias</t>
  </si>
  <si>
    <t>Promoción en neg. De ambientación</t>
  </si>
  <si>
    <t>Relevamiento de mueblerías zona Norte</t>
  </si>
  <si>
    <t>Desarrollo de sitio web</t>
  </si>
  <si>
    <t>Preparación del evento promocional de rugby</t>
  </si>
  <si>
    <t>Fabricación del primer lote de productos</t>
  </si>
  <si>
    <t>Relevamiento de proveedores de fabricación</t>
  </si>
  <si>
    <t>Relevamiento de oficinas administrativas</t>
  </si>
  <si>
    <t>Compra de equipamiento para oficina</t>
  </si>
  <si>
    <t>Promoción en revista online</t>
  </si>
  <si>
    <t>Relevamiento de mueblerías zona Oeste</t>
  </si>
  <si>
    <t>Promedio:</t>
  </si>
  <si>
    <t>Curva de demanda</t>
  </si>
  <si>
    <t>Rinde Máquinas Térmicas el 29/4.</t>
  </si>
  <si>
    <t>4) Curva de demanda</t>
  </si>
  <si>
    <t>5) Entrevista Ale Maletti</t>
  </si>
  <si>
    <t>Innovación &amp; Diseño</t>
  </si>
  <si>
    <t>Plazos de entrega</t>
  </si>
  <si>
    <t>Precios</t>
  </si>
  <si>
    <t>Calidad de materiales</t>
  </si>
  <si>
    <t>Variedad</t>
  </si>
  <si>
    <t>Flexibilidad</t>
  </si>
  <si>
    <t>Buena terminación</t>
  </si>
  <si>
    <t>Si bien ofrecemos flexibilidad en cuanto a usos, no ofrecemos diversidad de maderas. En un principio trabajaríamos sólo con pino.</t>
  </si>
  <si>
    <t>Participaremos a los clientes mismos del diseño a través de nuestra web y sugerir productos nuevos.</t>
  </si>
  <si>
    <t>Los precios alcanzables con nuestros productos son muy competitivos respecto de valores de mercado. Es acorde a lo que podría esperar el público. Sin embargo, debe verificarse que las mueblerías acepten trabajar con un 30% de margen.</t>
  </si>
  <si>
    <t>Ofrecemos la posibilidad de comprar sólo partes y poder así modificar un mueble existente sin tener que comprar uno nuevo. Lo mismo sucede con los accesorios que comercializaremos.</t>
  </si>
  <si>
    <t>Al trabajar con dos meses de stock, poca cantidad de referencias y pocos puntos de venta, consideramos que los plazos de entrega serán casi inmediatos.</t>
  </si>
  <si>
    <t>Nuestra solución tiene limitaciones para el diseño pero deberemos buscarle la vuelta para que el producto ofrecido no sea tan básico.</t>
  </si>
  <si>
    <t>No trabajaremos con aglomerado sino con madera maciza. La ventaja de sólo tener que recambiar una parte del mueble cuando se estropea no tiene que verse compensada con una corta vida útil por defectos de material.</t>
  </si>
  <si>
    <t>La terminación en un mueble es muy importante para el tipo de clientes al que apuntamos. Es un punto que no podemos descuidar y en el que haremos hincapié.</t>
  </si>
  <si>
    <t>24 partidos del Gran Buenos Aires</t>
  </si>
  <si>
    <t>Almirante Brown</t>
  </si>
  <si>
    <t>Avellaneda</t>
  </si>
  <si>
    <t>Berazategui</t>
  </si>
  <si>
    <t>Esteban Echeverría</t>
  </si>
  <si>
    <t>Ezeiza</t>
  </si>
  <si>
    <t>Florencio Varela</t>
  </si>
  <si>
    <t>General San Martín</t>
  </si>
  <si>
    <t xml:space="preserve">Hurlingham </t>
  </si>
  <si>
    <t>Ituzaingó</t>
  </si>
  <si>
    <t>José C. Paz</t>
  </si>
  <si>
    <t>La Matanza</t>
  </si>
  <si>
    <t>Lanús</t>
  </si>
  <si>
    <t>Lomas de Zamora</t>
  </si>
  <si>
    <t>Malvinas Argentinas</t>
  </si>
  <si>
    <t>Merlo</t>
  </si>
  <si>
    <t>Moreno</t>
  </si>
  <si>
    <t>Morón</t>
  </si>
  <si>
    <t>Quilmes</t>
  </si>
  <si>
    <t>San Fernando</t>
  </si>
  <si>
    <t>San Isidro</t>
  </si>
  <si>
    <t>San Miguel</t>
  </si>
  <si>
    <t>Tigre</t>
  </si>
  <si>
    <t>Tres de Febrero</t>
  </si>
  <si>
    <t>Vicente López</t>
  </si>
  <si>
    <t>Partido</t>
  </si>
  <si>
    <t>Total de viviendas</t>
  </si>
  <si>
    <t>Total de población</t>
  </si>
  <si>
    <t>Varones</t>
  </si>
  <si>
    <t>Mujeres</t>
  </si>
  <si>
    <t>Índice de masculinidad</t>
  </si>
  <si>
    <t>Zona Sur</t>
  </si>
  <si>
    <t>Zona Norte</t>
  </si>
  <si>
    <t>Zona Oeste</t>
  </si>
  <si>
    <t>Viviendas</t>
  </si>
  <si>
    <t>Intención de compra</t>
  </si>
  <si>
    <t>Respuesta</t>
  </si>
  <si>
    <t>Prueba ácida</t>
  </si>
  <si>
    <t>Consultora W (total Argentina):</t>
  </si>
  <si>
    <t>Sí</t>
  </si>
  <si>
    <t>Expectativa</t>
  </si>
  <si>
    <t>Algunos</t>
  </si>
  <si>
    <t>Quizás</t>
  </si>
  <si>
    <t>Tipo lego</t>
  </si>
  <si>
    <t>Valor</t>
  </si>
  <si>
    <t>Valor asignado</t>
  </si>
  <si>
    <t>Con diseño</t>
  </si>
  <si>
    <t>Valor considerado</t>
  </si>
  <si>
    <t>Supongo que la gente que tiene como prioridad el diseño (53%) no compraría el producto</t>
  </si>
  <si>
    <t>Descuento a los que priorizan el diseño antes que el precio 19%)</t>
  </si>
  <si>
    <t>C2 (11,5%)</t>
  </si>
  <si>
    <t>Elimino a los que priorizan el precio antes que el espacio (15%)</t>
  </si>
  <si>
    <t>¿Aceptaría la propuesta?</t>
  </si>
  <si>
    <t>Censo 2010</t>
  </si>
  <si>
    <t>Matriz de comparación competitiva</t>
  </si>
  <si>
    <t>Factor diferencial</t>
  </si>
  <si>
    <t>Precio</t>
  </si>
  <si>
    <t>Tiempo de entrega</t>
  </si>
  <si>
    <t>Calidad de producto</t>
  </si>
  <si>
    <t>Diseño</t>
  </si>
  <si>
    <t>Puntuación total</t>
  </si>
  <si>
    <t>Peso del factor</t>
  </si>
  <si>
    <t>Experiencia de compra</t>
  </si>
  <si>
    <t>Espacio</t>
  </si>
  <si>
    <t>Adaptabilidad del producto</t>
  </si>
  <si>
    <t>Casa de diseño</t>
  </si>
  <si>
    <t>Valuación de factores de 1 a 5.</t>
  </si>
  <si>
    <t>Mueblería</t>
  </si>
  <si>
    <t>Carpintero</t>
  </si>
  <si>
    <t>Transformuebles</t>
  </si>
  <si>
    <t>Remate</t>
  </si>
  <si>
    <t>Supermercado</t>
  </si>
  <si>
    <t>Silla</t>
  </si>
  <si>
    <t>Encuestado</t>
  </si>
  <si>
    <t>Opciones</t>
  </si>
  <si>
    <t>&lt;$600</t>
  </si>
  <si>
    <t>600-900</t>
  </si>
  <si>
    <t>900-1200</t>
  </si>
  <si>
    <t>1200-1500</t>
  </si>
  <si>
    <t>&lt;$4000</t>
  </si>
  <si>
    <t>4000-7000</t>
  </si>
  <si>
    <t>7000-10000</t>
  </si>
  <si>
    <t>10000-13000</t>
  </si>
  <si>
    <t>&lt;$2500</t>
  </si>
  <si>
    <t>2500-4000</t>
  </si>
  <si>
    <t>4000-6000</t>
  </si>
  <si>
    <t>6000-9000</t>
  </si>
  <si>
    <t>&lt;$1500</t>
  </si>
  <si>
    <t>1500-3000</t>
  </si>
  <si>
    <t>3000-5000</t>
  </si>
  <si>
    <t>5000-7500</t>
  </si>
  <si>
    <t>Mechi</t>
  </si>
  <si>
    <t>Tati</t>
  </si>
  <si>
    <t>Atito</t>
  </si>
  <si>
    <t>Yo</t>
  </si>
  <si>
    <t>&gt;$1500</t>
  </si>
  <si>
    <t>&gt;$13000</t>
  </si>
  <si>
    <t>&gt;$9000</t>
  </si>
  <si>
    <t>&gt;$7500</t>
  </si>
  <si>
    <t>Lolo</t>
  </si>
  <si>
    <t>Max</t>
  </si>
  <si>
    <t>Fio</t>
  </si>
  <si>
    <t>Gaby</t>
  </si>
  <si>
    <t>Marce</t>
  </si>
  <si>
    <t>Andrés</t>
  </si>
  <si>
    <t>Curva de demanda (silla)</t>
  </si>
  <si>
    <t>Curva de demanda (sillón)</t>
  </si>
  <si>
    <t>Curva de demanda (mesa de comedor)</t>
  </si>
  <si>
    <t>Curva de demanda (mesa ratona)</t>
  </si>
  <si>
    <t>Volumen de madera</t>
  </si>
  <si>
    <t>Precio por m3 de madera:</t>
  </si>
  <si>
    <t>Cantidad de mesas con 4 sillas diarias equivalente (20 días/mes)</t>
  </si>
  <si>
    <t>Locales de venta</t>
  </si>
</sst>
</file>

<file path=xl/styles.xml><?xml version="1.0" encoding="utf-8"?>
<styleSheet xmlns="http://schemas.openxmlformats.org/spreadsheetml/2006/main">
  <numFmts count="104">
    <numFmt numFmtId="41" formatCode="_ * #,##0_ ;_ * \-#,##0_ ;_ * &quot;-&quot;_ ;_ @_ "/>
    <numFmt numFmtId="44" formatCode="_ &quot;$&quot;\ * #,##0.00_ ;_ &quot;$&quot;\ * \-#,##0.00_ ;_ &quot;$&quot;\ * &quot;-&quot;??_ ;_ @_ "/>
    <numFmt numFmtId="43" formatCode="_ * #,##0.00_ ;_ * \-#,##0.00_ ;_ * &quot;-&quot;??_ ;_ @_ "/>
    <numFmt numFmtId="164" formatCode="_-* #,##0.00\ &quot;€&quot;_-;\-* #,##0.00\ &quot;€&quot;_-;_-* &quot;-&quot;??\ &quot;€&quot;_-;_-@_-"/>
    <numFmt numFmtId="165" formatCode="_-* #,##0.00\ _F_-;\-* #,##0.00\ _F_-;_-* &quot;-&quot;??\ _F_-;_-@_-"/>
    <numFmt numFmtId="166" formatCode="General\ &quot;m²&quot;"/>
    <numFmt numFmtId="167" formatCode="_-* #,##0\ _F_-;\-* #,##0\ _F_-;_-* &quot;-&quot;??\ _F_-;_-@_-"/>
    <numFmt numFmtId="168" formatCode="mmmm\-yy"/>
    <numFmt numFmtId="169" formatCode="#,##0.0"/>
    <numFmt numFmtId="170" formatCode="0.0"/>
    <numFmt numFmtId="171" formatCode="dd\-mmm\-yy_)"/>
    <numFmt numFmtId="172" formatCode="0.0%"/>
    <numFmt numFmtId="173" formatCode="#,##0;\-#,##0;;"/>
    <numFmt numFmtId="174" formatCode="_-* #,##0.0\ _F_-;\-* #,##0.0\ _F_-;_-* &quot;-&quot;??\ _F_-;_-@_-"/>
    <numFmt numFmtId="175" formatCode="0.000_ ;[Red]\-0.000\ "/>
    <numFmt numFmtId="176" formatCode="_-* #,##0\ &quot;DM&quot;_-;\-* #,##0\ &quot;DM&quot;_-;_-* &quot;-&quot;\ &quot;DM&quot;_-;_-@_-"/>
    <numFmt numFmtId="177" formatCode="_-* #,##0.00\ &quot;DM&quot;_-;\-* #,##0.00\ &quot;DM&quot;_-;_-* &quot;-&quot;??\ &quot;DM&quot;_-;_-@_-"/>
    <numFmt numFmtId="178" formatCode="#,##0.00\ &quot;€&quot;"/>
    <numFmt numFmtId="179" formatCode="#,##0_ ;[Red]\-#,##0\ "/>
    <numFmt numFmtId="180" formatCode="&quot;Fin Année&quot;\ #0"/>
    <numFmt numFmtId="181" formatCode="_(* #,##0_);_(* \(#,##0\);_(* &quot;-&quot;_);_(@"/>
    <numFmt numFmtId="182" formatCode="#,##0.00_ ;[Red]\-#,##0.00\ "/>
    <numFmt numFmtId="183" formatCode="#,##0.000"/>
    <numFmt numFmtId="184" formatCode="#,##0&quot; ans&quot;"/>
    <numFmt numFmtId="185" formatCode="#,##0\ &quot;ARS/MES&quot;"/>
    <numFmt numFmtId="186" formatCode="#,##0\ &quot;ARS/AÑO&quot;"/>
    <numFmt numFmtId="187" formatCode="#,##0\ &quot;hs/día&quot;"/>
    <numFmt numFmtId="188" formatCode="#,##0\ &quot;hs/mes&quot;"/>
    <numFmt numFmtId="189" formatCode="#,000\ &quot;ARS/MES&quot;"/>
    <numFmt numFmtId="190" formatCode="#,###,000\ &quot;ARS/AÑO&quot;"/>
    <numFmt numFmtId="191" formatCode="[$$-2C0A]\ #,##0"/>
    <numFmt numFmtId="192" formatCode="#,##0\ &quot;MESES&quot;"/>
    <numFmt numFmtId="193" formatCode="#,##0\ &quot;ARS&quot;"/>
    <numFmt numFmtId="194" formatCode="#,##0.00_ ;[Red]\-#,##0.00;\-"/>
    <numFmt numFmtId="195" formatCode="0&quot;ans&quot;"/>
    <numFmt numFmtId="196" formatCode="0.00&quot;cmh&quot;"/>
    <numFmt numFmtId="197" formatCode="0&quot; col&quot;"/>
    <numFmt numFmtId="198" formatCode="0&quot;col/h&quot;"/>
    <numFmt numFmtId="199" formatCode="0&quot; dmh&quot;"/>
    <numFmt numFmtId="200" formatCode="0.0&quot; F&quot;"/>
    <numFmt numFmtId="201" formatCode="0&quot;g&quot;"/>
    <numFmt numFmtId="202" formatCode="0.0&quot; h&quot;"/>
    <numFmt numFmtId="203" formatCode="0&quot;h/j&quot;"/>
    <numFmt numFmtId="204" formatCode="0&quot;j&quot;"/>
    <numFmt numFmtId="205" formatCode="0&quot; k€&quot;"/>
    <numFmt numFmtId="206" formatCode="0&quot; kf&quot;"/>
    <numFmt numFmtId="207" formatCode="0&quot;kg&quot;"/>
    <numFmt numFmtId="208" formatCode="0&quot;km&quot;"/>
    <numFmt numFmtId="209" formatCode="0&quot;l&quot;"/>
    <numFmt numFmtId="210" formatCode="0&quot; lig&quot;"/>
    <numFmt numFmtId="211" formatCode="0.0&quot;m&quot;"/>
    <numFmt numFmtId="212" formatCode="0.0&quot; m/s&quot;"/>
    <numFmt numFmtId="213" formatCode="0.0&quot;m²&quot;"/>
    <numFmt numFmtId="214" formatCode="0&quot;m3&quot;"/>
    <numFmt numFmtId="215" formatCode="0&quot;mf&quot;"/>
    <numFmt numFmtId="216" formatCode="_-* #,##0.00\ _€_-;\-* #,##0.00\ _€_-;_-* &quot;-&quot;??\ _€_-;_-@_-"/>
    <numFmt numFmtId="217" formatCode="0&quot;min&quot;"/>
    <numFmt numFmtId="218" formatCode="0.0&quot;mm&quot;"/>
    <numFmt numFmtId="219" formatCode="_(&quot;Cr$&quot;* #,##0_);_(&quot;Cr$&quot;* \(#,##0\);_(&quot;Cr$&quot;* &quot;-&quot;_);_(@_)"/>
    <numFmt numFmtId="220" formatCode="_(&quot;Cr$&quot;* #,##0.00_);_(&quot;Cr$&quot;* \(#,##0.00\);_(&quot;Cr$&quot;* &quot;-&quot;??_);_(@_)"/>
    <numFmt numFmtId="221" formatCode="0.00_)"/>
    <numFmt numFmtId="222" formatCode="0&quot; op&quot;"/>
    <numFmt numFmtId="223" formatCode="0&quot; p&quot;"/>
    <numFmt numFmtId="224" formatCode="0&quot;pal&quot;"/>
    <numFmt numFmtId="225" formatCode="0&quot;pal/j&quot;"/>
    <numFmt numFmtId="226" formatCode="0%_);\(0%\)"/>
    <numFmt numFmtId="227" formatCode="#,##0&quot; p&quot;"/>
    <numFmt numFmtId="228" formatCode="#,##0.0\ [$Pts-C0A]"/>
    <numFmt numFmtId="229" formatCode="0&quot;s&quot;"/>
    <numFmt numFmtId="230" formatCode="_(&quot;R$&quot;\ * #,##0.00_);_(&quot;R$&quot;\ * \(#,##0.00\);_(&quot;R$&quot;\ * &quot;-&quot;??_);_(@_)"/>
    <numFmt numFmtId="231" formatCode="&quot;Cr$&quot;\ #,##0_);[Red]\(&quot;Cr$&quot;\ #,##0\)"/>
    <numFmt numFmtId="232" formatCode="#,##0&quot; USD/año&quot;"/>
    <numFmt numFmtId="233" formatCode="#,##0&quot; USD/mes&quot;"/>
    <numFmt numFmtId="234" formatCode="#,##0&quot; KARS/mes&quot;"/>
    <numFmt numFmtId="235" formatCode="#,##0.0&quot; KUSD&quot;"/>
    <numFmt numFmtId="236" formatCode="#,##0.00&quot; KUSD&quot;"/>
    <numFmt numFmtId="237" formatCode="0.000%"/>
    <numFmt numFmtId="238" formatCode="#,##0.00&quot; ARS/USD&quot;"/>
    <numFmt numFmtId="239" formatCode="#,##0.0&quot; KARS&quot;"/>
    <numFmt numFmtId="240" formatCode="#,##0.0000&quot; m3/un.&quot;"/>
    <numFmt numFmtId="241" formatCode="#,##0.00&quot; m&quot;"/>
    <numFmt numFmtId="242" formatCode="#,##0.0000&quot; m&quot;"/>
    <numFmt numFmtId="243" formatCode="#,##0.000&quot; m3&quot;"/>
    <numFmt numFmtId="244" formatCode="_ &quot;$&quot;\ * #,##0_ ;_ &quot;$&quot;\ * \-#,##0_ ;_ &quot;$&quot;\ * &quot;-&quot;??_ ;_ @_ "/>
    <numFmt numFmtId="245" formatCode="#,##0.00&quot; $/un.&quot;"/>
    <numFmt numFmtId="246" formatCode="#,##0&quot; $/un.&quot;"/>
    <numFmt numFmtId="247" formatCode="#,##0.00&quot; m3&quot;"/>
    <numFmt numFmtId="248" formatCode="_ &quot;$&quot;\ * #,##0.00000_ ;_ &quot;$&quot;\ * \-#,##0.00000_ ;_ &quot;$&quot;\ * &quot;-&quot;??_ ;_ @_ "/>
    <numFmt numFmtId="249" formatCode="#,##0.000&quot; m3/KARS&quot;"/>
    <numFmt numFmtId="250" formatCode="#,##0.00&quot; ARS/m2/día&quot;"/>
    <numFmt numFmtId="251" formatCode="#,##0&quot; ARS/pallet&quot;"/>
    <numFmt numFmtId="252" formatCode="#,##0.0000&quot; m3&quot;"/>
    <numFmt numFmtId="253" formatCode="#,##0&quot; MM USD&quot;"/>
    <numFmt numFmtId="254" formatCode="#,##0&quot; MM ARS&quot;"/>
    <numFmt numFmtId="255" formatCode="#,##0.0&quot; m3&quot;"/>
    <numFmt numFmtId="256" formatCode="#,##0.00&quot; ARS/m3/mes&quot;"/>
    <numFmt numFmtId="257" formatCode="#,##0.00&quot; ARS/m3&quot;"/>
    <numFmt numFmtId="258" formatCode="#,##0&quot; ARS&quot;"/>
    <numFmt numFmtId="259" formatCode="#,##0&quot; USD&quot;"/>
    <numFmt numFmtId="260" formatCode="#,##0&quot; años&quot;"/>
    <numFmt numFmtId="261" formatCode="#,##0_ ;\-#,##0\ "/>
    <numFmt numFmtId="262" formatCode="#,##0&quot; KARS&quot;"/>
    <numFmt numFmtId="263" formatCode="_ * #,##0_ ;_ * \-#,##0_ ;_ * &quot;-&quot;??_ ;_ @_ "/>
    <numFmt numFmtId="264" formatCode="#,##0.00&quot; USD/m3&quot;"/>
  </numFmts>
  <fonts count="3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9"/>
      <name val="Microsoft Sans Serif"/>
      <family val="2"/>
    </font>
    <font>
      <b/>
      <sz val="10"/>
      <name val="Arial"/>
      <family val="2"/>
    </font>
    <font>
      <sz val="12"/>
      <name val="Arial"/>
      <family val="2"/>
    </font>
    <font>
      <b/>
      <sz val="12"/>
      <color indexed="62"/>
      <name val="Arial"/>
      <family val="2"/>
    </font>
    <font>
      <b/>
      <sz val="14"/>
      <color indexed="9"/>
      <name val="Arial"/>
      <family val="2"/>
    </font>
    <font>
      <b/>
      <sz val="12"/>
      <color indexed="9"/>
      <name val="Arial"/>
      <family val="2"/>
    </font>
    <font>
      <sz val="10"/>
      <color indexed="8"/>
      <name val="Arial"/>
      <family val="2"/>
    </font>
    <font>
      <b/>
      <sz val="10"/>
      <color indexed="62"/>
      <name val="Arial"/>
      <family val="2"/>
    </font>
    <font>
      <i/>
      <sz val="10"/>
      <color indexed="62"/>
      <name val="Arial"/>
      <family val="2"/>
    </font>
    <font>
      <sz val="10"/>
      <name val="Arial"/>
      <family val="2"/>
    </font>
    <font>
      <i/>
      <sz val="10"/>
      <name val="Arial"/>
      <family val="2"/>
    </font>
    <font>
      <i/>
      <sz val="12"/>
      <name val="Arial"/>
      <family val="2"/>
    </font>
    <font>
      <i/>
      <sz val="10"/>
      <color indexed="8"/>
      <name val="Arial"/>
      <family val="2"/>
    </font>
    <font>
      <b/>
      <i/>
      <sz val="16"/>
      <name val="Arial"/>
      <family val="2"/>
    </font>
    <font>
      <b/>
      <i/>
      <sz val="12"/>
      <color indexed="61"/>
      <name val="Arial"/>
      <family val="2"/>
    </font>
    <font>
      <sz val="10"/>
      <color indexed="62"/>
      <name val="Arial"/>
      <family val="2"/>
    </font>
    <font>
      <b/>
      <sz val="9"/>
      <color indexed="9"/>
      <name val="Microsoft Sans Serif"/>
      <family val="2"/>
    </font>
    <font>
      <sz val="12"/>
      <color indexed="62"/>
      <name val="Arial"/>
      <family val="2"/>
    </font>
    <font>
      <sz val="10"/>
      <color indexed="62"/>
      <name val="Arial"/>
      <family val="2"/>
    </font>
    <font>
      <b/>
      <sz val="9"/>
      <color indexed="62"/>
      <name val="Microsoft Sans Serif"/>
      <family val="2"/>
    </font>
    <font>
      <b/>
      <sz val="11"/>
      <color indexed="62"/>
      <name val="Arial"/>
      <family val="2"/>
    </font>
    <font>
      <b/>
      <sz val="10"/>
      <color indexed="9"/>
      <name val="Microsoft Sans Serif"/>
      <family val="2"/>
    </font>
    <font>
      <b/>
      <sz val="10"/>
      <name val="Microsoft Sans Serif"/>
      <family val="2"/>
    </font>
    <font>
      <sz val="10"/>
      <name val="Arial"/>
      <family val="2"/>
    </font>
    <font>
      <u/>
      <sz val="10"/>
      <color indexed="62"/>
      <name val="Arial"/>
      <family val="2"/>
    </font>
    <font>
      <b/>
      <sz val="10"/>
      <color indexed="9"/>
      <name val="Arial"/>
      <family val="2"/>
    </font>
    <font>
      <b/>
      <sz val="10"/>
      <color indexed="8"/>
      <name val="Arial"/>
      <family val="2"/>
    </font>
    <font>
      <b/>
      <i/>
      <sz val="10"/>
      <color indexed="8"/>
      <name val="Arial"/>
      <family val="2"/>
    </font>
    <font>
      <b/>
      <u/>
      <sz val="11"/>
      <color indexed="8"/>
      <name val="Arial"/>
      <family val="2"/>
    </font>
    <font>
      <sz val="10"/>
      <name val="Arial Narrow"/>
      <family val="2"/>
    </font>
    <font>
      <b/>
      <sz val="10"/>
      <name val="Arial Narrow"/>
      <family val="2"/>
    </font>
    <font>
      <i/>
      <sz val="10"/>
      <name val="Arial Narrow"/>
      <family val="2"/>
    </font>
    <font>
      <b/>
      <sz val="12"/>
      <name val="Arial Narrow"/>
      <family val="2"/>
    </font>
    <font>
      <b/>
      <i/>
      <sz val="10"/>
      <color indexed="8"/>
      <name val="Arial Narrow"/>
      <family val="2"/>
    </font>
    <font>
      <b/>
      <sz val="10"/>
      <color indexed="8"/>
      <name val="Arial Narrow"/>
      <family val="2"/>
    </font>
    <font>
      <sz val="10"/>
      <color indexed="8"/>
      <name val="Arial Narrow"/>
      <family val="2"/>
    </font>
    <font>
      <sz val="8"/>
      <color indexed="8"/>
      <name val="Arial Narrow"/>
      <family val="2"/>
    </font>
    <font>
      <sz val="10"/>
      <color indexed="62"/>
      <name val="Arial Narrow"/>
      <family val="2"/>
    </font>
    <font>
      <b/>
      <sz val="9"/>
      <color indexed="62"/>
      <name val="Arial Narrow"/>
      <family val="2"/>
    </font>
    <font>
      <b/>
      <sz val="10"/>
      <color indexed="62"/>
      <name val="Arial Narrow"/>
      <family val="2"/>
    </font>
    <font>
      <b/>
      <sz val="12"/>
      <color indexed="62"/>
      <name val="Arial Narrow"/>
      <family val="2"/>
    </font>
    <font>
      <i/>
      <sz val="10"/>
      <color indexed="62"/>
      <name val="Arial Narrow"/>
      <family val="2"/>
    </font>
    <font>
      <b/>
      <sz val="18"/>
      <name val="Arial Narrow"/>
      <family val="2"/>
    </font>
    <font>
      <b/>
      <i/>
      <sz val="10"/>
      <color indexed="62"/>
      <name val="Arial Narrow"/>
      <family val="2"/>
    </font>
    <font>
      <b/>
      <sz val="10"/>
      <color indexed="9"/>
      <name val="Arial Narrow"/>
      <family val="2"/>
    </font>
    <font>
      <sz val="12"/>
      <color indexed="62"/>
      <name val="Arial Narrow"/>
      <family val="2"/>
    </font>
    <font>
      <b/>
      <sz val="20"/>
      <name val="Arial Narrow"/>
      <family val="2"/>
    </font>
    <font>
      <b/>
      <sz val="12"/>
      <color indexed="9"/>
      <name val="Arial Narrow"/>
      <family val="2"/>
    </font>
    <font>
      <sz val="12"/>
      <color indexed="8"/>
      <name val="Arial Narrow"/>
      <family val="2"/>
    </font>
    <font>
      <i/>
      <sz val="9"/>
      <color indexed="62"/>
      <name val="Arial Narrow"/>
      <family val="2"/>
    </font>
    <font>
      <sz val="12"/>
      <name val="Arial Narrow"/>
      <family val="2"/>
    </font>
    <font>
      <i/>
      <u/>
      <sz val="10"/>
      <color indexed="8"/>
      <name val="Arial"/>
      <family val="2"/>
    </font>
    <font>
      <i/>
      <sz val="12"/>
      <color indexed="8"/>
      <name val="Arial Narrow"/>
      <family val="2"/>
    </font>
    <font>
      <b/>
      <sz val="20"/>
      <name val="Arial"/>
      <family val="2"/>
    </font>
    <font>
      <sz val="10"/>
      <color indexed="9"/>
      <name val="Arial"/>
      <family val="2"/>
    </font>
    <font>
      <b/>
      <sz val="20"/>
      <color indexed="9"/>
      <name val="Arial"/>
      <family val="2"/>
    </font>
    <font>
      <i/>
      <sz val="12"/>
      <color indexed="8"/>
      <name val="Arial"/>
      <family val="2"/>
    </font>
    <font>
      <sz val="12"/>
      <name val="Arial"/>
      <family val="2"/>
    </font>
    <font>
      <b/>
      <i/>
      <sz val="10"/>
      <color indexed="9"/>
      <name val="Arial Narrow"/>
      <family val="2"/>
    </font>
    <font>
      <b/>
      <sz val="12"/>
      <color indexed="18"/>
      <name val="Arial"/>
      <family val="2"/>
    </font>
    <font>
      <b/>
      <sz val="12"/>
      <name val="Arial"/>
      <family val="2"/>
    </font>
    <font>
      <b/>
      <sz val="12"/>
      <color indexed="8"/>
      <name val="Arial"/>
      <family val="2"/>
    </font>
    <font>
      <sz val="12"/>
      <color indexed="8"/>
      <name val="Arial"/>
      <family val="2"/>
    </font>
    <font>
      <sz val="12"/>
      <color indexed="10"/>
      <name val="Arial"/>
      <family val="2"/>
    </font>
    <font>
      <sz val="14"/>
      <color indexed="9"/>
      <name val="Arial"/>
      <family val="2"/>
    </font>
    <font>
      <b/>
      <i/>
      <sz val="14"/>
      <color indexed="9"/>
      <name val="Arial"/>
      <family val="2"/>
    </font>
    <font>
      <sz val="14"/>
      <name val="Arial"/>
      <family val="2"/>
    </font>
    <font>
      <sz val="12"/>
      <color indexed="12"/>
      <name val="Arial"/>
      <family val="2"/>
    </font>
    <font>
      <sz val="14"/>
      <color indexed="18"/>
      <name val="Arial"/>
      <family val="2"/>
    </font>
    <font>
      <b/>
      <sz val="14"/>
      <color indexed="62"/>
      <name val="Arial"/>
      <family val="2"/>
    </font>
    <font>
      <b/>
      <sz val="14"/>
      <name val="Arial"/>
      <family val="2"/>
    </font>
    <font>
      <i/>
      <sz val="14"/>
      <color indexed="8"/>
      <name val="Arial"/>
      <family val="2"/>
    </font>
    <font>
      <i/>
      <sz val="12"/>
      <color indexed="62"/>
      <name val="Arial"/>
      <family val="2"/>
    </font>
    <font>
      <b/>
      <sz val="14"/>
      <color indexed="18"/>
      <name val="Arial"/>
      <family val="2"/>
    </font>
    <font>
      <b/>
      <i/>
      <sz val="14"/>
      <color indexed="8"/>
      <name val="Arial"/>
      <family val="2"/>
    </font>
    <font>
      <b/>
      <sz val="24"/>
      <name val="Arial"/>
      <family val="2"/>
    </font>
    <font>
      <i/>
      <sz val="8"/>
      <color indexed="8"/>
      <name val="ARIAL"/>
      <family val="2"/>
    </font>
    <font>
      <b/>
      <sz val="8"/>
      <color indexed="81"/>
      <name val="Tahoma"/>
      <family val="2"/>
    </font>
    <font>
      <sz val="11"/>
      <name val="Arial"/>
      <family val="2"/>
    </font>
    <font>
      <i/>
      <sz val="9"/>
      <name val="Arial Narrow"/>
      <family val="2"/>
    </font>
    <font>
      <i/>
      <sz val="9"/>
      <color indexed="8"/>
      <name val="Arial"/>
      <family val="2"/>
    </font>
    <font>
      <i/>
      <sz val="9"/>
      <color indexed="62"/>
      <name val="Arial"/>
      <family val="2"/>
    </font>
    <font>
      <b/>
      <sz val="16"/>
      <color indexed="62"/>
      <name val="Arial"/>
      <family val="2"/>
    </font>
    <font>
      <sz val="12"/>
      <color indexed="9"/>
      <name val="Arial Narrow"/>
      <family val="2"/>
    </font>
    <font>
      <sz val="12"/>
      <color indexed="43"/>
      <name val="Arial Narrow"/>
      <family val="2"/>
    </font>
    <font>
      <b/>
      <sz val="11"/>
      <name val="Arial Narrow"/>
      <family val="2"/>
    </font>
    <font>
      <b/>
      <sz val="12"/>
      <color indexed="17"/>
      <name val="Arial"/>
      <family val="2"/>
    </font>
    <font>
      <sz val="9"/>
      <name val="Arial"/>
      <family val="2"/>
    </font>
    <font>
      <i/>
      <sz val="12"/>
      <color indexed="9"/>
      <name val="Arial Narrow"/>
      <family val="2"/>
    </font>
    <font>
      <i/>
      <sz val="14"/>
      <color indexed="43"/>
      <name val="Arial"/>
      <family val="2"/>
    </font>
    <font>
      <sz val="11"/>
      <color indexed="81"/>
      <name val="Tahoma"/>
      <family val="2"/>
    </font>
    <font>
      <b/>
      <sz val="12"/>
      <color indexed="81"/>
      <name val="Tahoma"/>
      <family val="2"/>
    </font>
    <font>
      <sz val="12"/>
      <color indexed="81"/>
      <name val="Tahoma"/>
      <family val="2"/>
    </font>
    <font>
      <b/>
      <sz val="10"/>
      <color indexed="81"/>
      <name val="Tahoma"/>
      <family val="2"/>
    </font>
    <font>
      <sz val="10"/>
      <color indexed="81"/>
      <name val="Tahoma"/>
      <family val="2"/>
    </font>
    <font>
      <sz val="12"/>
      <color indexed="43"/>
      <name val="Arial"/>
      <family val="2"/>
    </font>
    <font>
      <sz val="10"/>
      <color indexed="9"/>
      <name val="Verdana"/>
      <family val="2"/>
    </font>
    <font>
      <sz val="10"/>
      <color indexed="20"/>
      <name val="Verdana"/>
      <family val="2"/>
    </font>
    <font>
      <sz val="10"/>
      <color indexed="60"/>
      <name val="Verdana"/>
      <family val="2"/>
    </font>
    <font>
      <sz val="10"/>
      <color indexed="17"/>
      <name val="Verdana"/>
      <family val="2"/>
    </font>
    <font>
      <b/>
      <sz val="10"/>
      <color indexed="63"/>
      <name val="Verdana"/>
      <family val="2"/>
    </font>
    <font>
      <i/>
      <sz val="10"/>
      <color indexed="23"/>
      <name val="Verdana"/>
      <family val="2"/>
    </font>
    <font>
      <b/>
      <sz val="18"/>
      <color indexed="56"/>
      <name val="Cambria"/>
      <family val="2"/>
    </font>
    <font>
      <b/>
      <sz val="15"/>
      <color indexed="56"/>
      <name val="Verdana"/>
      <family val="2"/>
    </font>
    <font>
      <b/>
      <sz val="13"/>
      <color indexed="56"/>
      <name val="Verdana"/>
      <family val="2"/>
    </font>
    <font>
      <b/>
      <sz val="11"/>
      <color indexed="56"/>
      <name val="Verdana"/>
      <family val="2"/>
    </font>
    <font>
      <b/>
      <sz val="10"/>
      <color indexed="8"/>
      <name val="Verdana"/>
      <family val="2"/>
    </font>
    <font>
      <b/>
      <sz val="10"/>
      <color indexed="9"/>
      <name val="Verdana"/>
      <family val="2"/>
    </font>
    <font>
      <sz val="8"/>
      <name val="Arial"/>
      <family val="2"/>
    </font>
    <font>
      <b/>
      <sz val="14"/>
      <color indexed="9"/>
      <name val="Arial"/>
      <family val="2"/>
    </font>
    <font>
      <sz val="10"/>
      <color indexed="9"/>
      <name val="Arial"/>
      <family val="2"/>
    </font>
    <font>
      <sz val="11"/>
      <color indexed="8"/>
      <name val="Calibri"/>
      <family val="2"/>
      <charset val="162"/>
    </font>
    <font>
      <sz val="11"/>
      <color indexed="9"/>
      <name val="Calibri"/>
      <family val="2"/>
      <charset val="162"/>
    </font>
    <font>
      <b/>
      <sz val="11"/>
      <color indexed="52"/>
      <name val="Calibri"/>
      <family val="2"/>
      <charset val="162"/>
    </font>
    <font>
      <sz val="10"/>
      <color indexed="9"/>
      <name val="Arial Narrow"/>
      <family val="2"/>
    </font>
    <font>
      <sz val="10"/>
      <name val="Arial Narrow"/>
      <family val="2"/>
    </font>
    <font>
      <b/>
      <sz val="10"/>
      <color indexed="62"/>
      <name val="Arial Narrow"/>
      <family val="2"/>
      <charset val="162"/>
    </font>
    <font>
      <b/>
      <sz val="10"/>
      <name val="Arial Narrow"/>
      <family val="2"/>
      <charset val="162"/>
    </font>
    <font>
      <sz val="8"/>
      <color indexed="81"/>
      <name val="Tahoma"/>
      <family val="2"/>
    </font>
    <font>
      <b/>
      <sz val="10"/>
      <color indexed="62"/>
      <name val="Arial"/>
      <family val="2"/>
      <charset val="162"/>
    </font>
    <font>
      <b/>
      <sz val="11"/>
      <name val="Arial"/>
      <family val="2"/>
    </font>
    <font>
      <b/>
      <sz val="11"/>
      <color indexed="9"/>
      <name val="Arial"/>
      <family val="2"/>
    </font>
    <font>
      <sz val="11"/>
      <color indexed="62"/>
      <name val="Arial"/>
      <family val="2"/>
    </font>
    <font>
      <sz val="11"/>
      <color indexed="56"/>
      <name val="Arial"/>
      <family val="2"/>
    </font>
    <font>
      <b/>
      <i/>
      <sz val="11"/>
      <name val="Arial"/>
      <family val="2"/>
    </font>
    <font>
      <i/>
      <sz val="11"/>
      <color indexed="8"/>
      <name val="Arial"/>
      <family val="2"/>
    </font>
    <font>
      <sz val="11"/>
      <color indexed="8"/>
      <name val="Arial"/>
      <family val="2"/>
    </font>
    <font>
      <i/>
      <sz val="14"/>
      <color indexed="9"/>
      <name val="Arial"/>
      <family val="2"/>
    </font>
    <font>
      <sz val="8"/>
      <name val="Arial Narrow"/>
      <family val="2"/>
    </font>
    <font>
      <b/>
      <sz val="8"/>
      <name val="Arial Narrow"/>
      <family val="2"/>
    </font>
    <font>
      <i/>
      <sz val="10"/>
      <color indexed="9"/>
      <name val="Arial Narrow"/>
      <family val="2"/>
    </font>
    <font>
      <sz val="10"/>
      <color indexed="43"/>
      <name val="Arial Narrow"/>
      <family val="2"/>
    </font>
    <font>
      <sz val="8"/>
      <color indexed="62"/>
      <name val="Arial Narrow"/>
      <family val="2"/>
    </font>
    <font>
      <i/>
      <sz val="8"/>
      <color indexed="62"/>
      <name val="Arial Narrow"/>
      <family val="2"/>
    </font>
    <font>
      <b/>
      <sz val="8"/>
      <color indexed="62"/>
      <name val="Arial Narrow"/>
      <family val="2"/>
    </font>
    <font>
      <b/>
      <sz val="16"/>
      <color indexed="9"/>
      <name val="Arial Narrow"/>
      <family val="2"/>
    </font>
    <font>
      <b/>
      <i/>
      <sz val="12"/>
      <color indexed="8"/>
      <name val="Arial"/>
      <family val="2"/>
    </font>
    <font>
      <sz val="10"/>
      <name val="Helv"/>
    </font>
    <font>
      <b/>
      <sz val="12"/>
      <color indexed="10"/>
      <name val="Arial"/>
      <family val="2"/>
    </font>
    <font>
      <sz val="10"/>
      <color indexed="10"/>
      <name val="Arial"/>
      <family val="2"/>
    </font>
    <font>
      <b/>
      <sz val="8"/>
      <name val="Arial"/>
      <family val="2"/>
    </font>
    <font>
      <i/>
      <sz val="8"/>
      <name val="Arial"/>
      <family val="2"/>
    </font>
    <font>
      <sz val="10"/>
      <name val="Arial"/>
      <family val="2"/>
      <charset val="162"/>
    </font>
    <font>
      <sz val="10"/>
      <name val="Arial Narrow"/>
      <family val="2"/>
      <charset val="162"/>
    </font>
    <font>
      <b/>
      <i/>
      <sz val="10"/>
      <name val="Arial"/>
      <family val="2"/>
      <charset val="162"/>
    </font>
    <font>
      <sz val="10"/>
      <color indexed="9"/>
      <name val="Arial Narrow"/>
      <family val="2"/>
      <charset val="162"/>
    </font>
    <font>
      <b/>
      <sz val="10"/>
      <name val="Arial"/>
      <family val="2"/>
      <charset val="162"/>
    </font>
    <font>
      <sz val="8"/>
      <color indexed="81"/>
      <name val="Tahoma"/>
      <family val="2"/>
      <charset val="162"/>
    </font>
    <font>
      <i/>
      <sz val="10"/>
      <name val="Arial Narrow"/>
      <family val="2"/>
      <charset val="162"/>
    </font>
    <font>
      <sz val="11"/>
      <name val="Arial Narrow"/>
      <family val="2"/>
      <charset val="162"/>
    </font>
    <font>
      <b/>
      <i/>
      <sz val="10"/>
      <color indexed="9"/>
      <name val="Arial Narrow"/>
      <family val="2"/>
      <charset val="162"/>
    </font>
    <font>
      <b/>
      <sz val="8"/>
      <color indexed="81"/>
      <name val="Tahoma"/>
      <family val="2"/>
      <charset val="162"/>
    </font>
    <font>
      <sz val="10"/>
      <color theme="1"/>
      <name val="Arial"/>
      <family val="2"/>
    </font>
    <font>
      <b/>
      <sz val="10"/>
      <color rgb="FFFFFF00"/>
      <name val="Arial Narrow"/>
      <family val="2"/>
    </font>
    <font>
      <b/>
      <sz val="10"/>
      <color theme="0"/>
      <name val="Arial Narrow"/>
      <family val="2"/>
    </font>
    <font>
      <sz val="10"/>
      <color theme="0"/>
      <name val="Arial Narrow"/>
      <family val="2"/>
    </font>
    <font>
      <b/>
      <sz val="10"/>
      <color rgb="FFFF0000"/>
      <name val="Arial"/>
      <family val="2"/>
    </font>
    <font>
      <b/>
      <sz val="12"/>
      <color rgb="FFFF0000"/>
      <name val="Arial"/>
      <family val="2"/>
    </font>
    <font>
      <sz val="12"/>
      <color rgb="FFFF0000"/>
      <name val="Arial"/>
      <family val="2"/>
    </font>
    <font>
      <b/>
      <i/>
      <sz val="10"/>
      <color theme="3"/>
      <name val="Arial Narrow"/>
      <family val="2"/>
      <charset val="162"/>
    </font>
    <font>
      <sz val="10"/>
      <color theme="3"/>
      <name val="Arial Narrow"/>
      <family val="2"/>
      <charset val="162"/>
    </font>
    <font>
      <b/>
      <i/>
      <sz val="10"/>
      <color rgb="FF0070C0"/>
      <name val="Arial"/>
      <family val="2"/>
      <charset val="162"/>
    </font>
    <font>
      <b/>
      <i/>
      <sz val="10"/>
      <color rgb="FF0070C0"/>
      <name val="Arial Narrow"/>
      <family val="2"/>
      <charset val="162"/>
    </font>
    <font>
      <sz val="10"/>
      <color theme="0"/>
      <name val="Arial"/>
      <family val="2"/>
      <charset val="162"/>
    </font>
    <font>
      <b/>
      <i/>
      <sz val="8"/>
      <color theme="3"/>
      <name val="Arial"/>
      <family val="2"/>
      <charset val="162"/>
    </font>
    <font>
      <b/>
      <i/>
      <sz val="10"/>
      <color theme="3"/>
      <name val="Arial"/>
      <family val="2"/>
      <charset val="162"/>
    </font>
    <font>
      <sz val="10"/>
      <color rgb="FFFF0000"/>
      <name val="Arial Narrow"/>
      <family val="2"/>
      <charset val="162"/>
    </font>
    <font>
      <sz val="10"/>
      <color theme="0"/>
      <name val="Arial Narrow"/>
      <family val="2"/>
      <charset val="162"/>
    </font>
    <font>
      <b/>
      <sz val="10"/>
      <color rgb="FFFF0000"/>
      <name val="Arial Narrow"/>
      <family val="2"/>
    </font>
    <font>
      <sz val="10"/>
      <color rgb="FFFF0000"/>
      <name val="Arial"/>
      <family val="2"/>
      <charset val="162"/>
    </font>
    <font>
      <i/>
      <sz val="10"/>
      <color theme="0"/>
      <name val="Arial Narrow"/>
      <family val="2"/>
      <charset val="162"/>
    </font>
    <font>
      <b/>
      <sz val="12"/>
      <color rgb="FF0000D4"/>
      <name val="Arial"/>
      <family val="2"/>
    </font>
    <font>
      <i/>
      <sz val="10"/>
      <color theme="1"/>
      <name val="Arial"/>
      <family val="2"/>
    </font>
    <font>
      <sz val="10"/>
      <color theme="0"/>
      <name val="Arial"/>
      <family val="2"/>
    </font>
    <font>
      <u/>
      <sz val="10"/>
      <color indexed="8"/>
      <name val="Arial"/>
      <family val="2"/>
    </font>
    <font>
      <b/>
      <sz val="11"/>
      <color indexed="8"/>
      <name val="Arial"/>
      <family val="2"/>
    </font>
    <font>
      <b/>
      <sz val="11"/>
      <color rgb="FF0000CC"/>
      <name val="Arial"/>
      <family val="2"/>
    </font>
    <font>
      <sz val="11"/>
      <color indexed="8"/>
      <name val="Arial Narrow"/>
      <family val="2"/>
    </font>
    <font>
      <u/>
      <sz val="10"/>
      <color theme="10"/>
      <name val="Arial"/>
      <family val="2"/>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color indexed="9"/>
      <name val="Arial"/>
      <family val="2"/>
    </font>
    <font>
      <sz val="9"/>
      <color theme="1"/>
      <name val="Arial"/>
      <family val="2"/>
    </font>
    <font>
      <sz val="14"/>
      <color theme="0"/>
      <name val="Microsoft Sans Serif"/>
      <family val="2"/>
    </font>
    <font>
      <sz val="14"/>
      <color theme="1"/>
      <name val="Arial"/>
      <family val="2"/>
    </font>
    <font>
      <sz val="8"/>
      <color theme="1"/>
      <name val="Arial Narrow"/>
      <family val="2"/>
    </font>
    <font>
      <b/>
      <sz val="20"/>
      <color theme="1"/>
      <name val="Arial Narrow"/>
      <family val="2"/>
    </font>
    <font>
      <b/>
      <sz val="8"/>
      <color theme="1"/>
      <name val="Arial Narrow"/>
      <family val="2"/>
    </font>
    <font>
      <b/>
      <sz val="12"/>
      <color theme="1"/>
      <name val="Arial"/>
      <family val="2"/>
    </font>
    <font>
      <sz val="12"/>
      <color theme="1"/>
      <name val="Arial Narrow"/>
      <family val="2"/>
    </font>
    <font>
      <b/>
      <sz val="10"/>
      <color theme="1"/>
      <name val="Arial Narrow"/>
      <family val="2"/>
    </font>
    <font>
      <b/>
      <sz val="10"/>
      <color theme="1"/>
      <name val="Arial"/>
      <family val="2"/>
    </font>
    <font>
      <i/>
      <sz val="10"/>
      <color theme="1"/>
      <name val="Arial Narrow"/>
      <family val="2"/>
    </font>
    <font>
      <sz val="10"/>
      <color theme="1"/>
      <name val="Arial Narrow"/>
      <family val="2"/>
    </font>
    <font>
      <b/>
      <sz val="12"/>
      <color theme="1"/>
      <name val="Arial Narrow"/>
      <family val="2"/>
    </font>
    <font>
      <b/>
      <i/>
      <sz val="10"/>
      <color theme="1"/>
      <name val="Arial Narrow"/>
      <family val="2"/>
    </font>
    <font>
      <b/>
      <sz val="9"/>
      <color theme="1"/>
      <name val="Arial Narrow"/>
      <family val="2"/>
    </font>
    <font>
      <sz val="11"/>
      <color theme="1"/>
      <name val="Arial"/>
      <family val="2"/>
    </font>
    <font>
      <b/>
      <sz val="11"/>
      <color theme="1"/>
      <name val="Arial"/>
      <family val="2"/>
    </font>
    <font>
      <b/>
      <sz val="14"/>
      <color theme="1"/>
      <name val="Arial"/>
      <family val="2"/>
    </font>
    <font>
      <i/>
      <sz val="14"/>
      <color theme="1"/>
      <name val="Arial"/>
      <family val="2"/>
    </font>
    <font>
      <sz val="8"/>
      <color theme="1"/>
      <name val="Arial"/>
      <family val="2"/>
    </font>
    <font>
      <b/>
      <i/>
      <sz val="11"/>
      <color theme="1"/>
      <name val="Arial"/>
      <family val="2"/>
    </font>
    <font>
      <i/>
      <sz val="11"/>
      <color theme="1"/>
      <name val="Arial"/>
      <family val="2"/>
    </font>
    <font>
      <b/>
      <sz val="20"/>
      <color theme="1"/>
      <name val="Arial"/>
      <family val="2"/>
    </font>
    <font>
      <b/>
      <sz val="9"/>
      <color theme="1"/>
      <name val="Microsoft Sans Serif"/>
      <family val="2"/>
    </font>
    <font>
      <i/>
      <sz val="12"/>
      <color theme="1"/>
      <name val="Arial Narrow"/>
      <family val="2"/>
    </font>
    <font>
      <b/>
      <sz val="10"/>
      <color theme="1"/>
      <name val="Microsoft Sans Serif"/>
      <family val="2"/>
    </font>
    <font>
      <b/>
      <sz val="18"/>
      <color theme="1"/>
      <name val="Arial Narrow"/>
      <family val="2"/>
    </font>
    <font>
      <sz val="12"/>
      <color theme="1"/>
      <name val="Arial"/>
      <family val="2"/>
    </font>
    <font>
      <i/>
      <u/>
      <sz val="10"/>
      <color theme="1"/>
      <name val="Arial"/>
      <family val="2"/>
    </font>
    <font>
      <b/>
      <i/>
      <sz val="10"/>
      <color theme="1"/>
      <name val="Arial"/>
      <family val="2"/>
    </font>
    <font>
      <u/>
      <sz val="10"/>
      <color theme="1"/>
      <name val="Arial"/>
      <family val="2"/>
    </font>
    <font>
      <i/>
      <sz val="8"/>
      <color theme="1"/>
      <name val="ARIAL"/>
      <family val="2"/>
    </font>
    <font>
      <i/>
      <sz val="9"/>
      <color theme="1"/>
      <name val="Arial Narrow"/>
      <family val="2"/>
    </font>
    <font>
      <b/>
      <i/>
      <sz val="10"/>
      <color rgb="FFFF0000"/>
      <name val="Arial Narrow"/>
      <family val="2"/>
    </font>
    <font>
      <sz val="8"/>
      <name val="Tahoma"/>
      <family val="2"/>
    </font>
    <font>
      <i/>
      <sz val="10"/>
      <color indexed="22"/>
      <name val="Arial Narrow"/>
      <family val="2"/>
    </font>
    <font>
      <i/>
      <sz val="12"/>
      <color indexed="22"/>
      <name val="Arial Narrow"/>
      <family val="2"/>
    </font>
    <font>
      <b/>
      <sz val="12"/>
      <color theme="0"/>
      <name val="Arial"/>
      <family val="2"/>
    </font>
    <font>
      <b/>
      <sz val="12"/>
      <color theme="0"/>
      <name val="Arial Narrow"/>
      <family val="2"/>
    </font>
    <font>
      <b/>
      <i/>
      <sz val="12"/>
      <color indexed="62"/>
      <name val="Arial"/>
      <family val="2"/>
    </font>
    <font>
      <sz val="10"/>
      <color rgb="FF00B0F0"/>
      <name val="Arial"/>
      <family val="2"/>
    </font>
    <font>
      <i/>
      <sz val="9"/>
      <name val="Arial"/>
      <family val="2"/>
    </font>
    <font>
      <sz val="10"/>
      <name val="Frutiger 45 Light"/>
      <family val="2"/>
    </font>
    <font>
      <b/>
      <sz val="10"/>
      <color indexed="60"/>
      <name val="Arial Narrow"/>
      <family val="2"/>
    </font>
    <font>
      <b/>
      <i/>
      <sz val="10"/>
      <color theme="3" tint="-0.249977111117893"/>
      <name val="Arial Narrow"/>
      <family val="2"/>
    </font>
    <font>
      <b/>
      <sz val="10"/>
      <color theme="3"/>
      <name val="Arial Narrow"/>
      <family val="2"/>
    </font>
    <font>
      <sz val="9"/>
      <color indexed="81"/>
      <name val="Tahoma"/>
      <family val="2"/>
    </font>
    <font>
      <b/>
      <sz val="10"/>
      <color rgb="FFFFC000"/>
      <name val="Arial"/>
      <family val="2"/>
    </font>
    <font>
      <b/>
      <i/>
      <sz val="10"/>
      <name val="Arial"/>
      <family val="2"/>
    </font>
    <font>
      <b/>
      <sz val="9"/>
      <name val="Arial"/>
      <family val="2"/>
    </font>
    <font>
      <sz val="14"/>
      <name val="Arial Narrow"/>
      <family val="2"/>
    </font>
    <font>
      <b/>
      <sz val="16"/>
      <name val="Arial"/>
      <family val="2"/>
    </font>
    <font>
      <b/>
      <sz val="9"/>
      <color indexed="81"/>
      <name val="Tahoma"/>
      <family val="2"/>
    </font>
    <font>
      <sz val="10"/>
      <color rgb="FFFFFF00"/>
      <name val="Arial"/>
      <family val="2"/>
    </font>
    <font>
      <b/>
      <sz val="18"/>
      <color indexed="10"/>
      <name val="Arial"/>
      <family val="2"/>
    </font>
    <font>
      <b/>
      <sz val="11"/>
      <color rgb="FFFF0000"/>
      <name val="Arial"/>
      <family val="2"/>
    </font>
    <font>
      <b/>
      <i/>
      <sz val="8"/>
      <name val="Arial"/>
      <family val="2"/>
    </font>
    <font>
      <sz val="10"/>
      <name val="Tahoma"/>
      <family val="2"/>
    </font>
    <font>
      <b/>
      <sz val="10"/>
      <name val="Tahoma"/>
      <family val="2"/>
    </font>
    <font>
      <b/>
      <sz val="10"/>
      <color indexed="10"/>
      <name val="Tahoma"/>
      <family val="2"/>
    </font>
    <font>
      <b/>
      <sz val="12"/>
      <name val="Tahoma"/>
      <family val="2"/>
    </font>
    <font>
      <sz val="10"/>
      <color rgb="FF0070C0"/>
      <name val="Tahoma"/>
      <family val="2"/>
    </font>
    <font>
      <b/>
      <u/>
      <sz val="10"/>
      <name val="Tahoma"/>
      <family val="2"/>
    </font>
    <font>
      <b/>
      <i/>
      <sz val="10"/>
      <name val="Tahoma"/>
      <family val="2"/>
    </font>
    <font>
      <b/>
      <sz val="10"/>
      <color indexed="16"/>
      <name val="Tahoma"/>
      <family val="2"/>
    </font>
    <font>
      <sz val="9"/>
      <color indexed="62"/>
      <name val="Arial Narrow"/>
      <family val="2"/>
    </font>
    <font>
      <b/>
      <sz val="10"/>
      <color rgb="FFFFC000"/>
      <name val="Tahoma"/>
      <family val="2"/>
    </font>
    <font>
      <b/>
      <sz val="12"/>
      <color indexed="62"/>
      <name val="Microsoft Sans Serif"/>
      <family val="2"/>
    </font>
    <font>
      <b/>
      <i/>
      <sz val="11"/>
      <color theme="3" tint="-0.249977111117893"/>
      <name val="Arial Narrow"/>
      <family val="2"/>
    </font>
    <font>
      <b/>
      <i/>
      <sz val="11"/>
      <color indexed="62"/>
      <name val="Arial Narrow"/>
      <family val="2"/>
    </font>
    <font>
      <sz val="11"/>
      <color indexed="62"/>
      <name val="Arial Narrow"/>
      <family val="2"/>
    </font>
    <font>
      <b/>
      <sz val="11"/>
      <color indexed="62"/>
      <name val="Arial Narrow"/>
      <family val="2"/>
    </font>
    <font>
      <b/>
      <sz val="11"/>
      <color theme="0"/>
      <name val="Arial Narrow"/>
      <family val="2"/>
    </font>
    <font>
      <i/>
      <sz val="11"/>
      <color indexed="62"/>
      <name val="Arial Narrow"/>
      <family val="2"/>
    </font>
    <font>
      <b/>
      <sz val="11"/>
      <color indexed="8"/>
      <name val="Arial Narrow"/>
      <family val="2"/>
    </font>
    <font>
      <sz val="11"/>
      <name val="Arial Narrow"/>
      <family val="2"/>
    </font>
    <font>
      <b/>
      <sz val="11"/>
      <color indexed="60"/>
      <name val="Arial Narrow"/>
      <family val="2"/>
    </font>
    <font>
      <b/>
      <sz val="11"/>
      <color theme="3"/>
      <name val="Arial Narrow"/>
      <family val="2"/>
    </font>
    <font>
      <b/>
      <sz val="14"/>
      <color indexed="9"/>
      <name val="Microsoft Sans Serif"/>
      <family val="2"/>
    </font>
    <font>
      <b/>
      <sz val="14"/>
      <color indexed="43"/>
      <name val="Arial"/>
      <family val="2"/>
    </font>
    <font>
      <sz val="14"/>
      <color indexed="62"/>
      <name val="Arial"/>
      <family val="2"/>
    </font>
    <font>
      <b/>
      <sz val="14"/>
      <name val="Arial Narrow"/>
      <family val="2"/>
    </font>
    <font>
      <b/>
      <sz val="14"/>
      <color indexed="62"/>
      <name val="Arial Narrow"/>
      <family val="2"/>
    </font>
    <font>
      <b/>
      <sz val="18"/>
      <color indexed="9"/>
      <name val="Arial"/>
      <family val="2"/>
    </font>
    <font>
      <b/>
      <sz val="14"/>
      <color theme="0"/>
      <name val="Arial Narrow"/>
      <family val="2"/>
    </font>
    <font>
      <b/>
      <sz val="10"/>
      <color indexed="12"/>
      <name val="Arial"/>
      <family val="2"/>
    </font>
    <font>
      <sz val="12"/>
      <name val="Times New Roman"/>
      <family val="1"/>
    </font>
    <font>
      <b/>
      <u/>
      <sz val="10"/>
      <name val="Arial"/>
      <family val="2"/>
    </font>
    <font>
      <u/>
      <sz val="10"/>
      <color indexed="12"/>
      <name val="Arial"/>
      <family val="2"/>
    </font>
    <font>
      <sz val="11"/>
      <name val="돋움"/>
      <family val="3"/>
      <charset val="129"/>
    </font>
    <font>
      <sz val="11"/>
      <color indexed="8"/>
      <name val="Calibri"/>
      <family val="2"/>
    </font>
    <font>
      <b/>
      <sz val="14"/>
      <name val="Times New Roman"/>
      <family val="1"/>
    </font>
    <font>
      <sz val="10"/>
      <name val="Times New Roman"/>
      <family val="1"/>
    </font>
    <font>
      <sz val="10"/>
      <name val="MS Sans Serif"/>
      <family val="2"/>
    </font>
    <font>
      <b/>
      <sz val="1"/>
      <color indexed="8"/>
      <name val="Courier"/>
      <family val="3"/>
    </font>
    <font>
      <sz val="1"/>
      <color indexed="8"/>
      <name val="Courier"/>
      <family val="3"/>
    </font>
    <font>
      <i/>
      <sz val="1"/>
      <color indexed="8"/>
      <name val="Courier"/>
      <family val="3"/>
    </font>
    <font>
      <u/>
      <sz val="10"/>
      <color indexed="36"/>
      <name val="Arial"/>
      <family val="2"/>
    </font>
    <font>
      <sz val="11"/>
      <color indexed="62"/>
      <name val="Calibri"/>
      <family val="2"/>
    </font>
    <font>
      <b/>
      <sz val="10"/>
      <name val="Times New Roman"/>
      <family val="1"/>
    </font>
    <font>
      <sz val="11"/>
      <color indexed="52"/>
      <name val="Calibri"/>
      <family val="2"/>
    </font>
    <font>
      <sz val="11"/>
      <name val="Times New Roman"/>
      <family val="1"/>
    </font>
    <font>
      <b/>
      <i/>
      <sz val="16"/>
      <name val="Helv"/>
    </font>
    <font>
      <sz val="10"/>
      <name val="Tms Rmn"/>
    </font>
    <font>
      <sz val="10"/>
      <name val="Lucida Sans Unicode"/>
      <family val="2"/>
    </font>
    <font>
      <b/>
      <sz val="10"/>
      <color indexed="18"/>
      <name val="Arial"/>
      <family val="2"/>
    </font>
    <font>
      <sz val="10"/>
      <color indexed="39"/>
      <name val="Arial"/>
      <family val="2"/>
    </font>
    <font>
      <sz val="8"/>
      <color indexed="8"/>
      <name val="Tahoma"/>
      <family val="2"/>
    </font>
    <font>
      <b/>
      <sz val="8"/>
      <color indexed="8"/>
      <name val="Arial"/>
      <family val="2"/>
    </font>
    <font>
      <sz val="8"/>
      <color indexed="8"/>
      <name val="Arial"/>
      <family val="2"/>
    </font>
    <font>
      <b/>
      <sz val="8"/>
      <color indexed="8"/>
      <name val="Tahoma"/>
      <family val="2"/>
    </font>
    <font>
      <b/>
      <sz val="8"/>
      <color indexed="23"/>
      <name val="Arial"/>
      <family val="2"/>
    </font>
    <font>
      <b/>
      <sz val="10"/>
      <color indexed="10"/>
      <name val="Arial"/>
      <family val="2"/>
    </font>
    <font>
      <sz val="11"/>
      <color indexed="10"/>
      <name val="Calibri"/>
      <family val="2"/>
    </font>
    <font>
      <b/>
      <sz val="18"/>
      <color theme="0"/>
      <name val="Arial Narrow"/>
      <family val="2"/>
    </font>
    <font>
      <b/>
      <sz val="11"/>
      <color theme="1"/>
      <name val="Calibri"/>
      <family val="2"/>
      <scheme val="minor"/>
    </font>
    <font>
      <sz val="9"/>
      <color theme="1"/>
      <name val="Calibri"/>
      <family val="2"/>
      <scheme val="minor"/>
    </font>
    <font>
      <sz val="8"/>
      <color theme="1"/>
      <name val="Calibri"/>
      <family val="2"/>
      <scheme val="minor"/>
    </font>
    <font>
      <sz val="7"/>
      <color theme="1"/>
      <name val="Calibri"/>
      <family val="2"/>
      <scheme val="minor"/>
    </font>
    <font>
      <b/>
      <sz val="10"/>
      <color theme="1"/>
      <name val="Calibri"/>
      <family val="2"/>
      <scheme val="minor"/>
    </font>
    <font>
      <sz val="10"/>
      <color theme="1"/>
      <name val="Calibri"/>
      <family val="2"/>
      <scheme val="minor"/>
    </font>
    <font>
      <u/>
      <sz val="11"/>
      <color theme="10"/>
      <name val="Calibri"/>
      <family val="2"/>
    </font>
    <font>
      <sz val="10"/>
      <name val="Arial"/>
      <family val="2"/>
    </font>
    <font>
      <sz val="10"/>
      <color rgb="FF232323"/>
      <name val="Arial"/>
      <family val="2"/>
    </font>
    <font>
      <b/>
      <sz val="16"/>
      <color rgb="FF333333"/>
      <name val="MuseoSlab500"/>
    </font>
    <font>
      <sz val="10"/>
      <color theme="3" tint="-0.249977111117893"/>
      <name val="Arial"/>
      <family val="2"/>
    </font>
    <font>
      <sz val="10"/>
      <color rgb="FFFF0000"/>
      <name val="Arial"/>
      <family val="2"/>
    </font>
    <font>
      <b/>
      <sz val="10"/>
      <name val="Symbol"/>
      <family val="1"/>
      <charset val="2"/>
    </font>
    <font>
      <b/>
      <sz val="10"/>
      <color theme="0"/>
      <name val="Arial"/>
      <family val="2"/>
    </font>
    <font>
      <sz val="12"/>
      <color theme="3" tint="-0.249977111117893"/>
      <name val="Arial"/>
      <family val="2"/>
    </font>
    <font>
      <sz val="8"/>
      <color rgb="FF000000"/>
      <name val="Arial"/>
      <family val="2"/>
    </font>
  </fonts>
  <fills count="10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26"/>
      </patternFill>
    </fill>
    <fill>
      <patternFill patternType="solid">
        <fgColor indexed="43"/>
      </patternFill>
    </fill>
    <fill>
      <patternFill patternType="solid">
        <fgColor indexed="62"/>
        <bgColor indexed="64"/>
      </patternFill>
    </fill>
    <fill>
      <patternFill patternType="solid">
        <fgColor indexed="51"/>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13"/>
        <bgColor indexed="64"/>
      </patternFill>
    </fill>
    <fill>
      <patternFill patternType="solid">
        <fgColor indexed="48"/>
        <bgColor indexed="64"/>
      </patternFill>
    </fill>
    <fill>
      <patternFill patternType="solid">
        <fgColor theme="0"/>
        <bgColor indexed="64"/>
      </patternFill>
    </fill>
    <fill>
      <patternFill patternType="solid">
        <fgColor rgb="FF3333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4" tint="0.79998168889431442"/>
        <bgColor indexed="64"/>
      </patternFill>
    </fill>
    <fill>
      <patternFill patternType="solid">
        <fgColor rgb="FF99CCFF"/>
        <bgColor indexed="64"/>
      </patternFill>
    </fill>
    <fill>
      <patternFill patternType="solid">
        <fgColor theme="3" tint="0.79998168889431442"/>
        <bgColor indexed="64"/>
      </patternFill>
    </fill>
    <fill>
      <patternFill patternType="solid">
        <fgColor rgb="FFFFCCCC"/>
        <bgColor indexed="64"/>
      </patternFill>
    </fill>
    <fill>
      <patternFill patternType="solid">
        <fgColor rgb="FF66FF99"/>
        <bgColor indexed="64"/>
      </patternFill>
    </fill>
    <fill>
      <patternFill patternType="solid">
        <fgColor rgb="FFCCFFCC"/>
        <bgColor indexed="64"/>
      </patternFill>
    </fill>
    <fill>
      <patternFill patternType="solid">
        <fgColor rgb="FFFFFF00"/>
        <bgColor indexed="64"/>
      </patternFill>
    </fill>
    <fill>
      <patternFill patternType="solid">
        <fgColor rgb="FFFFCC66"/>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92D050"/>
        <bgColor indexed="64"/>
      </patternFill>
    </fill>
    <fill>
      <patternFill patternType="solid">
        <fgColor theme="2"/>
        <bgColor indexed="64"/>
      </patternFill>
    </fill>
    <fill>
      <patternFill patternType="solid">
        <fgColor rgb="FF00FF00"/>
        <bgColor indexed="64"/>
      </patternFill>
    </fill>
    <fill>
      <patternFill patternType="solid">
        <fgColor rgb="FFD9FFD9"/>
        <bgColor indexed="64"/>
      </patternFill>
    </fill>
    <fill>
      <patternFill patternType="solid">
        <fgColor rgb="FFFF0000"/>
        <bgColor indexed="64"/>
      </patternFill>
    </fill>
    <fill>
      <patternFill patternType="solid">
        <fgColor rgb="FF0070C0"/>
        <bgColor indexed="64"/>
      </patternFill>
    </fill>
    <fill>
      <patternFill patternType="solid">
        <fgColor rgb="FFFFFFCC"/>
        <bgColor indexed="64"/>
      </patternFill>
    </fill>
    <fill>
      <patternFill patternType="solid">
        <fgColor rgb="FF99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lightUp">
        <fgColor theme="0" tint="-0.34998626667073579"/>
        <bgColor theme="0" tint="-0.14996795556505021"/>
      </patternFill>
    </fill>
    <fill>
      <patternFill patternType="solid">
        <fgColor theme="8" tint="0.79998168889431442"/>
        <bgColor indexed="64"/>
      </patternFill>
    </fill>
    <fill>
      <patternFill patternType="solid">
        <fgColor indexed="41"/>
        <bgColor indexed="64"/>
      </patternFill>
    </fill>
    <fill>
      <patternFill patternType="solid">
        <fgColor indexed="50"/>
        <bgColor indexed="64"/>
      </patternFill>
    </fill>
    <fill>
      <patternFill patternType="solid">
        <fgColor indexed="10"/>
        <bgColor indexed="64"/>
      </patternFill>
    </fill>
    <fill>
      <patternFill patternType="solid">
        <fgColor indexed="56"/>
        <bgColor indexed="64"/>
      </patternFill>
    </fill>
    <fill>
      <patternFill patternType="lightDown">
        <bgColor indexed="10"/>
      </patternFill>
    </fill>
    <fill>
      <patternFill patternType="solid">
        <fgColor indexed="52"/>
        <bgColor indexed="64"/>
      </patternFill>
    </fill>
    <fill>
      <patternFill patternType="solid">
        <fgColor indexed="26"/>
        <bgColor indexed="64"/>
      </patternFill>
    </fill>
    <fill>
      <patternFill patternType="solid">
        <fgColor indexed="15"/>
        <bgColor indexed="64"/>
      </patternFill>
    </fill>
    <fill>
      <patternFill patternType="solid">
        <fgColor indexed="27"/>
        <bgColor indexed="64"/>
      </patternFill>
    </fill>
    <fill>
      <patternFill patternType="solid">
        <fgColor indexed="46"/>
        <bgColor indexed="64"/>
      </patternFill>
    </fill>
    <fill>
      <patternFill patternType="solid">
        <fgColor indexed="4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theme="0" tint="-0.499984740745262"/>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D2AA00"/>
        <bgColor indexed="64"/>
      </patternFill>
    </fill>
    <fill>
      <patternFill patternType="solid">
        <fgColor indexed="65"/>
        <bgColor indexed="64"/>
      </patternFill>
    </fill>
  </fills>
  <borders count="41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2"/>
      </left>
      <right/>
      <top/>
      <bottom/>
      <diagonal/>
    </border>
    <border>
      <left/>
      <right style="thin">
        <color indexed="62"/>
      </right>
      <top/>
      <bottom/>
      <diagonal/>
    </border>
    <border>
      <left style="thin">
        <color indexed="62"/>
      </left>
      <right/>
      <top/>
      <bottom style="thin">
        <color indexed="62"/>
      </bottom>
      <diagonal/>
    </border>
    <border>
      <left/>
      <right/>
      <top/>
      <bottom style="thin">
        <color indexed="62"/>
      </bottom>
      <diagonal/>
    </border>
    <border>
      <left/>
      <right style="thin">
        <color indexed="62"/>
      </right>
      <top/>
      <bottom style="thin">
        <color indexed="62"/>
      </bottom>
      <diagonal/>
    </border>
    <border>
      <left/>
      <right/>
      <top style="thin">
        <color indexed="62"/>
      </top>
      <bottom/>
      <diagonal/>
    </border>
    <border>
      <left/>
      <right/>
      <top style="thin">
        <color indexed="62"/>
      </top>
      <bottom style="thin">
        <color indexed="62"/>
      </bottom>
      <diagonal/>
    </border>
    <border>
      <left style="thin">
        <color indexed="64"/>
      </left>
      <right style="thin">
        <color indexed="64"/>
      </right>
      <top style="thin">
        <color indexed="62"/>
      </top>
      <bottom style="thin">
        <color indexed="62"/>
      </bottom>
      <diagonal/>
    </border>
    <border>
      <left style="hair">
        <color indexed="64"/>
      </left>
      <right style="hair">
        <color indexed="64"/>
      </right>
      <top style="thin">
        <color indexed="62"/>
      </top>
      <bottom style="thin">
        <color indexed="62"/>
      </bottom>
      <diagonal/>
    </border>
    <border>
      <left/>
      <right style="thin">
        <color indexed="62"/>
      </right>
      <top style="thin">
        <color indexed="62"/>
      </top>
      <bottom style="thin">
        <color indexed="62"/>
      </bottom>
      <diagonal/>
    </border>
    <border>
      <left/>
      <right style="thin">
        <color indexed="62"/>
      </right>
      <top style="thin">
        <color indexed="62"/>
      </top>
      <bottom/>
      <diagonal/>
    </border>
    <border>
      <left style="thin">
        <color indexed="62"/>
      </left>
      <right/>
      <top style="thin">
        <color indexed="62"/>
      </top>
      <bottom/>
      <diagonal/>
    </border>
    <border>
      <left style="thin">
        <color indexed="62"/>
      </left>
      <right/>
      <top style="thin">
        <color indexed="62"/>
      </top>
      <bottom style="thin">
        <color indexed="9"/>
      </bottom>
      <diagonal/>
    </border>
    <border>
      <left/>
      <right style="thin">
        <color indexed="9"/>
      </right>
      <top style="thin">
        <color indexed="62"/>
      </top>
      <bottom style="thin">
        <color indexed="9"/>
      </bottom>
      <diagonal/>
    </border>
    <border>
      <left/>
      <right/>
      <top style="thin">
        <color indexed="62"/>
      </top>
      <bottom style="thin">
        <color indexed="9"/>
      </bottom>
      <diagonal/>
    </border>
    <border>
      <left/>
      <right style="thin">
        <color indexed="62"/>
      </right>
      <top style="thin">
        <color indexed="62"/>
      </top>
      <bottom style="thin">
        <color indexed="9"/>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diagonal/>
    </border>
    <border>
      <left style="thin">
        <color indexed="62"/>
      </left>
      <right/>
      <top style="thin">
        <color indexed="62"/>
      </top>
      <bottom style="thin">
        <color indexed="62"/>
      </bottom>
      <diagonal/>
    </border>
    <border>
      <left style="thin">
        <color indexed="9"/>
      </left>
      <right style="thin">
        <color indexed="9"/>
      </right>
      <top style="thin">
        <color indexed="62"/>
      </top>
      <bottom style="thin">
        <color indexed="62"/>
      </bottom>
      <diagonal/>
    </border>
    <border>
      <left style="thin">
        <color indexed="9"/>
      </left>
      <right style="thin">
        <color indexed="9"/>
      </right>
      <top/>
      <bottom style="thin">
        <color indexed="62"/>
      </bottom>
      <diagonal/>
    </border>
    <border>
      <left style="thin">
        <color indexed="62"/>
      </left>
      <right style="thin">
        <color indexed="62"/>
      </right>
      <top/>
      <bottom/>
      <diagonal/>
    </border>
    <border>
      <left style="thin">
        <color indexed="9"/>
      </left>
      <right style="thin">
        <color indexed="62"/>
      </right>
      <top style="thin">
        <color indexed="62"/>
      </top>
      <bottom style="thin">
        <color indexed="62"/>
      </bottom>
      <diagonal/>
    </border>
    <border>
      <left style="thin">
        <color indexed="9"/>
      </left>
      <right style="thin">
        <color indexed="9"/>
      </right>
      <top/>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62"/>
      </left>
      <right style="thin">
        <color indexed="62"/>
      </right>
      <top style="thin">
        <color indexed="62"/>
      </top>
      <bottom style="thin">
        <color indexed="62"/>
      </bottom>
      <diagonal/>
    </border>
    <border>
      <left style="thin">
        <color indexed="22"/>
      </left>
      <right style="thin">
        <color indexed="22"/>
      </right>
      <top/>
      <bottom style="thin">
        <color indexed="22"/>
      </bottom>
      <diagonal/>
    </border>
    <border>
      <left style="thin">
        <color indexed="55"/>
      </left>
      <right/>
      <top style="thin">
        <color indexed="55"/>
      </top>
      <bottom/>
      <diagonal/>
    </border>
    <border>
      <left style="thin">
        <color indexed="55"/>
      </left>
      <right/>
      <top/>
      <bottom/>
      <diagonal/>
    </border>
    <border>
      <left style="thin">
        <color indexed="55"/>
      </left>
      <right/>
      <top/>
      <bottom style="thin">
        <color indexed="55"/>
      </bottom>
      <diagonal/>
    </border>
    <border>
      <left/>
      <right/>
      <top style="thin">
        <color indexed="55"/>
      </top>
      <bottom/>
      <diagonal/>
    </border>
    <border>
      <left/>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right style="thin">
        <color indexed="55"/>
      </right>
      <top style="thin">
        <color indexed="55"/>
      </top>
      <bottom/>
      <diagonal/>
    </border>
    <border>
      <left/>
      <right style="thin">
        <color indexed="55"/>
      </right>
      <top/>
      <bottom/>
      <diagonal/>
    </border>
    <border>
      <left/>
      <right style="thin">
        <color indexed="55"/>
      </right>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hair">
        <color indexed="55"/>
      </top>
      <bottom style="thin">
        <color indexed="55"/>
      </bottom>
      <diagonal/>
    </border>
    <border>
      <left/>
      <right/>
      <top style="hair">
        <color indexed="55"/>
      </top>
      <bottom style="thin">
        <color indexed="55"/>
      </bottom>
      <diagonal/>
    </border>
    <border>
      <left style="thin">
        <color indexed="55"/>
      </left>
      <right style="thin">
        <color indexed="55"/>
      </right>
      <top style="hair">
        <color indexed="55"/>
      </top>
      <bottom style="thin">
        <color indexed="55"/>
      </bottom>
      <diagonal/>
    </border>
    <border>
      <left/>
      <right style="thin">
        <color indexed="55"/>
      </right>
      <top style="hair">
        <color indexed="55"/>
      </top>
      <bottom style="thin">
        <color indexed="55"/>
      </bottom>
      <diagonal/>
    </border>
    <border>
      <left style="medium">
        <color indexed="64"/>
      </left>
      <right/>
      <top/>
      <bottom/>
      <diagonal/>
    </border>
    <border>
      <left style="thin">
        <color indexed="9"/>
      </left>
      <right/>
      <top/>
      <bottom/>
      <diagonal/>
    </border>
    <border>
      <left style="medium">
        <color indexed="9"/>
      </left>
      <right/>
      <top/>
      <bottom/>
      <diagonal/>
    </border>
    <border>
      <left style="thin">
        <color indexed="55"/>
      </left>
      <right/>
      <top style="thin">
        <color indexed="55"/>
      </top>
      <bottom style="hair">
        <color indexed="55"/>
      </bottom>
      <diagonal/>
    </border>
    <border>
      <left/>
      <right/>
      <top style="thin">
        <color indexed="55"/>
      </top>
      <bottom style="hair">
        <color indexed="55"/>
      </bottom>
      <diagonal/>
    </border>
    <border>
      <left style="thin">
        <color indexed="9"/>
      </left>
      <right style="thin">
        <color indexed="9"/>
      </right>
      <top style="thin">
        <color indexed="55"/>
      </top>
      <bottom style="hair">
        <color indexed="55"/>
      </bottom>
      <diagonal/>
    </border>
    <border>
      <left style="thin">
        <color indexed="9"/>
      </left>
      <right/>
      <top style="thin">
        <color indexed="55"/>
      </top>
      <bottom style="hair">
        <color indexed="55"/>
      </bottom>
      <diagonal/>
    </border>
    <border>
      <left style="medium">
        <color indexed="9"/>
      </left>
      <right style="thin">
        <color indexed="55"/>
      </right>
      <top style="thin">
        <color indexed="55"/>
      </top>
      <bottom style="hair">
        <color indexed="55"/>
      </bottom>
      <diagonal/>
    </border>
    <border>
      <left style="thin">
        <color indexed="55"/>
      </left>
      <right/>
      <top style="hair">
        <color indexed="55"/>
      </top>
      <bottom style="hair">
        <color indexed="55"/>
      </bottom>
      <diagonal/>
    </border>
    <border>
      <left/>
      <right/>
      <top style="hair">
        <color indexed="55"/>
      </top>
      <bottom style="hair">
        <color indexed="55"/>
      </bottom>
      <diagonal/>
    </border>
    <border>
      <left style="thin">
        <color indexed="9"/>
      </left>
      <right style="thin">
        <color indexed="9"/>
      </right>
      <top style="hair">
        <color indexed="55"/>
      </top>
      <bottom style="hair">
        <color indexed="55"/>
      </bottom>
      <diagonal/>
    </border>
    <border>
      <left style="medium">
        <color indexed="9"/>
      </left>
      <right style="thin">
        <color indexed="55"/>
      </right>
      <top style="hair">
        <color indexed="55"/>
      </top>
      <bottom style="hair">
        <color indexed="55"/>
      </bottom>
      <diagonal/>
    </border>
    <border>
      <left style="thin">
        <color indexed="9"/>
      </left>
      <right style="thin">
        <color indexed="9"/>
      </right>
      <top style="hair">
        <color indexed="55"/>
      </top>
      <bottom style="thin">
        <color indexed="55"/>
      </bottom>
      <diagonal/>
    </border>
    <border>
      <left style="medium">
        <color indexed="9"/>
      </left>
      <right style="thin">
        <color indexed="55"/>
      </right>
      <top style="hair">
        <color indexed="55"/>
      </top>
      <bottom style="thin">
        <color indexed="55"/>
      </bottom>
      <diagonal/>
    </border>
    <border>
      <left style="thin">
        <color indexed="55"/>
      </left>
      <right style="hair">
        <color indexed="64"/>
      </right>
      <top style="thin">
        <color indexed="55"/>
      </top>
      <bottom style="hair">
        <color indexed="64"/>
      </bottom>
      <diagonal/>
    </border>
    <border>
      <left/>
      <right style="hair">
        <color indexed="64"/>
      </right>
      <top style="thin">
        <color indexed="55"/>
      </top>
      <bottom style="hair">
        <color indexed="64"/>
      </bottom>
      <diagonal/>
    </border>
    <border>
      <left style="hair">
        <color indexed="64"/>
      </left>
      <right style="hair">
        <color indexed="64"/>
      </right>
      <top style="thin">
        <color indexed="55"/>
      </top>
      <bottom style="hair">
        <color indexed="64"/>
      </bottom>
      <diagonal/>
    </border>
    <border>
      <left style="hair">
        <color indexed="64"/>
      </left>
      <right style="thin">
        <color indexed="55"/>
      </right>
      <top style="thin">
        <color indexed="55"/>
      </top>
      <bottom style="hair">
        <color indexed="64"/>
      </bottom>
      <diagonal/>
    </border>
    <border>
      <left style="thin">
        <color indexed="55"/>
      </left>
      <right style="hair">
        <color indexed="64"/>
      </right>
      <top style="hair">
        <color indexed="64"/>
      </top>
      <bottom style="hair">
        <color indexed="64"/>
      </bottom>
      <diagonal/>
    </border>
    <border>
      <left style="hair">
        <color indexed="64"/>
      </left>
      <right style="thin">
        <color indexed="55"/>
      </right>
      <top style="hair">
        <color indexed="64"/>
      </top>
      <bottom style="hair">
        <color indexed="64"/>
      </bottom>
      <diagonal/>
    </border>
    <border>
      <left style="thin">
        <color indexed="55"/>
      </left>
      <right style="hair">
        <color indexed="64"/>
      </right>
      <top style="hair">
        <color indexed="64"/>
      </top>
      <bottom style="thin">
        <color indexed="55"/>
      </bottom>
      <diagonal/>
    </border>
    <border>
      <left style="hair">
        <color indexed="64"/>
      </left>
      <right style="hair">
        <color indexed="64"/>
      </right>
      <top style="hair">
        <color indexed="64"/>
      </top>
      <bottom style="thin">
        <color indexed="55"/>
      </bottom>
      <diagonal/>
    </border>
    <border>
      <left style="hair">
        <color indexed="64"/>
      </left>
      <right style="thin">
        <color indexed="55"/>
      </right>
      <top style="hair">
        <color indexed="64"/>
      </top>
      <bottom style="thin">
        <color indexed="55"/>
      </bottom>
      <diagonal/>
    </border>
    <border>
      <left style="thin">
        <color indexed="55"/>
      </left>
      <right style="hair">
        <color indexed="64"/>
      </right>
      <top style="thin">
        <color indexed="55"/>
      </top>
      <bottom style="thin">
        <color indexed="55"/>
      </bottom>
      <diagonal/>
    </border>
    <border>
      <left style="thin">
        <color indexed="55"/>
      </left>
      <right style="hair">
        <color indexed="55"/>
      </right>
      <top style="thin">
        <color indexed="55"/>
      </top>
      <bottom style="thin">
        <color indexed="55"/>
      </bottom>
      <diagonal/>
    </border>
    <border>
      <left style="hair">
        <color indexed="64"/>
      </left>
      <right/>
      <top style="thin">
        <color indexed="55"/>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55"/>
      </bottom>
      <diagonal/>
    </border>
    <border>
      <left style="thin">
        <color indexed="55"/>
      </left>
      <right/>
      <top style="hair">
        <color indexed="64"/>
      </top>
      <bottom style="hair">
        <color indexed="64"/>
      </bottom>
      <diagonal/>
    </border>
    <border>
      <left style="thin">
        <color indexed="55"/>
      </left>
      <right/>
      <top style="hair">
        <color indexed="64"/>
      </top>
      <bottom style="thin">
        <color indexed="55"/>
      </bottom>
      <diagonal/>
    </border>
    <border>
      <left style="thin">
        <color indexed="64"/>
      </left>
      <right style="hair">
        <color indexed="64"/>
      </right>
      <top/>
      <bottom/>
      <diagonal/>
    </border>
    <border>
      <left style="hair">
        <color indexed="64"/>
      </left>
      <right/>
      <top/>
      <bottom/>
      <diagonal/>
    </border>
    <border>
      <left style="hair">
        <color indexed="64"/>
      </left>
      <right style="thin">
        <color indexed="55"/>
      </right>
      <top style="thin">
        <color indexed="55"/>
      </top>
      <bottom style="thin">
        <color indexed="55"/>
      </bottom>
      <diagonal/>
    </border>
    <border>
      <left style="thin">
        <color indexed="55"/>
      </left>
      <right style="hair">
        <color indexed="64"/>
      </right>
      <top style="hair">
        <color indexed="64"/>
      </top>
      <bottom/>
      <diagonal/>
    </border>
    <border>
      <left style="hair">
        <color indexed="64"/>
      </left>
      <right style="thin">
        <color indexed="55"/>
      </right>
      <top style="hair">
        <color indexed="64"/>
      </top>
      <bottom/>
      <diagonal/>
    </border>
    <border>
      <left style="hair">
        <color indexed="64"/>
      </left>
      <right style="thin">
        <color indexed="55"/>
      </right>
      <top/>
      <bottom style="hair">
        <color indexed="64"/>
      </bottom>
      <diagonal/>
    </border>
    <border>
      <left/>
      <right style="thin">
        <color indexed="55"/>
      </right>
      <top style="thin">
        <color indexed="55"/>
      </top>
      <bottom style="hair">
        <color indexed="64"/>
      </bottom>
      <diagonal/>
    </border>
    <border>
      <left/>
      <right style="thin">
        <color indexed="55"/>
      </right>
      <top style="hair">
        <color indexed="64"/>
      </top>
      <bottom style="hair">
        <color indexed="64"/>
      </bottom>
      <diagonal/>
    </border>
    <border>
      <left/>
      <right style="thin">
        <color indexed="55"/>
      </right>
      <top style="hair">
        <color indexed="64"/>
      </top>
      <bottom/>
      <diagonal/>
    </border>
    <border>
      <left style="thin">
        <color indexed="55"/>
      </left>
      <right style="hair">
        <color indexed="64"/>
      </right>
      <top/>
      <bottom style="hair">
        <color indexed="64"/>
      </bottom>
      <diagonal/>
    </border>
    <border>
      <left/>
      <right style="thin">
        <color indexed="55"/>
      </right>
      <top/>
      <bottom style="hair">
        <color indexed="64"/>
      </bottom>
      <diagonal/>
    </border>
    <border>
      <left/>
      <right style="hair">
        <color indexed="64"/>
      </right>
      <top style="hair">
        <color indexed="64"/>
      </top>
      <bottom style="thin">
        <color indexed="55"/>
      </bottom>
      <diagonal/>
    </border>
    <border>
      <left style="hair">
        <color indexed="64"/>
      </left>
      <right style="hair">
        <color indexed="64"/>
      </right>
      <top/>
      <bottom style="hair">
        <color indexed="64"/>
      </bottom>
      <diagonal/>
    </border>
    <border>
      <left/>
      <right style="thin">
        <color indexed="55"/>
      </right>
      <top style="hair">
        <color indexed="64"/>
      </top>
      <bottom style="thin">
        <color indexed="55"/>
      </bottom>
      <diagonal/>
    </border>
    <border>
      <left/>
      <right style="hair">
        <color indexed="64"/>
      </right>
      <top/>
      <bottom style="thin">
        <color indexed="55"/>
      </bottom>
      <diagonal/>
    </border>
    <border>
      <left style="hair">
        <color indexed="64"/>
      </left>
      <right style="hair">
        <color indexed="64"/>
      </right>
      <top style="hair">
        <color indexed="64"/>
      </top>
      <bottom/>
      <diagonal/>
    </border>
    <border>
      <left style="hair">
        <color indexed="64"/>
      </left>
      <right style="hair">
        <color indexed="64"/>
      </right>
      <top style="thin">
        <color indexed="55"/>
      </top>
      <bottom style="thin">
        <color indexed="55"/>
      </bottom>
      <diagonal/>
    </border>
    <border>
      <left style="hair">
        <color indexed="64"/>
      </left>
      <right/>
      <top style="hair">
        <color indexed="64"/>
      </top>
      <bottom/>
      <diagonal/>
    </border>
    <border>
      <left style="hair">
        <color indexed="64"/>
      </left>
      <right/>
      <top style="thin">
        <color indexed="55"/>
      </top>
      <bottom style="thin">
        <color indexed="55"/>
      </bottom>
      <diagonal/>
    </border>
    <border>
      <left style="thin">
        <color indexed="55"/>
      </left>
      <right/>
      <top style="thin">
        <color indexed="55"/>
      </top>
      <bottom style="hair">
        <color indexed="64"/>
      </bottom>
      <diagonal/>
    </border>
    <border>
      <left style="thin">
        <color indexed="55"/>
      </left>
      <right/>
      <top style="hair">
        <color indexed="64"/>
      </top>
      <bottom/>
      <diagonal/>
    </border>
    <border>
      <left style="hair">
        <color indexed="55"/>
      </left>
      <right style="hair">
        <color indexed="64"/>
      </right>
      <top style="thin">
        <color indexed="55"/>
      </top>
      <bottom style="hair">
        <color indexed="64"/>
      </bottom>
      <diagonal/>
    </border>
    <border>
      <left style="hair">
        <color indexed="55"/>
      </left>
      <right style="hair">
        <color indexed="64"/>
      </right>
      <top style="hair">
        <color indexed="64"/>
      </top>
      <bottom style="hair">
        <color indexed="64"/>
      </bottom>
      <diagonal/>
    </border>
    <border>
      <left style="hair">
        <color indexed="55"/>
      </left>
      <right style="hair">
        <color indexed="64"/>
      </right>
      <top style="hair">
        <color indexed="64"/>
      </top>
      <bottom/>
      <diagonal/>
    </border>
    <border>
      <left style="hair">
        <color indexed="55"/>
      </left>
      <right style="hair">
        <color indexed="64"/>
      </right>
      <top style="thin">
        <color indexed="55"/>
      </top>
      <bottom style="thin">
        <color indexed="55"/>
      </bottom>
      <diagonal/>
    </border>
    <border>
      <left/>
      <right/>
      <top style="thin">
        <color indexed="55"/>
      </top>
      <bottom style="hair">
        <color indexed="64"/>
      </bottom>
      <diagonal/>
    </border>
    <border>
      <left/>
      <right style="thin">
        <color indexed="64"/>
      </right>
      <top style="thin">
        <color indexed="55"/>
      </top>
      <bottom style="hair">
        <color indexed="64"/>
      </bottom>
      <diagonal/>
    </border>
    <border>
      <left/>
      <right style="thin">
        <color indexed="64"/>
      </right>
      <top style="hair">
        <color indexed="64"/>
      </top>
      <bottom style="thin">
        <color indexed="55"/>
      </bottom>
      <diagonal/>
    </border>
    <border>
      <left/>
      <right style="hair">
        <color indexed="64"/>
      </right>
      <top style="thin">
        <color indexed="55"/>
      </top>
      <bottom/>
      <diagonal/>
    </border>
    <border>
      <left style="hair">
        <color indexed="64"/>
      </left>
      <right style="hair">
        <color indexed="64"/>
      </right>
      <top style="thin">
        <color indexed="55"/>
      </top>
      <bottom/>
      <diagonal/>
    </border>
    <border>
      <left style="hair">
        <color indexed="64"/>
      </left>
      <right style="thin">
        <color indexed="55"/>
      </right>
      <top style="thin">
        <color indexed="55"/>
      </top>
      <bottom/>
      <diagonal/>
    </border>
    <border>
      <left/>
      <right style="thin">
        <color indexed="64"/>
      </right>
      <top/>
      <bottom style="thin">
        <color indexed="55"/>
      </bottom>
      <diagonal/>
    </border>
    <border>
      <left style="hair">
        <color indexed="64"/>
      </left>
      <right style="hair">
        <color indexed="64"/>
      </right>
      <top/>
      <bottom style="thin">
        <color indexed="55"/>
      </bottom>
      <diagonal/>
    </border>
    <border>
      <left style="hair">
        <color indexed="64"/>
      </left>
      <right style="thin">
        <color indexed="55"/>
      </right>
      <top/>
      <bottom style="thin">
        <color indexed="55"/>
      </bottom>
      <diagonal/>
    </border>
    <border>
      <left/>
      <right style="thin">
        <color indexed="64"/>
      </right>
      <top style="thin">
        <color indexed="55"/>
      </top>
      <bottom style="thin">
        <color indexed="55"/>
      </bottom>
      <diagonal/>
    </border>
    <border>
      <left/>
      <right style="hair">
        <color indexed="64"/>
      </right>
      <top style="thin">
        <color indexed="55"/>
      </top>
      <bottom style="thin">
        <color indexed="55"/>
      </bottom>
      <diagonal/>
    </border>
    <border>
      <left/>
      <right/>
      <top style="thin">
        <color indexed="64"/>
      </top>
      <bottom/>
      <diagonal/>
    </border>
    <border>
      <left/>
      <right/>
      <top/>
      <bottom style="hair">
        <color indexed="64"/>
      </bottom>
      <diagonal/>
    </border>
    <border>
      <left/>
      <right style="thin">
        <color indexed="64"/>
      </right>
      <top/>
      <bottom/>
      <diagonal/>
    </border>
    <border>
      <left/>
      <right/>
      <top/>
      <bottom style="thin">
        <color indexed="64"/>
      </bottom>
      <diagonal/>
    </border>
    <border>
      <left style="thin">
        <color indexed="55"/>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thin">
        <color indexed="55"/>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thin">
        <color indexed="55"/>
      </left>
      <right style="hair">
        <color indexed="55"/>
      </right>
      <top style="hair">
        <color indexed="55"/>
      </top>
      <bottom style="thin">
        <color indexed="55"/>
      </bottom>
      <diagonal/>
    </border>
    <border>
      <left style="hair">
        <color indexed="55"/>
      </left>
      <right style="hair">
        <color indexed="55"/>
      </right>
      <top style="hair">
        <color indexed="55"/>
      </top>
      <bottom style="thin">
        <color indexed="55"/>
      </bottom>
      <diagonal/>
    </border>
    <border>
      <left style="hair">
        <color indexed="55"/>
      </left>
      <right style="thin">
        <color indexed="55"/>
      </right>
      <top style="hair">
        <color indexed="55"/>
      </top>
      <bottom style="hair">
        <color indexed="55"/>
      </bottom>
      <diagonal/>
    </border>
    <border>
      <left style="hair">
        <color indexed="55"/>
      </left>
      <right style="thin">
        <color indexed="55"/>
      </right>
      <top style="hair">
        <color indexed="55"/>
      </top>
      <bottom style="thin">
        <color indexed="55"/>
      </bottom>
      <diagonal/>
    </border>
    <border>
      <left style="thin">
        <color indexed="55"/>
      </left>
      <right style="hair">
        <color indexed="55"/>
      </right>
      <top style="thin">
        <color indexed="55"/>
      </top>
      <bottom/>
      <diagonal/>
    </border>
    <border>
      <left style="hair">
        <color indexed="55"/>
      </left>
      <right style="hair">
        <color indexed="55"/>
      </right>
      <top style="thin">
        <color indexed="55"/>
      </top>
      <bottom/>
      <diagonal/>
    </border>
    <border>
      <left style="hair">
        <color indexed="55"/>
      </left>
      <right style="thin">
        <color indexed="55"/>
      </right>
      <top style="thin">
        <color indexed="55"/>
      </top>
      <bottom/>
      <diagonal/>
    </border>
    <border>
      <left style="thin">
        <color indexed="55"/>
      </left>
      <right style="hair">
        <color indexed="55"/>
      </right>
      <top/>
      <bottom style="hair">
        <color indexed="55"/>
      </bottom>
      <diagonal/>
    </border>
    <border>
      <left style="hair">
        <color indexed="55"/>
      </left>
      <right style="hair">
        <color indexed="55"/>
      </right>
      <top/>
      <bottom style="hair">
        <color indexed="55"/>
      </bottom>
      <diagonal/>
    </border>
    <border>
      <left style="hair">
        <color indexed="55"/>
      </left>
      <right style="thin">
        <color indexed="55"/>
      </right>
      <top/>
      <bottom style="hair">
        <color indexed="55"/>
      </bottom>
      <diagonal/>
    </border>
    <border>
      <left style="hair">
        <color indexed="55"/>
      </left>
      <right style="hair">
        <color indexed="55"/>
      </right>
      <top style="thin">
        <color indexed="55"/>
      </top>
      <bottom style="thin">
        <color indexed="55"/>
      </bottom>
      <diagonal/>
    </border>
    <border>
      <left style="hair">
        <color indexed="55"/>
      </left>
      <right style="thin">
        <color indexed="55"/>
      </right>
      <top style="thin">
        <color indexed="55"/>
      </top>
      <bottom style="thin">
        <color indexed="55"/>
      </bottom>
      <diagonal/>
    </border>
    <border>
      <left style="thin">
        <color indexed="55"/>
      </left>
      <right style="thin">
        <color indexed="55"/>
      </right>
      <top/>
      <bottom style="hair">
        <color indexed="55"/>
      </bottom>
      <diagonal/>
    </border>
    <border>
      <left style="thin">
        <color indexed="55"/>
      </left>
      <right style="thin">
        <color indexed="55"/>
      </right>
      <top style="hair">
        <color indexed="55"/>
      </top>
      <bottom style="hair">
        <color indexed="55"/>
      </bottom>
      <diagonal/>
    </border>
    <border>
      <left style="thin">
        <color indexed="62"/>
      </left>
      <right style="medium">
        <color indexed="62"/>
      </right>
      <top style="thin">
        <color indexed="62"/>
      </top>
      <bottom style="thin">
        <color indexed="62"/>
      </bottom>
      <diagonal/>
    </border>
    <border>
      <left style="medium">
        <color indexed="62"/>
      </left>
      <right style="thin">
        <color indexed="62"/>
      </right>
      <top style="thin">
        <color indexed="62"/>
      </top>
      <bottom style="thin">
        <color indexed="62"/>
      </bottom>
      <diagonal/>
    </border>
    <border>
      <left/>
      <right/>
      <top style="thin">
        <color indexed="18"/>
      </top>
      <bottom style="thin">
        <color indexed="18"/>
      </bottom>
      <diagonal/>
    </border>
    <border>
      <left style="thin">
        <color indexed="62"/>
      </left>
      <right style="medium">
        <color indexed="62"/>
      </right>
      <top style="medium">
        <color indexed="62"/>
      </top>
      <bottom style="medium">
        <color indexed="62"/>
      </bottom>
      <diagonal/>
    </border>
    <border>
      <left style="thin">
        <color indexed="62"/>
      </left>
      <right style="thin">
        <color indexed="9"/>
      </right>
      <top style="thin">
        <color indexed="62"/>
      </top>
      <bottom style="thin">
        <color indexed="62"/>
      </bottom>
      <diagonal/>
    </border>
    <border>
      <left style="thin">
        <color indexed="9"/>
      </left>
      <right style="thin">
        <color indexed="12"/>
      </right>
      <top style="thin">
        <color indexed="62"/>
      </top>
      <bottom style="thin">
        <color indexed="62"/>
      </bottom>
      <diagonal/>
    </border>
    <border>
      <left style="medium">
        <color indexed="18"/>
      </left>
      <right/>
      <top style="medium">
        <color indexed="18"/>
      </top>
      <bottom style="hair">
        <color indexed="18"/>
      </bottom>
      <diagonal/>
    </border>
    <border>
      <left/>
      <right/>
      <top style="medium">
        <color indexed="18"/>
      </top>
      <bottom style="hair">
        <color indexed="18"/>
      </bottom>
      <diagonal/>
    </border>
    <border>
      <left/>
      <right style="medium">
        <color indexed="18"/>
      </right>
      <top style="medium">
        <color indexed="18"/>
      </top>
      <bottom style="hair">
        <color indexed="18"/>
      </bottom>
      <diagonal/>
    </border>
    <border>
      <left style="medium">
        <color indexed="18"/>
      </left>
      <right/>
      <top/>
      <bottom/>
      <diagonal/>
    </border>
    <border>
      <left/>
      <right style="medium">
        <color indexed="18"/>
      </right>
      <top/>
      <bottom/>
      <diagonal/>
    </border>
    <border>
      <left style="medium">
        <color indexed="18"/>
      </left>
      <right/>
      <top style="thin">
        <color indexed="18"/>
      </top>
      <bottom style="thin">
        <color indexed="18"/>
      </bottom>
      <diagonal/>
    </border>
    <border>
      <left/>
      <right style="medium">
        <color indexed="18"/>
      </right>
      <top style="thin">
        <color indexed="18"/>
      </top>
      <bottom style="thin">
        <color indexed="18"/>
      </bottom>
      <diagonal/>
    </border>
    <border>
      <left style="medium">
        <color indexed="18"/>
      </left>
      <right/>
      <top style="thin">
        <color indexed="18"/>
      </top>
      <bottom style="medium">
        <color indexed="18"/>
      </bottom>
      <diagonal/>
    </border>
    <border>
      <left/>
      <right/>
      <top style="thin">
        <color indexed="18"/>
      </top>
      <bottom style="medium">
        <color indexed="18"/>
      </bottom>
      <diagonal/>
    </border>
    <border>
      <left/>
      <right style="medium">
        <color indexed="18"/>
      </right>
      <top style="thin">
        <color indexed="18"/>
      </top>
      <bottom style="medium">
        <color indexed="18"/>
      </bottom>
      <diagonal/>
    </border>
    <border>
      <left style="medium">
        <color indexed="62"/>
      </left>
      <right/>
      <top/>
      <bottom/>
      <diagonal/>
    </border>
    <border>
      <left/>
      <right style="medium">
        <color indexed="62"/>
      </right>
      <top/>
      <bottom/>
      <diagonal/>
    </border>
    <border>
      <left style="medium">
        <color indexed="62"/>
      </left>
      <right/>
      <top/>
      <bottom style="thin">
        <color indexed="62"/>
      </bottom>
      <diagonal/>
    </border>
    <border>
      <left style="medium">
        <color indexed="62"/>
      </left>
      <right/>
      <top style="thin">
        <color indexed="62"/>
      </top>
      <bottom style="medium">
        <color indexed="62"/>
      </bottom>
      <diagonal/>
    </border>
    <border>
      <left/>
      <right/>
      <top style="thin">
        <color indexed="62"/>
      </top>
      <bottom style="medium">
        <color indexed="62"/>
      </bottom>
      <diagonal/>
    </border>
    <border>
      <left/>
      <right style="medium">
        <color indexed="62"/>
      </right>
      <top style="thin">
        <color indexed="62"/>
      </top>
      <bottom style="medium">
        <color indexed="62"/>
      </bottom>
      <diagonal/>
    </border>
    <border>
      <left/>
      <right style="medium">
        <color indexed="62"/>
      </right>
      <top/>
      <bottom style="thin">
        <color indexed="62"/>
      </bottom>
      <diagonal/>
    </border>
    <border>
      <left style="medium">
        <color indexed="62"/>
      </left>
      <right/>
      <top style="medium">
        <color indexed="62"/>
      </top>
      <bottom style="hair">
        <color indexed="62"/>
      </bottom>
      <diagonal/>
    </border>
    <border>
      <left/>
      <right/>
      <top style="medium">
        <color indexed="62"/>
      </top>
      <bottom style="hair">
        <color indexed="62"/>
      </bottom>
      <diagonal/>
    </border>
    <border>
      <left/>
      <right style="medium">
        <color indexed="62"/>
      </right>
      <top style="medium">
        <color indexed="62"/>
      </top>
      <bottom style="hair">
        <color indexed="62"/>
      </bottom>
      <diagonal/>
    </border>
    <border>
      <left/>
      <right style="thin">
        <color indexed="9"/>
      </right>
      <top/>
      <bottom/>
      <diagonal/>
    </border>
    <border>
      <left style="thin">
        <color indexed="64"/>
      </left>
      <right style="thin">
        <color indexed="62"/>
      </right>
      <top/>
      <bottom/>
      <diagonal/>
    </border>
    <border>
      <left style="thin">
        <color indexed="62"/>
      </left>
      <right/>
      <top style="hair">
        <color indexed="64"/>
      </top>
      <bottom style="hair">
        <color indexed="64"/>
      </bottom>
      <diagonal/>
    </border>
    <border>
      <left style="thin">
        <color indexed="62"/>
      </left>
      <right/>
      <top style="hair">
        <color indexed="64"/>
      </top>
      <bottom style="thin">
        <color indexed="62"/>
      </bottom>
      <diagonal/>
    </border>
    <border>
      <left/>
      <right/>
      <top style="hair">
        <color indexed="64"/>
      </top>
      <bottom style="thin">
        <color indexed="62"/>
      </bottom>
      <diagonal/>
    </border>
    <border>
      <left style="hair">
        <color indexed="62"/>
      </left>
      <right style="hair">
        <color indexed="62"/>
      </right>
      <top style="thin">
        <color indexed="62"/>
      </top>
      <bottom style="hair">
        <color indexed="62"/>
      </bottom>
      <diagonal/>
    </border>
    <border>
      <left/>
      <right/>
      <top style="thin">
        <color indexed="62"/>
      </top>
      <bottom style="hair">
        <color indexed="64"/>
      </bottom>
      <diagonal/>
    </border>
    <border>
      <left style="hair">
        <color indexed="62"/>
      </left>
      <right style="hair">
        <color indexed="62"/>
      </right>
      <top style="hair">
        <color indexed="62"/>
      </top>
      <bottom style="hair">
        <color indexed="62"/>
      </bottom>
      <diagonal/>
    </border>
    <border>
      <left/>
      <right style="thin">
        <color indexed="62"/>
      </right>
      <top style="thin">
        <color indexed="62"/>
      </top>
      <bottom style="hair">
        <color indexed="64"/>
      </bottom>
      <diagonal/>
    </border>
    <border>
      <left/>
      <right style="thin">
        <color indexed="62"/>
      </right>
      <top style="hair">
        <color indexed="64"/>
      </top>
      <bottom style="hair">
        <color indexed="64"/>
      </bottom>
      <diagonal/>
    </border>
    <border>
      <left style="hair">
        <color indexed="62"/>
      </left>
      <right style="hair">
        <color indexed="62"/>
      </right>
      <top style="hair">
        <color indexed="62"/>
      </top>
      <bottom style="thin">
        <color indexed="62"/>
      </bottom>
      <diagonal/>
    </border>
    <border>
      <left/>
      <right style="thin">
        <color indexed="62"/>
      </right>
      <top style="hair">
        <color indexed="64"/>
      </top>
      <bottom style="thin">
        <color indexed="62"/>
      </bottom>
      <diagonal/>
    </border>
    <border>
      <left style="thin">
        <color indexed="9"/>
      </left>
      <right/>
      <top style="thin">
        <color indexed="62"/>
      </top>
      <bottom style="thin">
        <color indexed="62"/>
      </bottom>
      <diagonal/>
    </border>
    <border>
      <left/>
      <right style="thin">
        <color indexed="9"/>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hair">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style="medium">
        <color indexed="64"/>
      </left>
      <right style="medium">
        <color indexed="64"/>
      </right>
      <top style="medium">
        <color indexed="64"/>
      </top>
      <bottom style="medium">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style="thin">
        <color indexed="64"/>
      </right>
      <top style="thin">
        <color indexed="55"/>
      </top>
      <bottom/>
      <diagonal/>
    </border>
    <border>
      <left style="thin">
        <color indexed="62"/>
      </left>
      <right/>
      <top style="thin">
        <color indexed="62"/>
      </top>
      <bottom style="hair">
        <color indexed="64"/>
      </bottom>
      <diagonal/>
    </border>
    <border>
      <left style="medium">
        <color indexed="62"/>
      </left>
      <right/>
      <top style="medium">
        <color indexed="62"/>
      </top>
      <bottom style="medium">
        <color indexed="62"/>
      </bottom>
      <diagonal/>
    </border>
    <border>
      <left/>
      <right style="thin">
        <color indexed="62"/>
      </right>
      <top style="medium">
        <color indexed="62"/>
      </top>
      <bottom style="medium">
        <color indexed="62"/>
      </bottom>
      <diagonal/>
    </border>
    <border>
      <left style="medium">
        <color indexed="62"/>
      </left>
      <right/>
      <top style="thin">
        <color indexed="62"/>
      </top>
      <bottom style="thin">
        <color indexed="62"/>
      </bottom>
      <diagonal/>
    </border>
    <border>
      <left/>
      <right style="medium">
        <color indexed="62"/>
      </right>
      <top style="thin">
        <color indexed="62"/>
      </top>
      <bottom style="thin">
        <color indexed="62"/>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dashed">
        <color indexed="64"/>
      </right>
      <top style="medium">
        <color indexed="64"/>
      </top>
      <bottom/>
      <diagonal/>
    </border>
    <border>
      <left style="dashed">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55"/>
      </right>
      <top/>
      <bottom style="hair">
        <color indexed="55"/>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style="hair">
        <color indexed="64"/>
      </bottom>
      <diagonal/>
    </border>
    <border>
      <left style="thin">
        <color rgb="FF0000CC"/>
      </left>
      <right/>
      <top style="thin">
        <color rgb="FF0000CC"/>
      </top>
      <bottom/>
      <diagonal/>
    </border>
    <border>
      <left/>
      <right/>
      <top style="thin">
        <color rgb="FF0000CC"/>
      </top>
      <bottom/>
      <diagonal/>
    </border>
    <border>
      <left/>
      <right style="thin">
        <color rgb="FF0000CC"/>
      </right>
      <top style="thin">
        <color rgb="FF0000CC"/>
      </top>
      <bottom/>
      <diagonal/>
    </border>
    <border>
      <left style="thin">
        <color rgb="FF0000CC"/>
      </left>
      <right/>
      <top/>
      <bottom/>
      <diagonal/>
    </border>
    <border>
      <left/>
      <right style="thin">
        <color rgb="FF0000CC"/>
      </right>
      <top/>
      <bottom/>
      <diagonal/>
    </border>
    <border>
      <left style="thin">
        <color rgb="FF0000CC"/>
      </left>
      <right/>
      <top style="thin">
        <color indexed="62"/>
      </top>
      <bottom style="thin">
        <color indexed="62"/>
      </bottom>
      <diagonal/>
    </border>
    <border>
      <left/>
      <right style="thin">
        <color rgb="FF0000CC"/>
      </right>
      <top style="thin">
        <color indexed="62"/>
      </top>
      <bottom style="thin">
        <color indexed="62"/>
      </bottom>
      <diagonal/>
    </border>
    <border>
      <left style="thin">
        <color indexed="64"/>
      </left>
      <right/>
      <top/>
      <bottom/>
      <diagonal/>
    </border>
    <border>
      <left style="thin">
        <color rgb="FF0000CC"/>
      </left>
      <right/>
      <top style="thin">
        <color indexed="62"/>
      </top>
      <bottom/>
      <diagonal/>
    </border>
    <border>
      <left/>
      <right style="thin">
        <color rgb="FF0000CC"/>
      </right>
      <top style="thin">
        <color indexed="62"/>
      </top>
      <bottom/>
      <diagonal/>
    </border>
    <border>
      <left style="hair">
        <color indexed="62"/>
      </left>
      <right style="thin">
        <color indexed="62"/>
      </right>
      <top style="hair">
        <color indexed="62"/>
      </top>
      <bottom style="hair">
        <color indexed="62"/>
      </bottom>
      <diagonal/>
    </border>
    <border>
      <left style="hair">
        <color indexed="62"/>
      </left>
      <right style="thin">
        <color indexed="62"/>
      </right>
      <top style="hair">
        <color indexed="62"/>
      </top>
      <bottom style="thin">
        <color indexed="62"/>
      </bottom>
      <diagonal/>
    </border>
    <border>
      <left style="hair">
        <color indexed="64"/>
      </left>
      <right style="thin">
        <color indexed="55"/>
      </right>
      <top/>
      <bottom/>
      <diagonal/>
    </border>
    <border>
      <left style="thin">
        <color indexed="9"/>
      </left>
      <right style="thin">
        <color indexed="64"/>
      </right>
      <top/>
      <bottom/>
      <diagonal/>
    </border>
    <border>
      <left style="medium">
        <color theme="0" tint="-0.14993743705557422"/>
      </left>
      <right style="medium">
        <color theme="0" tint="-0.14996795556505021"/>
      </right>
      <top style="medium">
        <color theme="0" tint="-0.14993743705557422"/>
      </top>
      <bottom style="medium">
        <color theme="0" tint="-0.14993743705557422"/>
      </bottom>
      <diagonal/>
    </border>
    <border>
      <left style="medium">
        <color theme="0" tint="-0.14996795556505021"/>
      </left>
      <right style="medium">
        <color theme="0" tint="-0.14996795556505021"/>
      </right>
      <top style="medium">
        <color theme="0" tint="-0.14993743705557422"/>
      </top>
      <bottom style="medium">
        <color theme="0" tint="-0.14993743705557422"/>
      </bottom>
      <diagonal/>
    </border>
    <border>
      <left style="medium">
        <color theme="0" tint="-0.14996795556505021"/>
      </left>
      <right style="medium">
        <color theme="0" tint="-0.14993743705557422"/>
      </right>
      <top style="medium">
        <color theme="0" tint="-0.14993743705557422"/>
      </top>
      <bottom style="medium">
        <color theme="0" tint="-0.14993743705557422"/>
      </bottom>
      <diagonal/>
    </border>
    <border>
      <left style="medium">
        <color theme="0" tint="-0.14993743705557422"/>
      </left>
      <right style="medium">
        <color theme="0" tint="-0.14993743705557422"/>
      </right>
      <top style="medium">
        <color theme="0" tint="-0.14993743705557422"/>
      </top>
      <bottom style="mediumDashed">
        <color theme="0" tint="-0.14990691854609822"/>
      </bottom>
      <diagonal/>
    </border>
    <border>
      <left style="medium">
        <color theme="0" tint="-0.14993743705557422"/>
      </left>
      <right style="medium">
        <color theme="0" tint="-0.14993743705557422"/>
      </right>
      <top style="mediumDashed">
        <color theme="0" tint="-0.14990691854609822"/>
      </top>
      <bottom style="mediumDashed">
        <color theme="0" tint="-0.14990691854609822"/>
      </bottom>
      <diagonal/>
    </border>
    <border>
      <left style="medium">
        <color theme="0" tint="-0.14990691854609822"/>
      </left>
      <right style="medium">
        <color theme="0" tint="-0.14993743705557422"/>
      </right>
      <top style="mediumDashed">
        <color theme="0" tint="-0.14990691854609822"/>
      </top>
      <bottom style="mediumDashed">
        <color theme="0" tint="-0.1498764000366222"/>
      </bottom>
      <diagonal/>
    </border>
    <border>
      <left style="medium">
        <color theme="0" tint="-0.14993743705557422"/>
      </left>
      <right style="medium">
        <color theme="0" tint="-0.14993743705557422"/>
      </right>
      <top style="mediumDashed">
        <color theme="0" tint="-0.14990691854609822"/>
      </top>
      <bottom style="mediumDashed">
        <color theme="0" tint="-0.1498764000366222"/>
      </bottom>
      <diagonal/>
    </border>
    <border>
      <left style="medium">
        <color theme="0" tint="-0.14993743705557422"/>
      </left>
      <right style="medium">
        <color theme="0" tint="-0.14993743705557422"/>
      </right>
      <top style="mediumDashed">
        <color theme="0" tint="-0.1498764000366222"/>
      </top>
      <bottom style="mediumDashed">
        <color theme="0" tint="-0.1498764000366222"/>
      </bottom>
      <diagonal/>
    </border>
    <border>
      <left style="medium">
        <color theme="0" tint="-0.14993743705557422"/>
      </left>
      <right style="medium">
        <color theme="0" tint="-0.14993743705557422"/>
      </right>
      <top style="mediumDashed">
        <color theme="0" tint="-0.1498764000366222"/>
      </top>
      <bottom style="mediumDashed">
        <color theme="0" tint="-0.14990691854609822"/>
      </bottom>
      <diagonal/>
    </border>
    <border>
      <left style="medium">
        <color theme="0" tint="-0.14993743705557422"/>
      </left>
      <right/>
      <top style="mediumDashed">
        <color theme="0" tint="-0.14990691854609822"/>
      </top>
      <bottom style="mediumDashed">
        <color theme="0" tint="-0.14990691854609822"/>
      </bottom>
      <diagonal/>
    </border>
    <border>
      <left style="hair">
        <color indexed="62"/>
      </left>
      <right style="hair">
        <color indexed="62"/>
      </right>
      <top/>
      <bottom/>
      <diagonal/>
    </border>
    <border>
      <left style="hair">
        <color indexed="62"/>
      </left>
      <right style="medium">
        <color indexed="62"/>
      </right>
      <top/>
      <bottom/>
      <diagonal/>
    </border>
    <border>
      <left style="medium">
        <color indexed="62"/>
      </left>
      <right/>
      <top/>
      <bottom style="medium">
        <color indexed="62"/>
      </bottom>
      <diagonal/>
    </border>
    <border>
      <left style="hair">
        <color indexed="62"/>
      </left>
      <right style="hair">
        <color indexed="62"/>
      </right>
      <top/>
      <bottom style="medium">
        <color indexed="62"/>
      </bottom>
      <diagonal/>
    </border>
    <border>
      <left style="hair">
        <color indexed="62"/>
      </left>
      <right style="medium">
        <color indexed="62"/>
      </right>
      <top/>
      <bottom style="medium">
        <color indexed="62"/>
      </bottom>
      <diagonal/>
    </border>
    <border>
      <left style="medium">
        <color indexed="18"/>
      </left>
      <right/>
      <top/>
      <bottom style="thin">
        <color indexed="18"/>
      </bottom>
      <diagonal/>
    </border>
    <border>
      <left style="hair">
        <color indexed="62"/>
      </left>
      <right style="hair">
        <color indexed="62"/>
      </right>
      <top style="hair">
        <color indexed="62"/>
      </top>
      <bottom/>
      <diagonal/>
    </border>
    <border>
      <left style="hair">
        <color indexed="62"/>
      </left>
      <right style="medium">
        <color indexed="62"/>
      </right>
      <top style="hair">
        <color indexed="62"/>
      </top>
      <bottom/>
      <diagonal/>
    </border>
    <border>
      <left style="thin">
        <color indexed="64"/>
      </left>
      <right/>
      <top style="thin">
        <color indexed="62"/>
      </top>
      <bottom/>
      <diagonal/>
    </border>
    <border>
      <left style="thin">
        <color indexed="64"/>
      </left>
      <right/>
      <top/>
      <bottom style="thin">
        <color indexed="62"/>
      </bottom>
      <diagonal/>
    </border>
    <border>
      <left style="thin">
        <color indexed="64"/>
      </left>
      <right style="thin">
        <color indexed="62"/>
      </right>
      <top style="thin">
        <color indexed="62"/>
      </top>
      <bottom/>
      <diagonal/>
    </border>
    <border>
      <left style="thin">
        <color indexed="64"/>
      </left>
      <right style="thin">
        <color indexed="62"/>
      </right>
      <top/>
      <bottom style="thin">
        <color indexed="64"/>
      </bottom>
      <diagonal/>
    </border>
    <border>
      <left style="thin">
        <color indexed="64"/>
      </left>
      <right style="thin">
        <color indexed="62"/>
      </right>
      <top/>
      <bottom style="thin">
        <color indexed="62"/>
      </bottom>
      <diagonal/>
    </border>
    <border>
      <left style="thin">
        <color indexed="62"/>
      </left>
      <right style="thin">
        <color theme="0" tint="-4.9989318521683403E-2"/>
      </right>
      <top style="thin">
        <color indexed="62"/>
      </top>
      <bottom style="thin">
        <color indexed="62"/>
      </bottom>
      <diagonal/>
    </border>
    <border>
      <left style="thin">
        <color theme="0" tint="-4.9989318521683403E-2"/>
      </left>
      <right style="thin">
        <color theme="0" tint="-4.9989318521683403E-2"/>
      </right>
      <top style="thin">
        <color indexed="62"/>
      </top>
      <bottom style="thin">
        <color indexed="62"/>
      </bottom>
      <diagonal/>
    </border>
    <border>
      <left style="thin">
        <color theme="0" tint="-4.9989318521683403E-2"/>
      </left>
      <right style="thin">
        <color indexed="62"/>
      </right>
      <top style="thin">
        <color indexed="62"/>
      </top>
      <bottom style="thin">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2"/>
      </top>
      <bottom style="thin">
        <color indexed="62"/>
      </bottom>
      <diagonal/>
    </border>
    <border>
      <left style="thin">
        <color indexed="64"/>
      </left>
      <right/>
      <top style="thin">
        <color indexed="64"/>
      </top>
      <bottom style="thin">
        <color indexed="62"/>
      </bottom>
      <diagonal/>
    </border>
    <border>
      <left style="thin">
        <color theme="0"/>
      </left>
      <right/>
      <top style="thin">
        <color indexed="64"/>
      </top>
      <bottom style="thin">
        <color theme="0"/>
      </bottom>
      <diagonal/>
    </border>
    <border>
      <left/>
      <right style="thin">
        <color indexed="9"/>
      </right>
      <top style="thin">
        <color indexed="64"/>
      </top>
      <bottom style="thin">
        <color theme="0"/>
      </bottom>
      <diagonal/>
    </border>
    <border>
      <left/>
      <right/>
      <top style="thin">
        <color indexed="64"/>
      </top>
      <bottom style="thin">
        <color theme="0"/>
      </bottom>
      <diagonal/>
    </border>
    <border>
      <left style="thin">
        <color indexed="9"/>
      </left>
      <right/>
      <top style="thin">
        <color indexed="64"/>
      </top>
      <bottom style="thin">
        <color theme="0"/>
      </bottom>
      <diagonal/>
    </border>
    <border>
      <left style="thin">
        <color indexed="9"/>
      </left>
      <right style="thin">
        <color indexed="62"/>
      </right>
      <top style="thin">
        <color indexed="64"/>
      </top>
      <bottom style="thin">
        <color theme="0"/>
      </bottom>
      <diagonal/>
    </border>
    <border>
      <left style="thin">
        <color indexed="9"/>
      </left>
      <right style="thin">
        <color theme="0"/>
      </right>
      <top style="thin">
        <color indexed="64"/>
      </top>
      <bottom style="thin">
        <color theme="0"/>
      </bottom>
      <diagonal/>
    </border>
    <border>
      <left style="thin">
        <color indexed="9"/>
      </left>
      <right/>
      <top/>
      <bottom style="thin">
        <color indexed="64"/>
      </bottom>
      <diagonal/>
    </border>
    <border>
      <left style="thin">
        <color indexed="9"/>
      </left>
      <right style="thin">
        <color indexed="9"/>
      </right>
      <top/>
      <bottom style="thin">
        <color indexed="64"/>
      </bottom>
      <diagonal/>
    </border>
    <border>
      <left style="thin">
        <color theme="0"/>
      </left>
      <right style="thin">
        <color indexed="64"/>
      </right>
      <top style="thin">
        <color indexed="64"/>
      </top>
      <bottom style="thin">
        <color theme="0"/>
      </bottom>
      <diagonal/>
    </border>
    <border>
      <left style="thin">
        <color indexed="9"/>
      </left>
      <right style="thin">
        <color indexed="64"/>
      </right>
      <top style="thin">
        <color theme="0"/>
      </top>
      <bottom style="thin">
        <color indexed="64"/>
      </bottom>
      <diagonal/>
    </border>
    <border>
      <left/>
      <right/>
      <top style="hair">
        <color indexed="64"/>
      </top>
      <bottom/>
      <diagonal/>
    </border>
    <border>
      <left style="hair">
        <color indexed="62"/>
      </left>
      <right style="thin">
        <color indexed="62"/>
      </right>
      <top style="hair">
        <color indexed="62"/>
      </top>
      <bottom/>
      <diagonal/>
    </border>
    <border>
      <left style="thin">
        <color indexed="62"/>
      </left>
      <right/>
      <top style="hair">
        <color indexed="64"/>
      </top>
      <bottom/>
      <diagonal/>
    </border>
    <border>
      <left/>
      <right/>
      <top style="hair">
        <color indexed="55"/>
      </top>
      <bottom/>
      <diagonal/>
    </border>
    <border>
      <left style="thin">
        <color indexed="9"/>
      </left>
      <right style="thin">
        <color indexed="9"/>
      </right>
      <top style="hair">
        <color indexed="55"/>
      </top>
      <bottom/>
      <diagonal/>
    </border>
    <border>
      <left style="medium">
        <color indexed="9"/>
      </left>
      <right style="thin">
        <color indexed="55"/>
      </right>
      <top style="hair">
        <color indexed="55"/>
      </top>
      <bottom/>
      <diagonal/>
    </border>
    <border>
      <left style="thick">
        <color rgb="FFFF0000"/>
      </left>
      <right style="thick">
        <color rgb="FFFF0000"/>
      </right>
      <top style="thick">
        <color rgb="FFFF0000"/>
      </top>
      <bottom style="thick">
        <color rgb="FFFF0000"/>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theme="0" tint="-4.9989318521683403E-2"/>
      </left>
      <right style="thin">
        <color theme="0" tint="-4.9989318521683403E-2"/>
      </right>
      <top/>
      <bottom style="thin">
        <color indexed="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FFFFFF"/>
      </left>
      <right/>
      <top style="thin">
        <color indexed="62"/>
      </top>
      <bottom style="thin">
        <color rgb="FFFFFFFF"/>
      </bottom>
      <diagonal/>
    </border>
    <border>
      <left/>
      <right style="thin">
        <color indexed="62"/>
      </right>
      <top style="thin">
        <color indexed="62"/>
      </top>
      <bottom style="thin">
        <color rgb="FFFFFFFF"/>
      </bottom>
      <diagonal/>
    </border>
    <border>
      <left/>
      <right/>
      <top/>
      <bottom style="thin">
        <color rgb="FFFFFFFF"/>
      </bottom>
      <diagonal/>
    </border>
    <border>
      <left/>
      <right style="thin">
        <color rgb="FFFFFFFF"/>
      </right>
      <top/>
      <bottom style="thin">
        <color rgb="FFFFFFFF"/>
      </bottom>
      <diagonal/>
    </border>
    <border>
      <left/>
      <right/>
      <top/>
      <bottom style="thin">
        <color indexed="56"/>
      </bottom>
      <diagonal/>
    </border>
    <border>
      <left/>
      <right/>
      <top style="thin">
        <color indexed="56"/>
      </top>
      <bottom/>
      <diagonal/>
    </border>
    <border>
      <left style="thin">
        <color theme="0" tint="-0.14999847407452621"/>
      </left>
      <right/>
      <top style="thick">
        <color indexed="56"/>
      </top>
      <bottom style="thin">
        <color theme="0" tint="-0.14999847407452621"/>
      </bottom>
      <diagonal/>
    </border>
    <border>
      <left style="thin">
        <color theme="0" tint="-0.14999847407452621"/>
      </left>
      <right/>
      <top style="thick">
        <color indexed="56"/>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indexed="62"/>
      </left>
      <right style="thin">
        <color indexed="64"/>
      </right>
      <top style="thin">
        <color indexed="62"/>
      </top>
      <bottom style="thin">
        <color indexed="62"/>
      </bottom>
      <diagonal/>
    </border>
    <border>
      <left style="thin">
        <color indexed="9"/>
      </left>
      <right/>
      <top/>
      <bottom style="thin">
        <color indexed="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2"/>
      </left>
      <right style="medium">
        <color indexed="62"/>
      </right>
      <top/>
      <bottom/>
      <diagonal/>
    </border>
    <border>
      <left style="medium">
        <color indexed="62"/>
      </left>
      <right style="medium">
        <color indexed="62"/>
      </right>
      <top style="thin">
        <color indexed="62"/>
      </top>
      <bottom style="medium">
        <color indexed="62"/>
      </bottom>
      <diagonal/>
    </border>
    <border>
      <left style="medium">
        <color indexed="62"/>
      </left>
      <right style="medium">
        <color indexed="62"/>
      </right>
      <top style="medium">
        <color indexed="62"/>
      </top>
      <bottom style="medium">
        <color indexed="62"/>
      </bottom>
      <diagonal/>
    </border>
    <border>
      <left/>
      <right/>
      <top style="medium">
        <color indexed="62"/>
      </top>
      <bottom/>
      <diagonal/>
    </border>
    <border>
      <left/>
      <right style="medium">
        <color indexed="62"/>
      </right>
      <top style="medium">
        <color indexed="62"/>
      </top>
      <bottom/>
      <diagonal/>
    </border>
    <border>
      <left/>
      <right style="thin">
        <color indexed="62"/>
      </right>
      <top style="thin">
        <color indexed="62"/>
      </top>
      <bottom style="medium">
        <color indexed="62"/>
      </bottom>
      <diagonal/>
    </border>
    <border>
      <left style="medium">
        <color indexed="62"/>
      </left>
      <right style="medium">
        <color indexed="18"/>
      </right>
      <top/>
      <bottom style="thin">
        <color indexed="62"/>
      </bottom>
      <diagonal/>
    </border>
    <border>
      <left style="medium">
        <color indexed="62"/>
      </left>
      <right style="medium">
        <color indexed="18"/>
      </right>
      <top/>
      <bottom/>
      <diagonal/>
    </border>
    <border>
      <left/>
      <right style="medium">
        <color indexed="18"/>
      </right>
      <top/>
      <bottom style="thin">
        <color indexed="62"/>
      </bottom>
      <diagonal/>
    </border>
    <border>
      <left style="thin">
        <color indexed="62"/>
      </left>
      <right style="thin">
        <color indexed="9"/>
      </right>
      <top/>
      <bottom style="thin">
        <color indexed="62"/>
      </bottom>
      <diagonal/>
    </border>
    <border>
      <left style="thin">
        <color indexed="9"/>
      </left>
      <right style="thin">
        <color indexed="12"/>
      </right>
      <top/>
      <bottom style="thin">
        <color indexed="62"/>
      </bottom>
      <diagonal/>
    </border>
    <border>
      <left style="medium">
        <color indexed="18"/>
      </left>
      <right style="medium">
        <color indexed="18"/>
      </right>
      <top style="medium">
        <color indexed="18"/>
      </top>
      <bottom/>
      <diagonal/>
    </border>
    <border>
      <left style="medium">
        <color indexed="18"/>
      </left>
      <right style="medium">
        <color indexed="18"/>
      </right>
      <top/>
      <bottom/>
      <diagonal/>
    </border>
    <border>
      <left style="medium">
        <color indexed="18"/>
      </left>
      <right style="medium">
        <color indexed="18"/>
      </right>
      <top style="thin">
        <color indexed="18"/>
      </top>
      <bottom style="thin">
        <color indexed="18"/>
      </bottom>
      <diagonal/>
    </border>
    <border>
      <left style="medium">
        <color indexed="18"/>
      </left>
      <right style="medium">
        <color indexed="18"/>
      </right>
      <top style="thin">
        <color indexed="18"/>
      </top>
      <bottom style="medium">
        <color indexed="18"/>
      </bottom>
      <diagonal/>
    </border>
    <border>
      <left style="medium">
        <color indexed="62"/>
      </left>
      <right style="medium">
        <color indexed="18"/>
      </right>
      <top style="hair">
        <color indexed="62"/>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top/>
      <bottom style="thick">
        <color rgb="FFFFC000"/>
      </bottom>
      <diagonal/>
    </border>
    <border>
      <left/>
      <right/>
      <top/>
      <bottom style="thin">
        <color rgb="FFFFC000"/>
      </bottom>
      <diagonal/>
    </border>
    <border>
      <left/>
      <right/>
      <top style="thin">
        <color indexed="64"/>
      </top>
      <bottom style="double">
        <color indexed="64"/>
      </bottom>
      <diagonal/>
    </border>
    <border>
      <left/>
      <right/>
      <top style="thin">
        <color indexed="64"/>
      </top>
      <bottom style="medium">
        <color indexed="64"/>
      </bottom>
      <diagonal/>
    </border>
    <border>
      <left style="hair">
        <color indexed="62"/>
      </left>
      <right style="thin">
        <color indexed="62"/>
      </right>
      <top style="thin">
        <color indexed="62"/>
      </top>
      <bottom style="hair">
        <color indexed="62"/>
      </bottom>
      <diagonal/>
    </border>
    <border>
      <left style="thin">
        <color indexed="55"/>
      </left>
      <right/>
      <top style="hair">
        <color indexed="55"/>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top/>
      <bottom style="hair">
        <color indexed="22"/>
      </bottom>
      <diagonal/>
    </border>
    <border>
      <left style="medium">
        <color indexed="64"/>
      </left>
      <right style="medium">
        <color indexed="64"/>
      </right>
      <top style="hair">
        <color indexed="64"/>
      </top>
      <bottom style="hair">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22"/>
      </left>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22"/>
      </left>
      <right style="medium">
        <color indexed="22"/>
      </right>
      <top/>
      <bottom style="thin">
        <color indexed="22"/>
      </bottom>
      <diagonal/>
    </border>
    <border>
      <left/>
      <right/>
      <top/>
      <bottom style="thin">
        <color rgb="FF000000"/>
      </bottom>
      <diagonal/>
    </border>
  </borders>
  <cellStyleXfs count="253">
    <xf numFmtId="0" fontId="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8" fillId="2"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5" borderId="0" applyNumberFormat="0" applyBorder="0" applyAlignment="0" applyProtection="0"/>
    <xf numFmtId="0" fontId="118" fillId="8" borderId="0" applyNumberFormat="0" applyBorder="0" applyAlignment="0" applyProtection="0"/>
    <xf numFmtId="0" fontId="118" fillId="11" borderId="0" applyNumberFormat="0" applyBorder="0" applyAlignment="0" applyProtection="0"/>
    <xf numFmtId="0" fontId="119" fillId="12"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9" borderId="0" applyNumberFormat="0" applyBorder="0" applyAlignment="0" applyProtection="0"/>
    <xf numFmtId="0" fontId="120" fillId="20" borderId="1" applyNumberFormat="0" applyAlignment="0" applyProtection="0"/>
    <xf numFmtId="0" fontId="16" fillId="21" borderId="0" applyNumberFormat="0" applyFont="0" applyFill="0" applyBorder="0" applyAlignment="0" applyProtection="0"/>
    <xf numFmtId="165" fontId="149" fillId="0" borderId="0" applyFont="0" applyFill="0" applyBorder="0" applyAlignment="0" applyProtection="0"/>
    <xf numFmtId="164" fontId="16" fillId="0" borderId="0" applyFont="0" applyFill="0" applyBorder="0" applyAlignment="0" applyProtection="0"/>
    <xf numFmtId="0" fontId="104" fillId="3" borderId="0" applyNumberFormat="0" applyBorder="0" applyAlignment="0" applyProtection="0"/>
    <xf numFmtId="165" fontId="6" fillId="0" borderId="0" applyFont="0" applyFill="0" applyBorder="0" applyAlignment="0" applyProtection="0"/>
    <xf numFmtId="164" fontId="16" fillId="0" borderId="0" applyFont="0" applyFill="0" applyBorder="0" applyAlignment="0" applyProtection="0"/>
    <xf numFmtId="0" fontId="105" fillId="24" borderId="0" applyNumberFormat="0" applyBorder="0" applyAlignment="0" applyProtection="0"/>
    <xf numFmtId="0" fontId="16" fillId="0" borderId="0"/>
    <xf numFmtId="0" fontId="16" fillId="0" borderId="0"/>
    <xf numFmtId="0" fontId="16" fillId="0" borderId="0"/>
    <xf numFmtId="0" fontId="159" fillId="0" borderId="0"/>
    <xf numFmtId="0" fontId="122" fillId="0" borderId="0"/>
    <xf numFmtId="9" fontId="6" fillId="0" borderId="0" applyFont="0" applyFill="0" applyBorder="0" applyAlignment="0" applyProtection="0"/>
    <xf numFmtId="0" fontId="106" fillId="4" borderId="0" applyNumberFormat="0" applyBorder="0" applyAlignment="0" applyProtection="0"/>
    <xf numFmtId="0" fontId="107" fillId="20" borderId="8" applyNumberFormat="0" applyAlignment="0" applyProtection="0"/>
    <xf numFmtId="0" fontId="144" fillId="0" borderId="0"/>
    <xf numFmtId="0" fontId="108" fillId="0" borderId="0" applyNumberFormat="0" applyFill="0" applyBorder="0" applyAlignment="0" applyProtection="0"/>
    <xf numFmtId="0" fontId="109" fillId="0" borderId="0" applyNumberFormat="0" applyFill="0" applyBorder="0" applyAlignment="0" applyProtection="0"/>
    <xf numFmtId="0" fontId="110" fillId="0" borderId="5" applyNumberFormat="0" applyFill="0" applyAlignment="0" applyProtection="0"/>
    <xf numFmtId="0" fontId="111" fillId="0" borderId="6" applyNumberFormat="0" applyFill="0" applyAlignment="0" applyProtection="0"/>
    <xf numFmtId="0" fontId="112" fillId="0" borderId="7" applyNumberFormat="0" applyFill="0" applyAlignment="0" applyProtection="0"/>
    <xf numFmtId="0" fontId="112" fillId="0" borderId="0" applyNumberFormat="0" applyFill="0" applyBorder="0" applyAlignment="0" applyProtection="0"/>
    <xf numFmtId="0" fontId="113" fillId="0" borderId="9" applyNumberFormat="0" applyFill="0" applyAlignment="0" applyProtection="0"/>
    <xf numFmtId="0" fontId="114" fillId="22" borderId="3" applyNumberFormat="0" applyAlignment="0" applyProtection="0"/>
    <xf numFmtId="176" fontId="16" fillId="0" borderId="0" applyFont="0" applyFill="0" applyBorder="0" applyAlignment="0" applyProtection="0"/>
    <xf numFmtId="177" fontId="16" fillId="0" borderId="0" applyFont="0" applyFill="0" applyBorder="0" applyAlignment="0" applyProtection="0"/>
    <xf numFmtId="0" fontId="6" fillId="0" borderId="0"/>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5"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5" borderId="0" applyNumberFormat="0" applyBorder="0" applyAlignment="0" applyProtection="0"/>
    <xf numFmtId="0" fontId="186" fillId="8" borderId="0" applyNumberFormat="0" applyBorder="0" applyAlignment="0" applyProtection="0"/>
    <xf numFmtId="0" fontId="186" fillId="11" borderId="0" applyNumberFormat="0" applyBorder="0" applyAlignment="0" applyProtection="0"/>
    <xf numFmtId="0" fontId="187" fillId="12"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5" borderId="0" applyNumberFormat="0" applyBorder="0" applyAlignment="0" applyProtection="0"/>
    <xf numFmtId="0" fontId="187" fillId="16"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9" borderId="0" applyNumberFormat="0" applyBorder="0" applyAlignment="0" applyProtection="0"/>
    <xf numFmtId="0" fontId="188" fillId="7" borderId="1" applyNumberFormat="0" applyAlignment="0" applyProtection="0"/>
    <xf numFmtId="0" fontId="189" fillId="20" borderId="8" applyNumberFormat="0" applyAlignment="0" applyProtection="0"/>
    <xf numFmtId="0" fontId="190" fillId="4" borderId="0" applyNumberFormat="0" applyBorder="0" applyAlignment="0" applyProtection="0"/>
    <xf numFmtId="0" fontId="191" fillId="0" borderId="2" applyNumberFormat="0" applyFill="0" applyAlignment="0" applyProtection="0"/>
    <xf numFmtId="0" fontId="192" fillId="22" borderId="3" applyNumberFormat="0" applyAlignment="0" applyProtection="0"/>
    <xf numFmtId="0" fontId="193" fillId="0" borderId="5" applyNumberFormat="0" applyFill="0" applyAlignment="0" applyProtection="0"/>
    <xf numFmtId="0" fontId="194" fillId="0" borderId="6" applyNumberFormat="0" applyFill="0" applyAlignment="0" applyProtection="0"/>
    <xf numFmtId="0" fontId="195" fillId="0" borderId="7" applyNumberFormat="0" applyFill="0" applyAlignment="0" applyProtection="0"/>
    <xf numFmtId="0" fontId="195" fillId="0" borderId="0" applyNumberFormat="0" applyFill="0" applyBorder="0" applyAlignment="0" applyProtection="0"/>
    <xf numFmtId="0" fontId="196" fillId="24" borderId="0" applyNumberFormat="0" applyBorder="0" applyAlignment="0" applyProtection="0"/>
    <xf numFmtId="0" fontId="197" fillId="20" borderId="1" applyNumberFormat="0" applyAlignment="0" applyProtection="0"/>
    <xf numFmtId="9" fontId="6" fillId="0" borderId="0" applyFont="0" applyFill="0" applyBorder="0" applyAlignment="0" applyProtection="0"/>
    <xf numFmtId="0" fontId="198" fillId="0" borderId="9"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6" fillId="23" borderId="4" applyNumberFormat="0" applyFont="0" applyAlignment="0" applyProtection="0"/>
    <xf numFmtId="0" fontId="202" fillId="3" borderId="0" applyNumberFormat="0" applyBorder="0" applyAlignment="0" applyProtection="0"/>
    <xf numFmtId="0" fontId="246" fillId="0" borderId="0" applyNumberFormat="0" applyFill="0">
      <alignment vertical="center"/>
    </xf>
    <xf numFmtId="18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2"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293" fillId="0" borderId="0"/>
    <xf numFmtId="0" fontId="6" fillId="27" borderId="0"/>
    <xf numFmtId="194" fontId="6" fillId="71" borderId="408"/>
    <xf numFmtId="0" fontId="17" fillId="71" borderId="0"/>
    <xf numFmtId="0" fontId="6" fillId="27" borderId="0"/>
    <xf numFmtId="0" fontId="293" fillId="0" borderId="0"/>
    <xf numFmtId="0" fontId="295" fillId="28" borderId="0"/>
    <xf numFmtId="195" fontId="6" fillId="0" borderId="0" applyFont="0" applyFill="0" applyBorder="0" applyAlignment="0" applyProtection="0"/>
    <xf numFmtId="196" fontId="296" fillId="0" borderId="0" applyFont="0" applyFill="0" applyBorder="0" applyAlignment="0" applyProtection="0"/>
    <xf numFmtId="197" fontId="29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9" fontId="297" fillId="0" borderId="0" applyFont="0" applyFill="0" applyBorder="0" applyAlignment="0" applyProtection="0"/>
    <xf numFmtId="0" fontId="8" fillId="72" borderId="191">
      <alignment horizontal="left"/>
    </xf>
    <xf numFmtId="200" fontId="6" fillId="0" borderId="0" applyFont="0" applyFill="0" applyBorder="0" applyAlignment="0" applyProtection="0"/>
    <xf numFmtId="4" fontId="298" fillId="0" borderId="0">
      <protection locked="0"/>
    </xf>
    <xf numFmtId="4" fontId="299" fillId="0" borderId="0">
      <protection locked="0"/>
    </xf>
    <xf numFmtId="4" fontId="300" fillId="0" borderId="0">
      <protection locked="0"/>
    </xf>
    <xf numFmtId="4" fontId="299" fillId="0" borderId="0">
      <protection locked="0"/>
    </xf>
    <xf numFmtId="4" fontId="299" fillId="0" borderId="0">
      <protection locked="0"/>
    </xf>
    <xf numFmtId="4" fontId="299" fillId="0" borderId="0">
      <protection locked="0"/>
    </xf>
    <xf numFmtId="4" fontId="300" fillId="0" borderId="0">
      <protection locked="0"/>
    </xf>
    <xf numFmtId="0" fontId="301" fillId="0" borderId="0" applyNumberFormat="0" applyFill="0" applyBorder="0" applyAlignment="0" applyProtection="0">
      <alignment vertical="top"/>
      <protection locked="0"/>
    </xf>
    <xf numFmtId="201" fontId="6" fillId="0" borderId="0" applyFont="0" applyFill="0" applyBorder="0" applyAlignment="0" applyProtection="0"/>
    <xf numFmtId="0" fontId="290" fillId="0" borderId="191"/>
    <xf numFmtId="38" fontId="115" fillId="27" borderId="0" applyNumberFormat="0" applyBorder="0" applyAlignment="0" applyProtection="0"/>
    <xf numFmtId="202" fontId="6" fillId="0" borderId="0" applyFont="0" applyFill="0" applyBorder="0" applyAlignment="0" applyProtection="0"/>
    <xf numFmtId="203" fontId="296" fillId="0" borderId="0" applyFont="0" applyFill="0" applyBorder="0" applyAlignment="0" applyProtection="0"/>
    <xf numFmtId="0" fontId="67" fillId="0" borderId="253" applyNumberFormat="0" applyAlignment="0" applyProtection="0">
      <alignment horizontal="left" vertical="center"/>
    </xf>
    <xf numFmtId="0" fontId="67" fillId="0" borderId="247">
      <alignment horizontal="left" vertical="center"/>
    </xf>
    <xf numFmtId="14" fontId="8" fillId="73" borderId="214">
      <alignment horizontal="center" vertical="center" wrapText="1"/>
    </xf>
    <xf numFmtId="0" fontId="292" fillId="0" borderId="0" applyNumberFormat="0" applyFill="0" applyBorder="0" applyAlignment="0" applyProtection="0">
      <alignment vertical="top"/>
      <protection locked="0"/>
    </xf>
    <xf numFmtId="0" fontId="6" fillId="8" borderId="191">
      <alignment horizontal="left"/>
    </xf>
    <xf numFmtId="0" fontId="302" fillId="7" borderId="1" applyNumberFormat="0" applyAlignment="0" applyProtection="0"/>
    <xf numFmtId="10" fontId="115" fillId="71" borderId="191" applyNumberFormat="0" applyBorder="0" applyAlignment="0" applyProtection="0"/>
    <xf numFmtId="204" fontId="6" fillId="0" borderId="0" applyFont="0" applyFill="0" applyBorder="0" applyAlignment="0" applyProtection="0"/>
    <xf numFmtId="205" fontId="6" fillId="74" borderId="409" applyFont="0" applyFill="0" applyBorder="0" applyAlignment="0" applyProtection="0">
      <alignment horizontal="center" vertical="center"/>
    </xf>
    <xf numFmtId="206" fontId="296" fillId="0" borderId="0" applyFont="0" applyFill="0" applyBorder="0" applyAlignment="0" applyProtection="0"/>
    <xf numFmtId="207" fontId="6" fillId="0" borderId="0" applyFont="0" applyFill="0" applyBorder="0" applyAlignment="0" applyProtection="0"/>
    <xf numFmtId="208" fontId="297"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0" fontId="303" fillId="29" borderId="276" applyNumberFormat="0" applyBorder="0"/>
    <xf numFmtId="0" fontId="8" fillId="0" borderId="246" applyNumberFormat="0" applyBorder="0"/>
    <xf numFmtId="0" fontId="304" fillId="0" borderId="2" applyNumberFormat="0" applyFill="0" applyAlignment="0" applyProtection="0"/>
    <xf numFmtId="211" fontId="144" fillId="0" borderId="0" applyFont="0" applyFill="0" applyBorder="0" applyAlignment="0" applyProtection="0"/>
    <xf numFmtId="212" fontId="296" fillId="0" borderId="0" applyFont="0" applyFill="0" applyBorder="0" applyAlignment="0" applyProtection="0"/>
    <xf numFmtId="213"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296" fillId="0" borderId="0" applyFont="0" applyFill="0" applyBorder="0" applyAlignment="0" applyProtection="0"/>
    <xf numFmtId="218" fontId="6" fillId="0" borderId="0" applyFont="0" applyFill="0" applyBorder="0" applyAlignment="0" applyProtection="0"/>
    <xf numFmtId="219" fontId="305" fillId="0" borderId="0" applyFont="0" applyFill="0" applyBorder="0" applyAlignment="0" applyProtection="0"/>
    <xf numFmtId="220" fontId="305" fillId="0" borderId="0" applyFont="0" applyFill="0" applyBorder="0" applyAlignment="0" applyProtection="0"/>
    <xf numFmtId="44" fontId="294" fillId="0" borderId="0" applyFont="0" applyFill="0" applyBorder="0" applyAlignment="0" applyProtection="0"/>
    <xf numFmtId="0" fontId="6" fillId="75" borderId="191">
      <alignment horizontal="left"/>
    </xf>
    <xf numFmtId="221" fontId="306" fillId="0" borderId="0"/>
    <xf numFmtId="0" fontId="6" fillId="0" borderId="0"/>
    <xf numFmtId="0" fontId="6" fillId="0" borderId="0"/>
    <xf numFmtId="0" fontId="6" fillId="0" borderId="0"/>
    <xf numFmtId="0" fontId="307" fillId="0" borderId="0"/>
    <xf numFmtId="0" fontId="6" fillId="0" borderId="0"/>
    <xf numFmtId="0" fontId="294" fillId="23" borderId="4" applyNumberFormat="0" applyFont="0" applyAlignment="0" applyProtection="0"/>
    <xf numFmtId="0" fontId="294" fillId="23" borderId="4" applyNumberFormat="0" applyFont="0" applyAlignment="0" applyProtection="0"/>
    <xf numFmtId="0" fontId="6" fillId="23" borderId="4" applyNumberFormat="0" applyFont="0" applyAlignment="0" applyProtection="0"/>
    <xf numFmtId="3" fontId="308" fillId="0" borderId="0"/>
    <xf numFmtId="222" fontId="6" fillId="0" borderId="0" applyFont="0" applyFill="0" applyBorder="0" applyAlignment="0" applyProtection="0"/>
    <xf numFmtId="223" fontId="6" fillId="0" borderId="0" applyFont="0" applyFill="0" applyBorder="0" applyAlignment="0" applyProtection="0"/>
    <xf numFmtId="224" fontId="296" fillId="0" borderId="0" applyFont="0" applyFill="0" applyBorder="0" applyAlignment="0" applyProtection="0"/>
    <xf numFmtId="225" fontId="296" fillId="0" borderId="0" applyFont="0" applyFill="0" applyBorder="0" applyAlignment="0" applyProtection="0"/>
    <xf numFmtId="226" fontId="6" fillId="0" borderId="0" applyFont="0" applyFill="0" applyBorder="0" applyAlignment="0" applyProtection="0"/>
    <xf numFmtId="10" fontId="6" fillId="0" borderId="0" applyFont="0" applyFill="0" applyBorder="0" applyAlignment="0" applyProtection="0"/>
    <xf numFmtId="227" fontId="6" fillId="0" borderId="0" applyFont="0" applyFill="0" applyBorder="0" applyAlignment="0" applyProtection="0">
      <alignment horizontal="center"/>
    </xf>
    <xf numFmtId="9" fontId="294" fillId="0" borderId="0" applyFont="0" applyFill="0" applyBorder="0" applyAlignment="0" applyProtection="0"/>
    <xf numFmtId="0" fontId="295" fillId="32" borderId="0"/>
    <xf numFmtId="228" fontId="252" fillId="30" borderId="386" applyFill="0" applyBorder="0" applyAlignment="0" applyProtection="0"/>
    <xf numFmtId="0" fontId="309" fillId="0" borderId="410" applyNumberFormat="0" applyFont="0" applyBorder="0" applyAlignment="0">
      <alignment horizontal="left"/>
    </xf>
    <xf numFmtId="229" fontId="297" fillId="0" borderId="0"/>
    <xf numFmtId="229" fontId="297" fillId="0" borderId="0" applyFont="0" applyFill="0" applyBorder="0" applyAlignment="0" applyProtection="0"/>
    <xf numFmtId="0" fontId="6" fillId="71" borderId="0" applyProtection="0"/>
    <xf numFmtId="4" fontId="13" fillId="28" borderId="8" applyNumberFormat="0" applyProtection="0">
      <alignment vertical="center"/>
    </xf>
    <xf numFmtId="4" fontId="310" fillId="28" borderId="8" applyNumberFormat="0" applyProtection="0">
      <alignment vertical="center"/>
    </xf>
    <xf numFmtId="4" fontId="311" fillId="28" borderId="132" applyNumberFormat="0" applyProtection="0">
      <alignment horizontal="left" vertical="center" indent="1"/>
    </xf>
    <xf numFmtId="4" fontId="13" fillId="28" borderId="8" applyNumberFormat="0" applyProtection="0">
      <alignment horizontal="left" vertical="center" indent="1"/>
    </xf>
    <xf numFmtId="0" fontId="115" fillId="76" borderId="8" applyNumberFormat="0" applyProtection="0">
      <alignment horizontal="left" vertical="center" indent="1"/>
    </xf>
    <xf numFmtId="4" fontId="13" fillId="77" borderId="8" applyNumberFormat="0" applyProtection="0">
      <alignment horizontal="right" vertical="center"/>
    </xf>
    <xf numFmtId="4" fontId="13" fillId="78" borderId="8" applyNumberFormat="0" applyProtection="0">
      <alignment horizontal="right" vertical="center"/>
    </xf>
    <xf numFmtId="4" fontId="13" fillId="67" borderId="8" applyNumberFormat="0" applyProtection="0">
      <alignment horizontal="right" vertical="center"/>
    </xf>
    <xf numFmtId="4" fontId="13" fillId="26" borderId="8" applyNumberFormat="0" applyProtection="0">
      <alignment horizontal="right" vertical="center"/>
    </xf>
    <xf numFmtId="4" fontId="13" fillId="70" borderId="8" applyNumberFormat="0" applyProtection="0">
      <alignment horizontal="right" vertical="center"/>
    </xf>
    <xf numFmtId="4" fontId="13" fillId="79" borderId="8" applyNumberFormat="0" applyProtection="0">
      <alignment horizontal="right" vertical="center"/>
    </xf>
    <xf numFmtId="4" fontId="13" fillId="80" borderId="8" applyNumberFormat="0" applyProtection="0">
      <alignment horizontal="right" vertical="center"/>
    </xf>
    <xf numFmtId="4" fontId="13" fillId="66" borderId="8" applyNumberFormat="0" applyProtection="0">
      <alignment horizontal="right" vertical="center"/>
    </xf>
    <xf numFmtId="4" fontId="13" fillId="81" borderId="8" applyNumberFormat="0" applyProtection="0">
      <alignment horizontal="right" vertical="center"/>
    </xf>
    <xf numFmtId="4" fontId="312" fillId="82" borderId="8" applyNumberFormat="0" applyProtection="0">
      <alignment horizontal="left" vertical="center" indent="1"/>
    </xf>
    <xf numFmtId="4" fontId="313" fillId="83" borderId="411" applyNumberFormat="0" applyProtection="0">
      <alignment horizontal="left" vertical="center" indent="1"/>
    </xf>
    <xf numFmtId="4" fontId="68" fillId="84" borderId="0" applyNumberFormat="0" applyProtection="0">
      <alignment horizontal="left" vertical="center" indent="1"/>
    </xf>
    <xf numFmtId="0" fontId="115" fillId="76" borderId="8" applyNumberFormat="0" applyProtection="0">
      <alignment horizontal="left" vertical="center" indent="1"/>
    </xf>
    <xf numFmtId="4" fontId="313" fillId="83" borderId="8" applyNumberFormat="0" applyProtection="0">
      <alignment horizontal="left" vertical="center" indent="1"/>
    </xf>
    <xf numFmtId="4" fontId="313" fillId="85" borderId="8" applyNumberFormat="0" applyProtection="0">
      <alignment horizontal="left" vertical="center" indent="1"/>
    </xf>
    <xf numFmtId="0" fontId="6" fillId="85" borderId="8" applyNumberFormat="0" applyProtection="0">
      <alignment horizontal="left" vertical="center" indent="1"/>
    </xf>
    <xf numFmtId="0" fontId="6" fillId="85" borderId="8" applyNumberFormat="0" applyProtection="0">
      <alignment horizontal="left" vertical="center" indent="1"/>
    </xf>
    <xf numFmtId="0" fontId="6" fillId="86" borderId="8" applyNumberFormat="0" applyProtection="0">
      <alignment horizontal="left" vertical="center" indent="1"/>
    </xf>
    <xf numFmtId="0" fontId="6" fillId="86" borderId="8" applyNumberFormat="0" applyProtection="0">
      <alignment horizontal="left" vertical="center" indent="1"/>
    </xf>
    <xf numFmtId="0" fontId="6" fillId="27" borderId="8" applyNumberFormat="0" applyProtection="0">
      <alignment horizontal="left" vertical="center" indent="1"/>
    </xf>
    <xf numFmtId="0" fontId="6" fillId="27" borderId="8" applyNumberFormat="0" applyProtection="0">
      <alignment horizontal="left" vertical="center" indent="1"/>
    </xf>
    <xf numFmtId="0" fontId="6" fillId="76" borderId="8" applyNumberFormat="0" applyProtection="0">
      <alignment horizontal="left" vertical="center" indent="1"/>
    </xf>
    <xf numFmtId="0" fontId="6" fillId="76" borderId="8" applyNumberFormat="0" applyProtection="0">
      <alignment horizontal="left" vertical="center" indent="1"/>
    </xf>
    <xf numFmtId="4" fontId="13" fillId="71" borderId="8" applyNumberFormat="0" applyProtection="0">
      <alignment vertical="center"/>
    </xf>
    <xf numFmtId="4" fontId="310" fillId="71" borderId="8" applyNumberFormat="0" applyProtection="0">
      <alignment vertical="center"/>
    </xf>
    <xf numFmtId="4" fontId="13" fillId="71" borderId="8" applyNumberFormat="0" applyProtection="0">
      <alignment horizontal="left" vertical="center" indent="1"/>
    </xf>
    <xf numFmtId="4" fontId="13" fillId="71" borderId="8" applyNumberFormat="0" applyProtection="0">
      <alignment horizontal="left" vertical="center" indent="1"/>
    </xf>
    <xf numFmtId="4" fontId="313" fillId="87" borderId="8" applyNumberFormat="0" applyProtection="0">
      <alignment horizontal="right" vertical="center"/>
    </xf>
    <xf numFmtId="4" fontId="310" fillId="83" borderId="8" applyNumberFormat="0" applyProtection="0">
      <alignment horizontal="right" vertical="center"/>
    </xf>
    <xf numFmtId="4" fontId="314" fillId="31" borderId="0" applyNumberFormat="0" applyProtection="0">
      <alignment horizontal="left" vertical="center" indent="1"/>
    </xf>
    <xf numFmtId="0" fontId="147" fillId="76" borderId="8" applyNumberFormat="0" applyProtection="0">
      <alignment horizontal="left" vertical="center" wrapText="1" indent="1"/>
    </xf>
    <xf numFmtId="0" fontId="315" fillId="0" borderId="0" applyNumberFormat="0" applyProtection="0"/>
    <xf numFmtId="4" fontId="146" fillId="83" borderId="8" applyNumberFormat="0" applyProtection="0">
      <alignment horizontal="right" vertical="center"/>
    </xf>
    <xf numFmtId="230" fontId="6" fillId="0" borderId="0" applyFont="0" applyFill="0" applyBorder="0" applyAlignment="0" applyProtection="0"/>
    <xf numFmtId="231" fontId="6" fillId="0" borderId="0" applyFont="0" applyFill="0" applyBorder="0" applyAlignment="0" applyProtection="0"/>
    <xf numFmtId="0" fontId="297" fillId="0" borderId="0"/>
    <xf numFmtId="0" fontId="316" fillId="0" borderId="0" applyFill="0" applyBorder="0" applyProtection="0">
      <alignment horizontal="left" vertical="top"/>
    </xf>
    <xf numFmtId="0" fontId="109" fillId="0" borderId="0" applyNumberFormat="0" applyFill="0" applyBorder="0" applyAlignment="0" applyProtection="0"/>
    <xf numFmtId="0" fontId="317" fillId="0" borderId="0" applyNumberFormat="0" applyFill="0" applyBorder="0" applyAlignment="0" applyProtection="0"/>
    <xf numFmtId="41" fontId="293" fillId="0" borderId="0" applyFont="0" applyFill="0" applyBorder="0" applyAlignment="0" applyProtection="0"/>
    <xf numFmtId="43" fontId="293"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25" fillId="0" borderId="0" applyNumberFormat="0" applyFill="0" applyBorder="0" applyAlignment="0" applyProtection="0">
      <alignment vertical="top"/>
      <protection locked="0"/>
    </xf>
    <xf numFmtId="44" fontId="326" fillId="0" borderId="0" applyFont="0" applyFill="0" applyBorder="0" applyAlignment="0" applyProtection="0"/>
  </cellStyleXfs>
  <cellXfs count="3177">
    <xf numFmtId="0" fontId="0" fillId="0" borderId="0" xfId="0"/>
    <xf numFmtId="0" fontId="7" fillId="0" borderId="0" xfId="0" applyFont="1" applyFill="1" applyAlignment="1" applyProtection="1">
      <alignment horizontal="left" vertical="center"/>
    </xf>
    <xf numFmtId="0" fontId="0" fillId="0" borderId="0" xfId="0" applyBorder="1"/>
    <xf numFmtId="49" fontId="8" fillId="0" borderId="0" xfId="0" applyNumberFormat="1" applyFont="1" applyAlignment="1">
      <alignment horizontal="right"/>
    </xf>
    <xf numFmtId="0" fontId="0" fillId="0" borderId="0" xfId="0" applyAlignment="1">
      <alignment vertical="center"/>
    </xf>
    <xf numFmtId="0" fontId="0" fillId="0" borderId="0" xfId="0" applyFill="1" applyAlignment="1">
      <alignment vertical="center"/>
    </xf>
    <xf numFmtId="0" fontId="0" fillId="0" borderId="0" xfId="0" applyFill="1" applyBorder="1" applyAlignment="1">
      <alignment vertical="center"/>
    </xf>
    <xf numFmtId="3" fontId="0" fillId="0" borderId="0" xfId="0" applyNumberFormat="1" applyAlignment="1">
      <alignment vertical="center"/>
    </xf>
    <xf numFmtId="3" fontId="0" fillId="0" borderId="0" xfId="0" applyNumberFormat="1" applyFill="1" applyAlignment="1">
      <alignment vertical="center"/>
    </xf>
    <xf numFmtId="0" fontId="0" fillId="0" borderId="0" xfId="0" applyBorder="1" applyAlignment="1">
      <alignment vertical="center"/>
    </xf>
    <xf numFmtId="3" fontId="15" fillId="0" borderId="0" xfId="0" applyNumberFormat="1" applyFont="1" applyFill="1" applyBorder="1" applyAlignment="1">
      <alignment vertical="center"/>
    </xf>
    <xf numFmtId="0" fontId="17" fillId="0" borderId="0" xfId="0" applyFont="1" applyFill="1" applyBorder="1" applyAlignment="1">
      <alignment vertical="center"/>
    </xf>
    <xf numFmtId="0" fontId="17" fillId="0" borderId="0" xfId="0" applyFont="1" applyFill="1" applyAlignment="1">
      <alignment horizontal="left" vertical="center"/>
    </xf>
    <xf numFmtId="0" fontId="16" fillId="0" borderId="0" xfId="0" applyFont="1" applyAlignment="1">
      <alignment vertical="center"/>
    </xf>
    <xf numFmtId="0" fontId="23" fillId="25" borderId="0" xfId="0" applyFont="1" applyFill="1" applyAlignment="1" applyProtection="1">
      <alignment horizontal="left" vertical="center"/>
    </xf>
    <xf numFmtId="0" fontId="25" fillId="0" borderId="0" xfId="0" applyFont="1" applyAlignment="1">
      <alignment vertical="center"/>
    </xf>
    <xf numFmtId="0" fontId="26" fillId="25" borderId="0" xfId="0" applyFont="1" applyFill="1" applyAlignment="1" applyProtection="1">
      <alignment horizontal="left" vertical="center"/>
    </xf>
    <xf numFmtId="0" fontId="25" fillId="0" borderId="0" xfId="0" applyFont="1"/>
    <xf numFmtId="0" fontId="10" fillId="0" borderId="0" xfId="0" applyFont="1" applyBorder="1" applyAlignment="1">
      <alignment horizontal="center" vertical="center"/>
    </xf>
    <xf numFmtId="0" fontId="27" fillId="0" borderId="0" xfId="0" applyFont="1" applyAlignment="1">
      <alignment vertical="center"/>
    </xf>
    <xf numFmtId="0" fontId="25" fillId="0" borderId="0" xfId="0" applyFont="1" applyFill="1"/>
    <xf numFmtId="0" fontId="25" fillId="0" borderId="0" xfId="0" applyFont="1" applyFill="1" applyBorder="1"/>
    <xf numFmtId="0" fontId="22" fillId="0" borderId="0" xfId="0" applyFont="1"/>
    <xf numFmtId="0" fontId="22" fillId="0" borderId="0" xfId="0" applyFont="1" applyAlignment="1">
      <alignment horizontal="left"/>
    </xf>
    <xf numFmtId="0" fontId="22" fillId="0" borderId="0" xfId="0" applyFont="1" applyBorder="1"/>
    <xf numFmtId="0" fontId="22" fillId="0" borderId="11" xfId="0" applyFont="1" applyBorder="1"/>
    <xf numFmtId="0" fontId="24" fillId="0" borderId="0" xfId="0" applyFont="1"/>
    <xf numFmtId="0" fontId="29" fillId="0" borderId="0" xfId="0" applyFont="1" applyFill="1" applyAlignment="1" applyProtection="1">
      <alignment horizontal="left" vertical="center"/>
    </xf>
    <xf numFmtId="0" fontId="30" fillId="0" borderId="0" xfId="0" applyFont="1"/>
    <xf numFmtId="0" fontId="30" fillId="0" borderId="0" xfId="0" applyFont="1" applyFill="1"/>
    <xf numFmtId="0" fontId="28" fillId="0" borderId="0" xfId="0" applyFont="1" applyFill="1" applyAlignment="1" applyProtection="1">
      <alignment horizontal="right" vertical="center"/>
    </xf>
    <xf numFmtId="0" fontId="31" fillId="0" borderId="0" xfId="0" applyFont="1" applyBorder="1"/>
    <xf numFmtId="0" fontId="22" fillId="0" borderId="0" xfId="0" quotePrefix="1" applyFont="1" applyBorder="1"/>
    <xf numFmtId="0" fontId="28" fillId="0" borderId="0" xfId="0" applyFont="1" applyFill="1" applyAlignment="1" applyProtection="1">
      <alignment horizontal="left" vertical="center"/>
    </xf>
    <xf numFmtId="0" fontId="22" fillId="0" borderId="15" xfId="0" applyFont="1" applyBorder="1"/>
    <xf numFmtId="0" fontId="25" fillId="0" borderId="0" xfId="0" applyFont="1" applyBorder="1"/>
    <xf numFmtId="0" fontId="24" fillId="26" borderId="16" xfId="0" applyFont="1" applyFill="1" applyBorder="1" applyAlignment="1">
      <alignment horizontal="centerContinuous"/>
    </xf>
    <xf numFmtId="0" fontId="24" fillId="26" borderId="17" xfId="0" applyFont="1" applyFill="1" applyBorder="1" applyAlignment="1">
      <alignment horizontal="centerContinuous"/>
    </xf>
    <xf numFmtId="0" fontId="24" fillId="26" borderId="18" xfId="0" applyFont="1" applyFill="1" applyBorder="1" applyAlignment="1">
      <alignment horizontal="centerContinuous"/>
    </xf>
    <xf numFmtId="0" fontId="24" fillId="26" borderId="19" xfId="0" applyFont="1" applyFill="1" applyBorder="1" applyAlignment="1">
      <alignment horizontal="centerContinuous"/>
    </xf>
    <xf numFmtId="0" fontId="18" fillId="0" borderId="0" xfId="0" quotePrefix="1" applyFont="1" applyFill="1" applyBorder="1" applyAlignment="1">
      <alignment horizontal="center" vertical="center"/>
    </xf>
    <xf numFmtId="3" fontId="19" fillId="0" borderId="0" xfId="0" applyNumberFormat="1" applyFont="1" applyFill="1" applyBorder="1" applyAlignment="1">
      <alignment vertical="center"/>
    </xf>
    <xf numFmtId="0" fontId="11" fillId="0" borderId="0" xfId="0" applyFont="1" applyFill="1" applyBorder="1" applyAlignment="1">
      <alignment horizontal="left" vertical="center"/>
    </xf>
    <xf numFmtId="3" fontId="14" fillId="0" borderId="0" xfId="0" applyNumberFormat="1" applyFont="1" applyFill="1" applyBorder="1" applyAlignment="1">
      <alignment horizontal="center" vertical="center"/>
    </xf>
    <xf numFmtId="0" fontId="44" fillId="21" borderId="0" xfId="0" applyFont="1" applyFill="1"/>
    <xf numFmtId="0" fontId="41" fillId="21" borderId="0" xfId="0" applyFont="1" applyFill="1"/>
    <xf numFmtId="0" fontId="36" fillId="0" borderId="0" xfId="0" applyFont="1"/>
    <xf numFmtId="0" fontId="44" fillId="0" borderId="0" xfId="0" applyFont="1" applyAlignment="1">
      <alignment vertical="center"/>
    </xf>
    <xf numFmtId="0" fontId="44" fillId="0" borderId="0" xfId="0" applyFont="1"/>
    <xf numFmtId="0" fontId="46" fillId="21" borderId="0" xfId="0" applyFont="1" applyFill="1"/>
    <xf numFmtId="0" fontId="22" fillId="0" borderId="20" xfId="0" applyFont="1" applyBorder="1"/>
    <xf numFmtId="0" fontId="19" fillId="0" borderId="10" xfId="0" quotePrefix="1" applyFont="1" applyBorder="1"/>
    <xf numFmtId="0" fontId="36" fillId="0" borderId="0" xfId="0" applyFont="1" applyFill="1"/>
    <xf numFmtId="0" fontId="24" fillId="0" borderId="0" xfId="0" applyFont="1" applyBorder="1"/>
    <xf numFmtId="0" fontId="58" fillId="0" borderId="21" xfId="0" quotePrefix="1" applyFont="1" applyBorder="1"/>
    <xf numFmtId="0" fontId="12" fillId="25" borderId="22" xfId="0" applyFont="1" applyFill="1" applyBorder="1" applyAlignment="1">
      <alignment horizontal="centerContinuous"/>
    </xf>
    <xf numFmtId="0" fontId="12" fillId="25" borderId="23" xfId="0" applyFont="1" applyFill="1" applyBorder="1" applyAlignment="1">
      <alignment horizontal="centerContinuous"/>
    </xf>
    <xf numFmtId="0" fontId="12" fillId="25" borderId="24" xfId="0" applyFont="1" applyFill="1" applyBorder="1" applyAlignment="1">
      <alignment horizontal="centerContinuous"/>
    </xf>
    <xf numFmtId="0" fontId="12" fillId="25" borderId="25" xfId="0" applyFont="1" applyFill="1" applyBorder="1" applyAlignment="1">
      <alignment horizontal="centerContinuous"/>
    </xf>
    <xf numFmtId="0" fontId="59" fillId="0" borderId="26" xfId="0" applyFont="1" applyBorder="1" applyAlignment="1">
      <alignment horizontal="center"/>
    </xf>
    <xf numFmtId="0" fontId="55" fillId="0" borderId="27" xfId="0" applyFont="1" applyBorder="1"/>
    <xf numFmtId="0" fontId="55" fillId="0" borderId="26" xfId="0" applyFont="1" applyBorder="1"/>
    <xf numFmtId="0" fontId="9" fillId="0" borderId="0" xfId="0" applyFont="1" applyBorder="1"/>
    <xf numFmtId="0" fontId="9" fillId="0" borderId="0" xfId="0" applyFont="1" applyBorder="1" applyAlignment="1">
      <alignment horizontal="left"/>
    </xf>
    <xf numFmtId="0" fontId="27" fillId="0" borderId="0" xfId="0" applyFont="1" applyBorder="1" applyAlignment="1">
      <alignment horizontal="center" vertical="center"/>
    </xf>
    <xf numFmtId="0" fontId="54" fillId="25" borderId="13" xfId="0" applyFont="1" applyFill="1" applyBorder="1" applyAlignment="1">
      <alignment horizontal="center"/>
    </xf>
    <xf numFmtId="0" fontId="60" fillId="0" borderId="0" xfId="0" applyFont="1" applyAlignment="1">
      <alignment horizontal="left"/>
    </xf>
    <xf numFmtId="0" fontId="9" fillId="0" borderId="0" xfId="0" quotePrefix="1" applyFont="1" applyAlignment="1">
      <alignment horizontal="right" vertical="center"/>
    </xf>
    <xf numFmtId="0" fontId="57" fillId="0" borderId="0" xfId="0" applyFont="1" applyFill="1"/>
    <xf numFmtId="0" fontId="59" fillId="0" borderId="27" xfId="0" applyFont="1" applyBorder="1" applyAlignment="1">
      <alignment horizontal="center"/>
    </xf>
    <xf numFmtId="0" fontId="59" fillId="0" borderId="31" xfId="0" applyFont="1" applyBorder="1" applyAlignment="1">
      <alignment horizontal="center"/>
    </xf>
    <xf numFmtId="0" fontId="55" fillId="0" borderId="31" xfId="0" applyFont="1" applyBorder="1"/>
    <xf numFmtId="0" fontId="54" fillId="25" borderId="32" xfId="0" applyFont="1" applyFill="1" applyBorder="1" applyAlignment="1">
      <alignment horizontal="center"/>
    </xf>
    <xf numFmtId="0" fontId="60" fillId="0" borderId="0" xfId="0" applyFont="1"/>
    <xf numFmtId="0" fontId="10" fillId="26" borderId="28" xfId="0" applyFont="1" applyFill="1" applyBorder="1" applyAlignment="1">
      <alignment horizontal="centerContinuous"/>
    </xf>
    <xf numFmtId="0" fontId="14" fillId="21" borderId="0" xfId="0" applyFont="1" applyFill="1" applyBorder="1" applyAlignment="1">
      <alignment horizontal="center"/>
    </xf>
    <xf numFmtId="169" fontId="44" fillId="21" borderId="0" xfId="0" applyNumberFormat="1" applyFont="1" applyFill="1" applyBorder="1"/>
    <xf numFmtId="10" fontId="50" fillId="0" borderId="0" xfId="0" applyNumberFormat="1" applyFont="1" applyFill="1" applyBorder="1"/>
    <xf numFmtId="0" fontId="12" fillId="25" borderId="0" xfId="0" applyFont="1" applyFill="1" applyBorder="1" applyAlignment="1">
      <alignment horizontal="left" vertical="center"/>
    </xf>
    <xf numFmtId="0" fontId="12" fillId="25" borderId="33" xfId="0" applyFont="1" applyFill="1" applyBorder="1" applyAlignment="1">
      <alignment horizontal="center" vertical="center"/>
    </xf>
    <xf numFmtId="0" fontId="12" fillId="25" borderId="0" xfId="0" applyFont="1" applyFill="1" applyBorder="1" applyAlignment="1">
      <alignment horizontal="center" vertical="center"/>
    </xf>
    <xf numFmtId="0" fontId="66" fillId="0" borderId="0" xfId="0" applyFont="1" applyAlignment="1">
      <alignment vertical="center"/>
    </xf>
    <xf numFmtId="0" fontId="67" fillId="0" borderId="0" xfId="0" applyFont="1" applyFill="1" applyBorder="1" applyAlignment="1">
      <alignment horizontal="center" vertical="center"/>
    </xf>
    <xf numFmtId="0" fontId="67" fillId="0" borderId="0" xfId="0" applyFont="1" applyFill="1" applyAlignment="1">
      <alignment vertical="center"/>
    </xf>
    <xf numFmtId="0" fontId="67" fillId="0" borderId="0" xfId="0" applyFont="1" applyAlignment="1">
      <alignment vertical="center"/>
    </xf>
    <xf numFmtId="0" fontId="9" fillId="0" borderId="0" xfId="0" applyFont="1" applyFill="1" applyAlignment="1">
      <alignment vertical="center"/>
    </xf>
    <xf numFmtId="0" fontId="9" fillId="0" borderId="0" xfId="0" applyFont="1" applyAlignment="1">
      <alignment vertical="center"/>
    </xf>
    <xf numFmtId="0" fontId="9" fillId="0" borderId="0" xfId="0" applyFont="1" applyFill="1" applyBorder="1" applyAlignment="1">
      <alignment vertical="center"/>
    </xf>
    <xf numFmtId="0" fontId="70" fillId="0" borderId="0" xfId="0" applyFont="1" applyBorder="1" applyAlignment="1">
      <alignment vertical="center"/>
    </xf>
    <xf numFmtId="0" fontId="70" fillId="0" borderId="0" xfId="0" applyFont="1" applyAlignment="1">
      <alignment vertical="center"/>
    </xf>
    <xf numFmtId="0" fontId="9" fillId="0" borderId="0" xfId="0" applyFont="1" applyBorder="1" applyAlignment="1">
      <alignment vertical="center"/>
    </xf>
    <xf numFmtId="0" fontId="64" fillId="0" borderId="0" xfId="0" applyFont="1" applyBorder="1" applyAlignment="1">
      <alignment vertical="center"/>
    </xf>
    <xf numFmtId="0" fontId="64" fillId="0" borderId="0" xfId="0" applyFont="1" applyBorder="1" applyAlignment="1">
      <alignment horizontal="right" vertical="center"/>
    </xf>
    <xf numFmtId="0" fontId="64" fillId="0" borderId="0" xfId="0" applyFont="1" applyAlignment="1">
      <alignment vertical="center"/>
    </xf>
    <xf numFmtId="0" fontId="11" fillId="25" borderId="0" xfId="0" applyFont="1" applyFill="1" applyBorder="1" applyAlignment="1">
      <alignment horizontal="left" vertical="center"/>
    </xf>
    <xf numFmtId="0" fontId="73" fillId="0" borderId="0" xfId="0" applyFont="1" applyFill="1" applyAlignment="1">
      <alignment vertical="center"/>
    </xf>
    <xf numFmtId="0" fontId="11" fillId="25" borderId="0" xfId="0" applyFont="1" applyFill="1" applyBorder="1" applyAlignment="1">
      <alignment horizontal="center" vertical="center"/>
    </xf>
    <xf numFmtId="3" fontId="75" fillId="0" borderId="0" xfId="0" applyNumberFormat="1" applyFont="1" applyFill="1" applyAlignment="1">
      <alignment vertical="center"/>
    </xf>
    <xf numFmtId="3" fontId="75" fillId="0" borderId="0" xfId="0" applyNumberFormat="1" applyFont="1" applyAlignment="1">
      <alignment vertical="center"/>
    </xf>
    <xf numFmtId="0" fontId="77" fillId="0" borderId="0" xfId="0" applyFont="1" applyFill="1" applyBorder="1" applyAlignment="1">
      <alignment horizontal="center" vertical="center"/>
    </xf>
    <xf numFmtId="0" fontId="77" fillId="0" borderId="0" xfId="0" applyFont="1" applyFill="1" applyAlignment="1">
      <alignment vertical="center"/>
    </xf>
    <xf numFmtId="0" fontId="77" fillId="0" borderId="0" xfId="0" applyFont="1" applyAlignment="1">
      <alignment vertical="center"/>
    </xf>
    <xf numFmtId="3" fontId="9" fillId="0" borderId="0" xfId="0" applyNumberFormat="1" applyFont="1" applyAlignment="1">
      <alignment vertical="center"/>
    </xf>
    <xf numFmtId="3" fontId="73" fillId="0" borderId="0" xfId="0" applyNumberFormat="1" applyFont="1" applyAlignment="1">
      <alignment vertical="center"/>
    </xf>
    <xf numFmtId="3" fontId="73" fillId="0" borderId="0" xfId="0" applyNumberFormat="1" applyFont="1" applyFill="1" applyBorder="1" applyAlignment="1">
      <alignment vertical="center"/>
    </xf>
    <xf numFmtId="0" fontId="77" fillId="0" borderId="0" xfId="0" applyFont="1" applyFill="1" applyBorder="1" applyAlignment="1">
      <alignment vertical="center"/>
    </xf>
    <xf numFmtId="0" fontId="73" fillId="0" borderId="0" xfId="0" applyFont="1" applyAlignment="1">
      <alignment vertical="center"/>
    </xf>
    <xf numFmtId="3" fontId="9" fillId="0" borderId="0" xfId="0" applyNumberFormat="1" applyFont="1" applyFill="1" applyAlignment="1">
      <alignment vertical="center"/>
    </xf>
    <xf numFmtId="0" fontId="73" fillId="0" borderId="0" xfId="0" applyFont="1" applyAlignment="1">
      <alignment horizontal="right" vertical="center"/>
    </xf>
    <xf numFmtId="0" fontId="73" fillId="0" borderId="0" xfId="0" applyFont="1" applyFill="1" applyBorder="1" applyAlignment="1">
      <alignment vertical="center"/>
    </xf>
    <xf numFmtId="0" fontId="68" fillId="0" borderId="0" xfId="0" applyFont="1" applyFill="1" applyBorder="1" applyAlignment="1">
      <alignment vertical="center"/>
    </xf>
    <xf numFmtId="0" fontId="11" fillId="25" borderId="33" xfId="0" applyFont="1" applyFill="1" applyBorder="1" applyAlignment="1">
      <alignment horizontal="center" vertical="center"/>
    </xf>
    <xf numFmtId="0" fontId="80" fillId="0" borderId="0" xfId="0" applyFont="1" applyAlignment="1">
      <alignment vertical="center"/>
    </xf>
    <xf numFmtId="0" fontId="80" fillId="0" borderId="0" xfId="0" applyFont="1" applyFill="1" applyAlignment="1">
      <alignment vertical="center"/>
    </xf>
    <xf numFmtId="0" fontId="76" fillId="0" borderId="0" xfId="0" quotePrefix="1" applyFont="1" applyFill="1" applyAlignment="1">
      <alignment horizontal="center" vertical="center"/>
    </xf>
    <xf numFmtId="3" fontId="76" fillId="26" borderId="34" xfId="0" applyNumberFormat="1" applyFont="1" applyFill="1" applyBorder="1" applyAlignment="1">
      <alignment vertical="center"/>
    </xf>
    <xf numFmtId="3" fontId="76" fillId="26" borderId="35" xfId="0" applyNumberFormat="1" applyFont="1" applyFill="1" applyBorder="1" applyAlignment="1">
      <alignment vertical="center"/>
    </xf>
    <xf numFmtId="0" fontId="78" fillId="0" borderId="0" xfId="0" applyFont="1" applyFill="1" applyAlignment="1">
      <alignment vertical="center"/>
    </xf>
    <xf numFmtId="3" fontId="9" fillId="21" borderId="36" xfId="0" applyNumberFormat="1" applyFont="1" applyFill="1" applyBorder="1" applyAlignment="1">
      <alignment vertical="center"/>
    </xf>
    <xf numFmtId="0" fontId="85" fillId="27" borderId="4" xfId="0" applyFont="1" applyFill="1" applyBorder="1" applyAlignment="1">
      <alignment horizontal="center" vertical="center"/>
    </xf>
    <xf numFmtId="173" fontId="69" fillId="27" borderId="35" xfId="0" applyNumberFormat="1" applyFont="1" applyFill="1" applyBorder="1" applyAlignment="1">
      <alignment vertical="center"/>
    </xf>
    <xf numFmtId="173" fontId="9" fillId="27" borderId="37" xfId="0" applyNumberFormat="1" applyFont="1" applyFill="1" applyBorder="1" applyAlignment="1">
      <alignment vertical="center"/>
    </xf>
    <xf numFmtId="173" fontId="9" fillId="27" borderId="38" xfId="0" applyNumberFormat="1" applyFont="1" applyFill="1" applyBorder="1" applyAlignment="1">
      <alignment vertical="center"/>
    </xf>
    <xf numFmtId="173" fontId="69" fillId="27" borderId="39" xfId="0" applyNumberFormat="1" applyFont="1" applyFill="1" applyBorder="1" applyAlignment="1">
      <alignment vertical="center"/>
    </xf>
    <xf numFmtId="0" fontId="88" fillId="0" borderId="0" xfId="0" applyFont="1"/>
    <xf numFmtId="3" fontId="63" fillId="27" borderId="35" xfId="0" applyNumberFormat="1" applyFont="1" applyFill="1" applyBorder="1" applyAlignment="1">
      <alignment vertical="center"/>
    </xf>
    <xf numFmtId="3" fontId="69" fillId="27" borderId="35" xfId="0" applyNumberFormat="1" applyFont="1" applyFill="1" applyBorder="1" applyAlignment="1">
      <alignment vertical="center"/>
    </xf>
    <xf numFmtId="169" fontId="81" fillId="27" borderId="34" xfId="44" applyNumberFormat="1" applyFont="1" applyFill="1" applyBorder="1" applyAlignment="1">
      <alignment vertical="center"/>
    </xf>
    <xf numFmtId="169" fontId="81" fillId="27" borderId="35" xfId="44" applyNumberFormat="1" applyFont="1" applyFill="1" applyBorder="1" applyAlignment="1">
      <alignment vertical="center"/>
    </xf>
    <xf numFmtId="3" fontId="9" fillId="27" borderId="37" xfId="0" applyNumberFormat="1" applyFont="1" applyFill="1" applyBorder="1" applyAlignment="1">
      <alignment vertical="center"/>
    </xf>
    <xf numFmtId="3" fontId="9" fillId="27" borderId="35" xfId="0" applyNumberFormat="1" applyFont="1" applyFill="1" applyBorder="1" applyAlignment="1">
      <alignment vertical="center"/>
    </xf>
    <xf numFmtId="0" fontId="69" fillId="27" borderId="35" xfId="0" applyFont="1" applyFill="1" applyBorder="1" applyAlignment="1">
      <alignment vertical="center"/>
    </xf>
    <xf numFmtId="0" fontId="36" fillId="0" borderId="0" xfId="0" applyFont="1" applyFill="1" applyAlignment="1">
      <alignment horizontal="left"/>
    </xf>
    <xf numFmtId="0" fontId="89" fillId="0" borderId="0" xfId="0" applyFont="1" applyFill="1" applyBorder="1" applyAlignment="1">
      <alignment horizontal="left"/>
    </xf>
    <xf numFmtId="0" fontId="36" fillId="0" borderId="40" xfId="0" applyFont="1" applyFill="1" applyBorder="1" applyAlignment="1">
      <alignment horizontal="left" indent="1"/>
    </xf>
    <xf numFmtId="172" fontId="36" fillId="0" borderId="40" xfId="0" applyNumberFormat="1" applyFont="1" applyFill="1" applyBorder="1"/>
    <xf numFmtId="0" fontId="36" fillId="0" borderId="41" xfId="0" applyFont="1" applyFill="1" applyBorder="1" applyAlignment="1">
      <alignment horizontal="left" indent="1"/>
    </xf>
    <xf numFmtId="172" fontId="36" fillId="0" borderId="41" xfId="0" applyNumberFormat="1" applyFont="1" applyFill="1" applyBorder="1"/>
    <xf numFmtId="0" fontId="36" fillId="26" borderId="4" xfId="0" applyFont="1" applyFill="1" applyBorder="1"/>
    <xf numFmtId="0" fontId="90" fillId="25" borderId="4" xfId="0" applyFont="1" applyFill="1" applyBorder="1" applyAlignment="1">
      <alignment horizontal="center" vertical="center" wrapText="1"/>
    </xf>
    <xf numFmtId="0" fontId="41" fillId="21" borderId="0" xfId="0" applyFont="1" applyFill="1" applyBorder="1"/>
    <xf numFmtId="0" fontId="92" fillId="26" borderId="4" xfId="0" applyFont="1" applyFill="1" applyBorder="1"/>
    <xf numFmtId="172" fontId="92" fillId="26" borderId="4" xfId="0" applyNumberFormat="1" applyFont="1" applyFill="1" applyBorder="1"/>
    <xf numFmtId="3" fontId="9" fillId="0" borderId="37" xfId="0" applyNumberFormat="1" applyFont="1" applyFill="1" applyBorder="1" applyAlignment="1" applyProtection="1">
      <alignment vertical="center"/>
      <protection locked="0"/>
    </xf>
    <xf numFmtId="3" fontId="9" fillId="0" borderId="35" xfId="0" applyNumberFormat="1" applyFont="1" applyFill="1" applyBorder="1" applyAlignment="1" applyProtection="1">
      <alignment vertical="center"/>
      <protection locked="0"/>
    </xf>
    <xf numFmtId="0" fontId="62" fillId="25" borderId="0" xfId="0" applyFont="1" applyFill="1" applyBorder="1" applyAlignment="1">
      <alignment horizontal="left" vertical="center"/>
    </xf>
    <xf numFmtId="0" fontId="54" fillId="25" borderId="0" xfId="0" applyFont="1" applyFill="1" applyBorder="1" applyAlignment="1">
      <alignment horizontal="left" vertical="center"/>
    </xf>
    <xf numFmtId="0" fontId="54" fillId="25" borderId="0" xfId="0" applyFont="1" applyFill="1" applyAlignment="1" applyProtection="1">
      <alignment horizontal="left" vertical="center"/>
    </xf>
    <xf numFmtId="0" fontId="95" fillId="25" borderId="0" xfId="0" applyFont="1" applyFill="1" applyBorder="1" applyAlignment="1">
      <alignment horizontal="right" vertical="center"/>
    </xf>
    <xf numFmtId="0" fontId="49" fillId="0" borderId="42" xfId="0" applyFont="1" applyBorder="1" applyAlignment="1" applyProtection="1">
      <alignment horizontal="center" vertical="center"/>
      <protection locked="0"/>
    </xf>
    <xf numFmtId="0" fontId="96" fillId="25" borderId="0" xfId="0" applyFont="1" applyFill="1" applyBorder="1" applyAlignment="1">
      <alignment horizontal="left" vertical="center"/>
    </xf>
    <xf numFmtId="0" fontId="54" fillId="25" borderId="40" xfId="0" applyFont="1" applyFill="1" applyBorder="1" applyAlignment="1">
      <alignment horizontal="center" vertical="center"/>
    </xf>
    <xf numFmtId="0" fontId="54" fillId="25" borderId="41" xfId="0" applyFont="1" applyFill="1" applyBorder="1" applyAlignment="1">
      <alignment horizontal="center" vertical="center"/>
    </xf>
    <xf numFmtId="0" fontId="54" fillId="25" borderId="43" xfId="0" applyFont="1" applyFill="1" applyBorder="1" applyAlignment="1">
      <alignment horizontal="center" vertical="center"/>
    </xf>
    <xf numFmtId="0" fontId="49" fillId="0" borderId="28" xfId="0" applyFont="1" applyFill="1" applyBorder="1" applyAlignment="1" applyProtection="1">
      <alignment horizontal="center" vertical="center"/>
    </xf>
    <xf numFmtId="3" fontId="22" fillId="0" borderId="0" xfId="0" applyNumberFormat="1" applyFont="1" applyFill="1" applyBorder="1" applyAlignment="1">
      <alignment horizontal="center" vertical="center"/>
    </xf>
    <xf numFmtId="0" fontId="36" fillId="0" borderId="0" xfId="0" applyFont="1" applyFill="1" applyAlignment="1"/>
    <xf numFmtId="0" fontId="57" fillId="0" borderId="0" xfId="0" applyFont="1" applyFill="1" applyAlignment="1"/>
    <xf numFmtId="0" fontId="57" fillId="0" borderId="0" xfId="0" applyFont="1" applyFill="1" applyAlignment="1">
      <alignment horizontal="left"/>
    </xf>
    <xf numFmtId="0" fontId="54" fillId="25" borderId="40" xfId="0" applyFont="1" applyFill="1" applyBorder="1" applyAlignment="1">
      <alignment horizontal="centerContinuous" vertical="center"/>
    </xf>
    <xf numFmtId="0" fontId="54" fillId="25" borderId="41" xfId="0" applyFont="1" applyFill="1" applyBorder="1" applyAlignment="1">
      <alignment horizontal="centerContinuous" vertical="center"/>
    </xf>
    <xf numFmtId="0" fontId="54" fillId="25" borderId="43" xfId="0" applyFont="1" applyFill="1" applyBorder="1" applyAlignment="1">
      <alignment horizontal="centerContinuous" vertical="center"/>
    </xf>
    <xf numFmtId="0" fontId="39" fillId="0" borderId="0" xfId="0" applyFont="1" applyAlignment="1"/>
    <xf numFmtId="0" fontId="57" fillId="0" borderId="0" xfId="0" applyFont="1" applyAlignment="1"/>
    <xf numFmtId="0" fontId="102" fillId="25" borderId="0" xfId="0" applyFont="1" applyFill="1" applyAlignment="1">
      <alignment horizontal="right"/>
    </xf>
    <xf numFmtId="0" fontId="91" fillId="25" borderId="0" xfId="0" applyFont="1" applyFill="1" applyBorder="1" applyAlignment="1">
      <alignment horizontal="center" vertical="center" wrapText="1"/>
    </xf>
    <xf numFmtId="0" fontId="92" fillId="0" borderId="0" xfId="0" applyFont="1" applyFill="1"/>
    <xf numFmtId="22" fontId="35" fillId="21" borderId="44" xfId="0" applyNumberFormat="1" applyFont="1" applyFill="1" applyBorder="1"/>
    <xf numFmtId="171" fontId="33" fillId="0" borderId="45" xfId="0" applyNumberFormat="1" applyFont="1" applyFill="1" applyBorder="1" applyAlignment="1" applyProtection="1">
      <alignment horizontal="left" vertical="center"/>
    </xf>
    <xf numFmtId="0" fontId="13" fillId="21" borderId="46" xfId="0" applyFont="1" applyFill="1" applyBorder="1"/>
    <xf numFmtId="22" fontId="35" fillId="21" borderId="47" xfId="0" applyNumberFormat="1" applyFont="1" applyFill="1" applyBorder="1"/>
    <xf numFmtId="171" fontId="33" fillId="0" borderId="0" xfId="0" applyNumberFormat="1" applyFont="1" applyFill="1" applyBorder="1" applyAlignment="1" applyProtection="1">
      <alignment horizontal="left" vertical="center"/>
    </xf>
    <xf numFmtId="0" fontId="13" fillId="21" borderId="48" xfId="0" applyFont="1" applyFill="1" applyBorder="1"/>
    <xf numFmtId="0" fontId="43" fillId="26" borderId="49" xfId="0" applyFont="1" applyFill="1" applyBorder="1" applyAlignment="1">
      <alignment horizontal="center" vertical="center"/>
    </xf>
    <xf numFmtId="0" fontId="41" fillId="26" borderId="50" xfId="0" applyFont="1" applyFill="1" applyBorder="1" applyAlignment="1">
      <alignment horizontal="center" vertical="center"/>
    </xf>
    <xf numFmtId="0" fontId="41" fillId="26" borderId="51" xfId="0" applyFont="1" applyFill="1" applyBorder="1" applyAlignment="1">
      <alignment horizontal="center" vertical="center"/>
    </xf>
    <xf numFmtId="0" fontId="43" fillId="26" borderId="52" xfId="0" applyFont="1" applyFill="1" applyBorder="1" applyAlignment="1">
      <alignment horizontal="center" vertical="center"/>
    </xf>
    <xf numFmtId="0" fontId="41" fillId="26" borderId="53" xfId="0" applyFont="1" applyFill="1" applyBorder="1" applyAlignment="1">
      <alignment horizontal="center" vertical="center"/>
    </xf>
    <xf numFmtId="0" fontId="41" fillId="26" borderId="54" xfId="0" applyFont="1" applyFill="1" applyBorder="1" applyAlignment="1">
      <alignment horizontal="center" vertical="center"/>
    </xf>
    <xf numFmtId="0" fontId="36" fillId="0" borderId="44" xfId="0" applyFont="1" applyBorder="1" applyAlignment="1">
      <alignment horizontal="left" indent="1"/>
    </xf>
    <xf numFmtId="0" fontId="36" fillId="0" borderId="45" xfId="0" applyFont="1" applyBorder="1" applyAlignment="1">
      <alignment horizontal="left" indent="1"/>
    </xf>
    <xf numFmtId="0" fontId="37" fillId="0" borderId="46" xfId="0" applyFont="1" applyBorder="1"/>
    <xf numFmtId="0" fontId="36" fillId="0" borderId="47" xfId="0" applyFont="1" applyBorder="1" applyAlignment="1">
      <alignment horizontal="left" indent="1"/>
    </xf>
    <xf numFmtId="0" fontId="36" fillId="0" borderId="0" xfId="0" applyFont="1" applyBorder="1" applyAlignment="1">
      <alignment horizontal="left" indent="1"/>
    </xf>
    <xf numFmtId="0" fontId="37" fillId="0" borderId="48" xfId="0" applyFont="1" applyBorder="1"/>
    <xf numFmtId="0" fontId="44" fillId="0" borderId="49" xfId="0" applyFont="1" applyBorder="1" applyAlignment="1">
      <alignment horizontal="left" indent="1"/>
    </xf>
    <xf numFmtId="0" fontId="44" fillId="0" borderId="50" xfId="0" applyFont="1" applyBorder="1" applyAlignment="1">
      <alignment horizontal="left" indent="1"/>
    </xf>
    <xf numFmtId="0" fontId="46" fillId="0" borderId="51" xfId="0" applyFont="1" applyBorder="1"/>
    <xf numFmtId="0" fontId="44" fillId="0" borderId="52" xfId="0" applyFont="1" applyBorder="1" applyAlignment="1">
      <alignment horizontal="left" indent="1"/>
    </xf>
    <xf numFmtId="0" fontId="46" fillId="0" borderId="54" xfId="0" applyFont="1" applyBorder="1"/>
    <xf numFmtId="0" fontId="37" fillId="26" borderId="44" xfId="0" applyFont="1" applyFill="1" applyBorder="1" applyAlignment="1">
      <alignment horizontal="center" vertical="center"/>
    </xf>
    <xf numFmtId="0" fontId="86" fillId="26" borderId="46" xfId="0" applyFont="1" applyFill="1" applyBorder="1" applyAlignment="1">
      <alignment horizontal="center" vertical="center"/>
    </xf>
    <xf numFmtId="0" fontId="46" fillId="26" borderId="52" xfId="0" applyFont="1" applyFill="1" applyBorder="1" applyAlignment="1">
      <alignment horizontal="center" vertical="center"/>
    </xf>
    <xf numFmtId="3" fontId="34" fillId="26" borderId="49" xfId="0" applyNumberFormat="1" applyFont="1" applyFill="1" applyBorder="1" applyAlignment="1">
      <alignment horizontal="right"/>
    </xf>
    <xf numFmtId="9" fontId="87" fillId="26" borderId="51" xfId="44" applyFont="1" applyFill="1" applyBorder="1" applyAlignment="1">
      <alignment horizontal="right"/>
    </xf>
    <xf numFmtId="3" fontId="34" fillId="26" borderId="52" xfId="0" applyNumberFormat="1" applyFont="1" applyFill="1" applyBorder="1" applyAlignment="1">
      <alignment horizontal="right"/>
    </xf>
    <xf numFmtId="9" fontId="87" fillId="26" borderId="54" xfId="44" applyFont="1" applyFill="1" applyBorder="1" applyAlignment="1">
      <alignment horizontal="right"/>
    </xf>
    <xf numFmtId="9" fontId="87" fillId="26" borderId="50" xfId="44" applyFont="1" applyFill="1" applyBorder="1" applyAlignment="1">
      <alignment horizontal="right"/>
    </xf>
    <xf numFmtId="0" fontId="37" fillId="26" borderId="47" xfId="0" applyFont="1" applyFill="1" applyBorder="1" applyAlignment="1">
      <alignment horizontal="center" vertical="center"/>
    </xf>
    <xf numFmtId="0" fontId="86" fillId="26" borderId="48" xfId="0" applyFont="1" applyFill="1" applyBorder="1" applyAlignment="1">
      <alignment horizontal="center" vertical="center"/>
    </xf>
    <xf numFmtId="0" fontId="86" fillId="26" borderId="45" xfId="0" applyFont="1" applyFill="1" applyBorder="1" applyAlignment="1">
      <alignment horizontal="center" vertical="center"/>
    </xf>
    <xf numFmtId="0" fontId="86" fillId="26" borderId="0" xfId="0" applyFont="1" applyFill="1" applyBorder="1" applyAlignment="1">
      <alignment horizontal="center" vertical="center"/>
    </xf>
    <xf numFmtId="9" fontId="87" fillId="26" borderId="53" xfId="44" applyFont="1" applyFill="1" applyBorder="1" applyAlignment="1">
      <alignment horizontal="right"/>
    </xf>
    <xf numFmtId="0" fontId="56" fillId="26" borderId="53" xfId="0" applyFont="1" applyFill="1" applyBorder="1" applyAlignment="1">
      <alignment horizontal="center" vertical="center"/>
    </xf>
    <xf numFmtId="0" fontId="36" fillId="0" borderId="55" xfId="0" applyFont="1" applyFill="1" applyBorder="1" applyAlignment="1">
      <alignment horizontal="left" indent="1"/>
    </xf>
    <xf numFmtId="0" fontId="44" fillId="0" borderId="56" xfId="0" applyFont="1" applyFill="1" applyBorder="1" applyAlignment="1">
      <alignment horizontal="left" indent="1"/>
    </xf>
    <xf numFmtId="0" fontId="36" fillId="0" borderId="57" xfId="0" applyFont="1" applyFill="1" applyBorder="1" applyAlignment="1">
      <alignment horizontal="left" indent="1"/>
    </xf>
    <xf numFmtId="0" fontId="36" fillId="0" borderId="44" xfId="0" applyFont="1" applyFill="1" applyBorder="1" applyAlignment="1">
      <alignment horizontal="left" indent="1"/>
    </xf>
    <xf numFmtId="0" fontId="36" fillId="0" borderId="45" xfId="0" applyFont="1" applyFill="1" applyBorder="1" applyAlignment="1">
      <alignment horizontal="left" indent="1"/>
    </xf>
    <xf numFmtId="0" fontId="37" fillId="0" borderId="55" xfId="0" applyFont="1" applyBorder="1"/>
    <xf numFmtId="0" fontId="41" fillId="0" borderId="44" xfId="0" applyFont="1" applyFill="1" applyBorder="1" applyAlignment="1">
      <alignment horizontal="center"/>
    </xf>
    <xf numFmtId="0" fontId="41" fillId="0" borderId="47" xfId="0" applyFont="1" applyFill="1" applyBorder="1" applyAlignment="1">
      <alignment horizontal="center"/>
    </xf>
    <xf numFmtId="0" fontId="38" fillId="0" borderId="46" xfId="0" applyFont="1" applyFill="1" applyBorder="1" applyAlignment="1">
      <alignment horizontal="center"/>
    </xf>
    <xf numFmtId="0" fontId="38" fillId="0" borderId="48" xfId="0" applyFont="1" applyFill="1" applyBorder="1" applyAlignment="1">
      <alignment horizontal="center"/>
    </xf>
    <xf numFmtId="0" fontId="38" fillId="26" borderId="46" xfId="0" applyFont="1" applyFill="1" applyBorder="1" applyAlignment="1">
      <alignment horizontal="center" vertical="center"/>
    </xf>
    <xf numFmtId="0" fontId="41" fillId="27" borderId="44" xfId="0" applyFont="1" applyFill="1" applyBorder="1" applyAlignment="1">
      <alignment horizontal="center" wrapText="1"/>
    </xf>
    <xf numFmtId="0" fontId="38" fillId="27" borderId="46" xfId="0" applyFont="1" applyFill="1" applyBorder="1" applyAlignment="1">
      <alignment horizontal="center"/>
    </xf>
    <xf numFmtId="0" fontId="38" fillId="27" borderId="48" xfId="0" applyFont="1" applyFill="1" applyBorder="1" applyAlignment="1">
      <alignment horizontal="center"/>
    </xf>
    <xf numFmtId="0" fontId="46" fillId="26" borderId="49" xfId="0" applyFont="1" applyFill="1" applyBorder="1" applyAlignment="1">
      <alignment horizontal="center" vertical="center"/>
    </xf>
    <xf numFmtId="0" fontId="44" fillId="0" borderId="50" xfId="0" applyFont="1" applyFill="1" applyBorder="1" applyAlignment="1">
      <alignment horizontal="left" indent="1"/>
    </xf>
    <xf numFmtId="0" fontId="48" fillId="26" borderId="51" xfId="0" applyFont="1" applyFill="1" applyBorder="1" applyAlignment="1">
      <alignment horizontal="center" vertical="center"/>
    </xf>
    <xf numFmtId="9" fontId="42" fillId="26" borderId="51" xfId="44" applyFont="1" applyFill="1" applyBorder="1" applyAlignment="1">
      <alignment horizontal="right" vertical="center"/>
    </xf>
    <xf numFmtId="0" fontId="36" fillId="0" borderId="0" xfId="0" applyFont="1" applyFill="1" applyBorder="1" applyAlignment="1">
      <alignment horizontal="left" indent="1"/>
    </xf>
    <xf numFmtId="0" fontId="37" fillId="0" borderId="57" xfId="0" applyFont="1" applyBorder="1"/>
    <xf numFmtId="0" fontId="38" fillId="26" borderId="48" xfId="0" applyFont="1" applyFill="1" applyBorder="1" applyAlignment="1">
      <alignment horizontal="center" vertical="center"/>
    </xf>
    <xf numFmtId="9" fontId="42" fillId="26" borderId="54" xfId="44" applyFont="1" applyFill="1" applyBorder="1" applyAlignment="1">
      <alignment horizontal="right" vertical="center"/>
    </xf>
    <xf numFmtId="3" fontId="40" fillId="26" borderId="49" xfId="0" applyNumberFormat="1" applyFont="1" applyFill="1" applyBorder="1" applyAlignment="1">
      <alignment horizontal="right" vertical="center"/>
    </xf>
    <xf numFmtId="3" fontId="40" fillId="26" borderId="52" xfId="0" applyNumberFormat="1" applyFont="1" applyFill="1" applyBorder="1" applyAlignment="1">
      <alignment horizontal="right" vertical="center"/>
    </xf>
    <xf numFmtId="0" fontId="46" fillId="27" borderId="49" xfId="0" applyFont="1" applyFill="1" applyBorder="1" applyAlignment="1">
      <alignment horizontal="center" wrapText="1"/>
    </xf>
    <xf numFmtId="9" fontId="48" fillId="27" borderId="51" xfId="44" applyFont="1" applyFill="1" applyBorder="1" applyAlignment="1">
      <alignment horizontal="center"/>
    </xf>
    <xf numFmtId="0" fontId="46" fillId="0" borderId="49" xfId="0" applyFont="1" applyFill="1" applyBorder="1" applyAlignment="1">
      <alignment horizontal="center"/>
    </xf>
    <xf numFmtId="0" fontId="48" fillId="0" borderId="51" xfId="0" applyFont="1" applyFill="1" applyBorder="1" applyAlignment="1">
      <alignment horizontal="center"/>
    </xf>
    <xf numFmtId="0" fontId="46" fillId="0" borderId="58" xfId="0" applyFont="1" applyBorder="1"/>
    <xf numFmtId="0" fontId="37" fillId="0" borderId="59" xfId="0" applyFont="1" applyBorder="1"/>
    <xf numFmtId="0" fontId="37" fillId="0" borderId="60" xfId="0" applyFont="1" applyBorder="1"/>
    <xf numFmtId="0" fontId="46" fillId="0" borderId="61" xfId="0" applyFont="1" applyBorder="1"/>
    <xf numFmtId="0" fontId="56" fillId="26" borderId="51" xfId="0" applyFont="1" applyFill="1" applyBorder="1" applyAlignment="1">
      <alignment horizontal="center" vertical="center"/>
    </xf>
    <xf numFmtId="172" fontId="41" fillId="27" borderId="52" xfId="0" applyNumberFormat="1" applyFont="1" applyFill="1" applyBorder="1" applyAlignment="1">
      <alignment horizontal="center" vertical="center" wrapText="1"/>
    </xf>
    <xf numFmtId="0" fontId="25" fillId="0" borderId="0" xfId="0" applyFont="1" applyAlignment="1">
      <alignment horizontal="centerContinuous" vertical="center"/>
    </xf>
    <xf numFmtId="0" fontId="51" fillId="25" borderId="63" xfId="0" applyFont="1" applyFill="1" applyBorder="1" applyAlignment="1">
      <alignment horizontal="center"/>
    </xf>
    <xf numFmtId="0" fontId="51" fillId="25" borderId="0" xfId="0" applyFont="1" applyFill="1" applyBorder="1" applyAlignment="1">
      <alignment horizontal="center"/>
    </xf>
    <xf numFmtId="3" fontId="65" fillId="25" borderId="33" xfId="0" applyNumberFormat="1" applyFont="1" applyFill="1" applyBorder="1" applyAlignment="1">
      <alignment horizontal="right" vertical="center"/>
    </xf>
    <xf numFmtId="3" fontId="65" fillId="25" borderId="64" xfId="0" applyNumberFormat="1" applyFont="1" applyFill="1" applyBorder="1" applyAlignment="1">
      <alignment horizontal="right" vertical="center"/>
    </xf>
    <xf numFmtId="0" fontId="51" fillId="25" borderId="65" xfId="0" applyFont="1" applyFill="1" applyBorder="1" applyAlignment="1">
      <alignment horizontal="center"/>
    </xf>
    <xf numFmtId="0" fontId="36" fillId="0" borderId="46" xfId="0" applyFont="1" applyFill="1" applyBorder="1" applyAlignment="1">
      <alignment horizontal="left" indent="1"/>
    </xf>
    <xf numFmtId="0" fontId="44" fillId="0" borderId="52" xfId="0" applyFont="1" applyFill="1" applyBorder="1" applyAlignment="1">
      <alignment horizontal="left" indent="1"/>
    </xf>
    <xf numFmtId="0" fontId="44" fillId="0" borderId="54" xfId="0" applyFont="1" applyFill="1" applyBorder="1" applyAlignment="1">
      <alignment horizontal="left" indent="1"/>
    </xf>
    <xf numFmtId="0" fontId="46" fillId="29" borderId="66" xfId="0" applyFont="1" applyFill="1" applyBorder="1" applyAlignment="1">
      <alignment vertical="center"/>
    </xf>
    <xf numFmtId="0" fontId="46" fillId="29" borderId="67" xfId="0" applyFont="1" applyFill="1" applyBorder="1" applyAlignment="1">
      <alignment vertical="center"/>
    </xf>
    <xf numFmtId="3" fontId="50" fillId="29" borderId="68" xfId="0" applyNumberFormat="1" applyFont="1" applyFill="1" applyBorder="1" applyAlignment="1">
      <alignment vertical="center"/>
    </xf>
    <xf numFmtId="3" fontId="50" fillId="29" borderId="69" xfId="0" applyNumberFormat="1" applyFont="1" applyFill="1" applyBorder="1" applyAlignment="1">
      <alignment vertical="center"/>
    </xf>
    <xf numFmtId="0" fontId="46" fillId="29" borderId="71" xfId="0" applyFont="1" applyFill="1" applyBorder="1" applyAlignment="1">
      <alignment vertical="center"/>
    </xf>
    <xf numFmtId="0" fontId="46" fillId="29" borderId="72" xfId="0" applyFont="1" applyFill="1" applyBorder="1" applyAlignment="1">
      <alignment vertical="center"/>
    </xf>
    <xf numFmtId="3" fontId="50" fillId="29" borderId="73" xfId="0" applyNumberFormat="1" applyFont="1" applyFill="1" applyBorder="1" applyAlignment="1">
      <alignment vertical="center"/>
    </xf>
    <xf numFmtId="0" fontId="46" fillId="29" borderId="59" xfId="0" applyFont="1" applyFill="1" applyBorder="1" applyAlignment="1">
      <alignment vertical="center"/>
    </xf>
    <xf numFmtId="0" fontId="46" fillId="29" borderId="60" xfId="0" applyFont="1" applyFill="1" applyBorder="1" applyAlignment="1">
      <alignment vertical="center"/>
    </xf>
    <xf numFmtId="3" fontId="50" fillId="29" borderId="75" xfId="0" applyNumberFormat="1" applyFont="1" applyFill="1" applyBorder="1" applyAlignment="1">
      <alignment vertical="center"/>
    </xf>
    <xf numFmtId="0" fontId="16" fillId="0" borderId="0" xfId="0" applyFont="1" applyAlignment="1">
      <alignment horizontal="centerContinuous" vertical="center"/>
    </xf>
    <xf numFmtId="0" fontId="69" fillId="0" borderId="77" xfId="0" applyFont="1" applyFill="1" applyBorder="1" applyAlignment="1">
      <alignment vertical="center"/>
    </xf>
    <xf numFmtId="0" fontId="69" fillId="0" borderId="81" xfId="0" applyFont="1" applyFill="1" applyBorder="1" applyAlignment="1">
      <alignment vertical="center"/>
    </xf>
    <xf numFmtId="0" fontId="74" fillId="0" borderId="83" xfId="0" applyFont="1" applyFill="1" applyBorder="1" applyAlignment="1">
      <alignment vertical="center"/>
    </xf>
    <xf numFmtId="0" fontId="9" fillId="0" borderId="80" xfId="0" applyFont="1" applyFill="1" applyBorder="1" applyAlignment="1">
      <alignment horizontal="center" vertical="center"/>
    </xf>
    <xf numFmtId="0" fontId="9" fillId="0" borderId="82" xfId="0" applyFont="1" applyFill="1" applyBorder="1" applyAlignment="1">
      <alignment horizontal="center" vertical="center"/>
    </xf>
    <xf numFmtId="0" fontId="9" fillId="0" borderId="85" xfId="0" applyFont="1" applyFill="1" applyBorder="1" applyAlignment="1">
      <alignment horizontal="center" vertical="center"/>
    </xf>
    <xf numFmtId="3" fontId="76" fillId="26" borderId="86" xfId="0" applyNumberFormat="1" applyFont="1" applyFill="1" applyBorder="1" applyAlignment="1">
      <alignment vertical="center"/>
    </xf>
    <xf numFmtId="3" fontId="76" fillId="26" borderId="56" xfId="0" applyNumberFormat="1" applyFont="1" applyFill="1" applyBorder="1" applyAlignment="1">
      <alignment vertical="center"/>
    </xf>
    <xf numFmtId="3" fontId="76" fillId="26" borderId="58" xfId="0" applyNumberFormat="1" applyFont="1" applyFill="1" applyBorder="1" applyAlignment="1">
      <alignment vertical="center"/>
    </xf>
    <xf numFmtId="3" fontId="76" fillId="26" borderId="87" xfId="0" applyNumberFormat="1" applyFont="1" applyFill="1" applyBorder="1" applyAlignment="1">
      <alignment vertical="center"/>
    </xf>
    <xf numFmtId="3" fontId="63" fillId="0" borderId="55" xfId="0" applyNumberFormat="1" applyFont="1" applyFill="1" applyBorder="1" applyAlignment="1">
      <alignment horizontal="center" vertical="center"/>
    </xf>
    <xf numFmtId="3" fontId="63" fillId="0" borderId="56" xfId="0" applyNumberFormat="1" applyFont="1" applyFill="1" applyBorder="1" applyAlignment="1">
      <alignment vertical="center"/>
    </xf>
    <xf numFmtId="3" fontId="63" fillId="27" borderId="58" xfId="0" applyNumberFormat="1" applyFont="1" applyFill="1" applyBorder="1" applyAlignment="1">
      <alignment vertical="center"/>
    </xf>
    <xf numFmtId="173" fontId="69" fillId="27" borderId="79" xfId="0" applyNumberFormat="1" applyFont="1" applyFill="1" applyBorder="1" applyAlignment="1">
      <alignment vertical="center"/>
    </xf>
    <xf numFmtId="173" fontId="69" fillId="27" borderId="80" xfId="0" applyNumberFormat="1" applyFont="1" applyFill="1" applyBorder="1" applyAlignment="1">
      <alignment vertical="center"/>
    </xf>
    <xf numFmtId="173" fontId="69" fillId="27" borderId="82" xfId="0" applyNumberFormat="1" applyFont="1" applyFill="1" applyBorder="1" applyAlignment="1">
      <alignment vertical="center"/>
    </xf>
    <xf numFmtId="0" fontId="69" fillId="0" borderId="83" xfId="0" applyFont="1" applyFill="1" applyBorder="1" applyAlignment="1">
      <alignment vertical="center"/>
    </xf>
    <xf numFmtId="173" fontId="69" fillId="27" borderId="84" xfId="0" applyNumberFormat="1" applyFont="1" applyFill="1" applyBorder="1" applyAlignment="1">
      <alignment vertical="center"/>
    </xf>
    <xf numFmtId="173" fontId="69" fillId="27" borderId="85" xfId="0" applyNumberFormat="1" applyFont="1" applyFill="1" applyBorder="1" applyAlignment="1">
      <alignment vertical="center"/>
    </xf>
    <xf numFmtId="0" fontId="9" fillId="0" borderId="88" xfId="0" applyFont="1" applyFill="1" applyBorder="1" applyAlignment="1">
      <alignment horizontal="center" vertical="center"/>
    </xf>
    <xf numFmtId="0" fontId="9" fillId="0" borderId="89" xfId="0" applyFont="1" applyFill="1" applyBorder="1" applyAlignment="1">
      <alignment horizontal="center" vertical="center"/>
    </xf>
    <xf numFmtId="0" fontId="9" fillId="0" borderId="90" xfId="0" applyFont="1" applyFill="1" applyBorder="1" applyAlignment="1">
      <alignment horizontal="center" vertical="center"/>
    </xf>
    <xf numFmtId="173" fontId="69" fillId="27" borderId="77" xfId="0" applyNumberFormat="1" applyFont="1" applyFill="1" applyBorder="1" applyAlignment="1">
      <alignment vertical="center"/>
    </xf>
    <xf numFmtId="173" fontId="69" fillId="27" borderId="81" xfId="0" applyNumberFormat="1" applyFont="1" applyFill="1" applyBorder="1" applyAlignment="1">
      <alignment vertical="center"/>
    </xf>
    <xf numFmtId="173" fontId="69" fillId="27" borderId="91" xfId="0" applyNumberFormat="1" applyFont="1" applyFill="1" applyBorder="1" applyAlignment="1">
      <alignment vertical="center"/>
    </xf>
    <xf numFmtId="173" fontId="69" fillId="27" borderId="92" xfId="0" applyNumberFormat="1" applyFont="1" applyFill="1" applyBorder="1" applyAlignment="1">
      <alignment vertical="center"/>
    </xf>
    <xf numFmtId="3" fontId="76" fillId="26" borderId="93" xfId="0" applyNumberFormat="1" applyFont="1" applyFill="1" applyBorder="1" applyAlignment="1">
      <alignment vertical="center"/>
    </xf>
    <xf numFmtId="3" fontId="76" fillId="26" borderId="94" xfId="0" applyNumberFormat="1" applyFont="1" applyFill="1" applyBorder="1" applyAlignment="1">
      <alignment vertical="center"/>
    </xf>
    <xf numFmtId="3" fontId="76" fillId="26" borderId="95" xfId="0" applyNumberFormat="1" applyFont="1" applyFill="1" applyBorder="1" applyAlignment="1">
      <alignment vertical="center"/>
    </xf>
    <xf numFmtId="0" fontId="9" fillId="0" borderId="77" xfId="0" applyFont="1" applyFill="1" applyBorder="1" applyAlignment="1">
      <alignment vertical="center"/>
    </xf>
    <xf numFmtId="0" fontId="9" fillId="0" borderId="80" xfId="0" quotePrefix="1" applyFont="1" applyFill="1" applyBorder="1" applyAlignment="1">
      <alignment horizontal="center" vertical="center"/>
    </xf>
    <xf numFmtId="0" fontId="9" fillId="0" borderId="81" xfId="0" applyFont="1" applyFill="1" applyBorder="1" applyAlignment="1">
      <alignment vertical="center"/>
    </xf>
    <xf numFmtId="0" fontId="9" fillId="0" borderId="82" xfId="0" quotePrefix="1" applyFont="1" applyFill="1" applyBorder="1" applyAlignment="1">
      <alignment horizontal="center" vertical="center"/>
    </xf>
    <xf numFmtId="0" fontId="9" fillId="0" borderId="96" xfId="0" applyFont="1" applyFill="1" applyBorder="1" applyAlignment="1">
      <alignment vertical="center"/>
    </xf>
    <xf numFmtId="0" fontId="9" fillId="0" borderId="97" xfId="0" quotePrefix="1" applyFont="1" applyFill="1" applyBorder="1" applyAlignment="1">
      <alignment horizontal="center" vertical="center"/>
    </xf>
    <xf numFmtId="0" fontId="9" fillId="0" borderId="98" xfId="0" quotePrefix="1" applyFont="1" applyFill="1" applyBorder="1" applyAlignment="1">
      <alignment horizontal="center" vertical="center"/>
    </xf>
    <xf numFmtId="3" fontId="63" fillId="0" borderId="83" xfId="0" applyNumberFormat="1" applyFont="1" applyFill="1" applyBorder="1" applyAlignment="1">
      <alignment horizontal="center" vertical="center"/>
    </xf>
    <xf numFmtId="3" fontId="79" fillId="0" borderId="85" xfId="0" applyNumberFormat="1" applyFont="1" applyFill="1" applyBorder="1" applyAlignment="1">
      <alignment vertical="center"/>
    </xf>
    <xf numFmtId="173" fontId="9" fillId="27" borderId="78" xfId="0" applyNumberFormat="1" applyFont="1" applyFill="1" applyBorder="1" applyAlignment="1">
      <alignment vertical="center"/>
    </xf>
    <xf numFmtId="173" fontId="9" fillId="27" borderId="99" xfId="0" applyNumberFormat="1" applyFont="1" applyFill="1" applyBorder="1" applyAlignment="1">
      <alignment vertical="center"/>
    </xf>
    <xf numFmtId="173" fontId="9" fillId="27" borderId="81" xfId="0" applyNumberFormat="1" applyFont="1" applyFill="1" applyBorder="1" applyAlignment="1">
      <alignment vertical="center"/>
    </xf>
    <xf numFmtId="173" fontId="9" fillId="27" borderId="100" xfId="0" applyNumberFormat="1" applyFont="1" applyFill="1" applyBorder="1" applyAlignment="1">
      <alignment vertical="center"/>
    </xf>
    <xf numFmtId="173" fontId="9" fillId="27" borderId="96" xfId="0" applyNumberFormat="1" applyFont="1" applyFill="1" applyBorder="1" applyAlignment="1">
      <alignment vertical="center"/>
    </xf>
    <xf numFmtId="173" fontId="9" fillId="27" borderId="101" xfId="0" applyNumberFormat="1" applyFont="1" applyFill="1" applyBorder="1" applyAlignment="1">
      <alignment vertical="center"/>
    </xf>
    <xf numFmtId="173" fontId="69" fillId="27" borderId="102" xfId="0" applyNumberFormat="1" applyFont="1" applyFill="1" applyBorder="1" applyAlignment="1">
      <alignment vertical="center"/>
    </xf>
    <xf numFmtId="173" fontId="69" fillId="27" borderId="103" xfId="0" applyNumberFormat="1" applyFont="1" applyFill="1" applyBorder="1" applyAlignment="1">
      <alignment vertical="center"/>
    </xf>
    <xf numFmtId="172" fontId="79" fillId="27" borderId="83" xfId="44" applyNumberFormat="1" applyFont="1" applyFill="1" applyBorder="1" applyAlignment="1">
      <alignment vertical="center"/>
    </xf>
    <xf numFmtId="172" fontId="79" fillId="27" borderId="104" xfId="44" applyNumberFormat="1" applyFont="1" applyFill="1" applyBorder="1" applyAlignment="1">
      <alignment vertical="center"/>
    </xf>
    <xf numFmtId="172" fontId="79" fillId="27" borderId="84" xfId="44" applyNumberFormat="1" applyFont="1" applyFill="1" applyBorder="1" applyAlignment="1">
      <alignment vertical="center"/>
    </xf>
    <xf numFmtId="172" fontId="79" fillId="27" borderId="85" xfId="44" applyNumberFormat="1" applyFont="1" applyFill="1" applyBorder="1" applyAlignment="1">
      <alignment vertical="center"/>
    </xf>
    <xf numFmtId="3" fontId="76" fillId="26" borderId="102" xfId="0" applyNumberFormat="1" applyFont="1" applyFill="1" applyBorder="1" applyAlignment="1">
      <alignment vertical="center"/>
    </xf>
    <xf numFmtId="3" fontId="76" fillId="26" borderId="98" xfId="0" applyNumberFormat="1" applyFont="1" applyFill="1" applyBorder="1" applyAlignment="1">
      <alignment vertical="center"/>
    </xf>
    <xf numFmtId="3" fontId="76" fillId="26" borderId="39" xfId="0" applyNumberFormat="1" applyFont="1" applyFill="1" applyBorder="1" applyAlignment="1">
      <alignment vertical="center"/>
    </xf>
    <xf numFmtId="3" fontId="76" fillId="26" borderId="105" xfId="0" applyNumberFormat="1" applyFont="1" applyFill="1" applyBorder="1" applyAlignment="1">
      <alignment vertical="center"/>
    </xf>
    <xf numFmtId="0" fontId="9" fillId="0" borderId="83" xfId="0" applyFont="1" applyFill="1" applyBorder="1" applyAlignment="1">
      <alignment vertical="center"/>
    </xf>
    <xf numFmtId="0" fontId="9" fillId="0" borderId="85" xfId="0" quotePrefix="1" applyFont="1" applyFill="1" applyBorder="1" applyAlignment="1">
      <alignment horizontal="center" vertical="center"/>
    </xf>
    <xf numFmtId="173" fontId="9" fillId="27" borderId="83" xfId="0" applyNumberFormat="1" applyFont="1" applyFill="1" applyBorder="1" applyAlignment="1">
      <alignment vertical="center"/>
    </xf>
    <xf numFmtId="173" fontId="9" fillId="27" borderId="104" xfId="0" applyNumberFormat="1" applyFont="1" applyFill="1" applyBorder="1" applyAlignment="1">
      <alignment vertical="center"/>
    </xf>
    <xf numFmtId="173" fontId="9" fillId="27" borderId="106" xfId="0" applyNumberFormat="1" applyFont="1" applyFill="1" applyBorder="1" applyAlignment="1">
      <alignment vertical="center"/>
    </xf>
    <xf numFmtId="3" fontId="76" fillId="26" borderId="103" xfId="0" applyNumberFormat="1" applyFont="1" applyFill="1" applyBorder="1" applyAlignment="1">
      <alignment vertical="center"/>
    </xf>
    <xf numFmtId="3" fontId="76" fillId="26" borderId="77" xfId="0" applyNumberFormat="1" applyFont="1" applyFill="1" applyBorder="1" applyAlignment="1">
      <alignment vertical="center"/>
    </xf>
    <xf numFmtId="3" fontId="76" fillId="26" borderId="80" xfId="0" applyNumberFormat="1" applyFont="1" applyFill="1" applyBorder="1" applyAlignment="1">
      <alignment vertical="center"/>
    </xf>
    <xf numFmtId="3" fontId="76" fillId="26" borderId="78" xfId="0" applyNumberFormat="1" applyFont="1" applyFill="1" applyBorder="1" applyAlignment="1">
      <alignment vertical="center"/>
    </xf>
    <xf numFmtId="3" fontId="76" fillId="26" borderId="79" xfId="0" applyNumberFormat="1" applyFont="1" applyFill="1" applyBorder="1" applyAlignment="1">
      <alignment vertical="center"/>
    </xf>
    <xf numFmtId="0" fontId="9" fillId="0" borderId="83" xfId="0" applyFont="1" applyFill="1" applyBorder="1" applyAlignment="1">
      <alignment vertical="center" wrapText="1"/>
    </xf>
    <xf numFmtId="173" fontId="69" fillId="27" borderId="83" xfId="0" applyNumberFormat="1" applyFont="1" applyFill="1" applyBorder="1" applyAlignment="1">
      <alignment vertical="center"/>
    </xf>
    <xf numFmtId="173" fontId="69" fillId="27" borderId="104" xfId="0" applyNumberFormat="1" applyFont="1" applyFill="1" applyBorder="1" applyAlignment="1">
      <alignment vertical="center"/>
    </xf>
    <xf numFmtId="0" fontId="9" fillId="0" borderId="102" xfId="0" applyFont="1" applyFill="1" applyBorder="1" applyAlignment="1">
      <alignment vertical="center"/>
    </xf>
    <xf numFmtId="172" fontId="79" fillId="27" borderId="83" xfId="0" applyNumberFormat="1" applyFont="1" applyFill="1" applyBorder="1" applyAlignment="1">
      <alignment vertical="center"/>
    </xf>
    <xf numFmtId="172" fontId="79" fillId="27" borderId="104" xfId="0" applyNumberFormat="1" applyFont="1" applyFill="1" applyBorder="1" applyAlignment="1">
      <alignment vertical="center"/>
    </xf>
    <xf numFmtId="172" fontId="79" fillId="27" borderId="84" xfId="0" applyNumberFormat="1" applyFont="1" applyFill="1" applyBorder="1" applyAlignment="1">
      <alignment vertical="center"/>
    </xf>
    <xf numFmtId="172" fontId="79" fillId="27" borderId="85" xfId="0" applyNumberFormat="1" applyFont="1" applyFill="1" applyBorder="1" applyAlignment="1">
      <alignment vertical="center"/>
    </xf>
    <xf numFmtId="0" fontId="69" fillId="27" borderId="79" xfId="0" applyFont="1" applyFill="1" applyBorder="1" applyAlignment="1">
      <alignment vertical="center"/>
    </xf>
    <xf numFmtId="0" fontId="69" fillId="27" borderId="80" xfId="0" applyFont="1" applyFill="1" applyBorder="1" applyAlignment="1">
      <alignment vertical="center"/>
    </xf>
    <xf numFmtId="3" fontId="69" fillId="27" borderId="82" xfId="0" applyNumberFormat="1" applyFont="1" applyFill="1" applyBorder="1" applyAlignment="1">
      <alignment vertical="center"/>
    </xf>
    <xf numFmtId="0" fontId="69" fillId="27" borderId="82" xfId="0" applyFont="1" applyFill="1" applyBorder="1" applyAlignment="1">
      <alignment vertical="center"/>
    </xf>
    <xf numFmtId="3" fontId="69" fillId="27" borderId="108" xfId="0" applyNumberFormat="1" applyFont="1" applyFill="1" applyBorder="1" applyAlignment="1">
      <alignment vertical="center"/>
    </xf>
    <xf numFmtId="3" fontId="69" fillId="27" borderId="97" xfId="0" applyNumberFormat="1" applyFont="1" applyFill="1" applyBorder="1" applyAlignment="1">
      <alignment vertical="center"/>
    </xf>
    <xf numFmtId="3" fontId="76" fillId="26" borderId="86" xfId="0" applyNumberFormat="1" applyFont="1" applyFill="1" applyBorder="1" applyAlignment="1">
      <alignment horizontal="center" vertical="center"/>
    </xf>
    <xf numFmtId="3" fontId="76" fillId="26" borderId="109" xfId="0" applyNumberFormat="1" applyFont="1" applyFill="1" applyBorder="1" applyAlignment="1">
      <alignment vertical="center"/>
    </xf>
    <xf numFmtId="0" fontId="9" fillId="0" borderId="110" xfId="0" applyFont="1" applyFill="1" applyBorder="1" applyAlignment="1">
      <alignment horizontal="center" vertical="center"/>
    </xf>
    <xf numFmtId="3" fontId="76" fillId="26" borderId="111" xfId="0" applyNumberFormat="1" applyFont="1" applyFill="1" applyBorder="1" applyAlignment="1">
      <alignment vertical="center"/>
    </xf>
    <xf numFmtId="0" fontId="69" fillId="27" borderId="112" xfId="0" applyFont="1" applyFill="1" applyBorder="1" applyAlignment="1">
      <alignment vertical="center"/>
    </xf>
    <xf numFmtId="3" fontId="69" fillId="27" borderId="91" xfId="0" applyNumberFormat="1" applyFont="1" applyFill="1" applyBorder="1" applyAlignment="1">
      <alignment vertical="center"/>
    </xf>
    <xf numFmtId="3" fontId="69" fillId="27" borderId="113" xfId="0" applyNumberFormat="1" applyFont="1" applyFill="1" applyBorder="1" applyAlignment="1">
      <alignment vertical="center"/>
    </xf>
    <xf numFmtId="3" fontId="76" fillId="26" borderId="55" xfId="0" applyNumberFormat="1" applyFont="1" applyFill="1" applyBorder="1" applyAlignment="1">
      <alignment vertical="center"/>
    </xf>
    <xf numFmtId="0" fontId="69" fillId="27" borderId="114" xfId="0" applyFont="1" applyFill="1" applyBorder="1" applyAlignment="1">
      <alignment vertical="center"/>
    </xf>
    <xf numFmtId="3" fontId="69" fillId="27" borderId="115" xfId="0" applyNumberFormat="1" applyFont="1" applyFill="1" applyBorder="1" applyAlignment="1">
      <alignment vertical="center"/>
    </xf>
    <xf numFmtId="3" fontId="69" fillId="27" borderId="116" xfId="0" applyNumberFormat="1" applyFont="1" applyFill="1" applyBorder="1" applyAlignment="1">
      <alignment vertical="center"/>
    </xf>
    <xf numFmtId="3" fontId="76" fillId="26" borderId="117" xfId="0" applyNumberFormat="1" applyFont="1" applyFill="1" applyBorder="1" applyAlignment="1">
      <alignment vertical="center"/>
    </xf>
    <xf numFmtId="0" fontId="18" fillId="0" borderId="77" xfId="0" applyFont="1" applyFill="1" applyBorder="1" applyAlignment="1">
      <alignment vertical="center"/>
    </xf>
    <xf numFmtId="3" fontId="63" fillId="27" borderId="79" xfId="0" applyNumberFormat="1" applyFont="1" applyFill="1" applyBorder="1" applyAlignment="1">
      <alignment vertical="center"/>
    </xf>
    <xf numFmtId="3" fontId="63" fillId="27" borderId="80" xfId="0" applyNumberFormat="1" applyFont="1" applyFill="1" applyBorder="1" applyAlignment="1">
      <alignment vertical="center"/>
    </xf>
    <xf numFmtId="0" fontId="18" fillId="0" borderId="81" xfId="0" applyFont="1" applyFill="1" applyBorder="1" applyAlignment="1">
      <alignment vertical="center"/>
    </xf>
    <xf numFmtId="3" fontId="63" fillId="27" borderId="82" xfId="0" applyNumberFormat="1" applyFont="1" applyFill="1" applyBorder="1" applyAlignment="1">
      <alignment vertical="center"/>
    </xf>
    <xf numFmtId="0" fontId="18" fillId="0" borderId="83" xfId="0" applyFont="1" applyFill="1" applyBorder="1" applyAlignment="1">
      <alignment vertical="center"/>
    </xf>
    <xf numFmtId="3" fontId="63" fillId="27" borderId="84" xfId="0" applyNumberFormat="1" applyFont="1" applyFill="1" applyBorder="1" applyAlignment="1">
      <alignment vertical="center"/>
    </xf>
    <xf numFmtId="3" fontId="63" fillId="27" borderId="85" xfId="0" applyNumberFormat="1" applyFont="1" applyFill="1" applyBorder="1" applyAlignment="1">
      <alignment vertical="center"/>
    </xf>
    <xf numFmtId="0" fontId="18" fillId="0" borderId="80" xfId="0" quotePrefix="1" applyFont="1" applyFill="1" applyBorder="1" applyAlignment="1">
      <alignment horizontal="center" vertical="center"/>
    </xf>
    <xf numFmtId="0" fontId="18" fillId="0" borderId="82" xfId="0" quotePrefix="1" applyFont="1" applyFill="1" applyBorder="1" applyAlignment="1">
      <alignment horizontal="center" vertical="center"/>
    </xf>
    <xf numFmtId="0" fontId="18" fillId="0" borderId="85" xfId="0" quotePrefix="1" applyFont="1" applyFill="1" applyBorder="1" applyAlignment="1">
      <alignment horizontal="center" vertical="center"/>
    </xf>
    <xf numFmtId="0" fontId="9" fillId="0" borderId="112" xfId="0" applyFont="1" applyFill="1" applyBorder="1" applyAlignment="1">
      <alignment vertical="center"/>
    </xf>
    <xf numFmtId="0" fontId="9" fillId="0" borderId="91" xfId="0" applyFont="1" applyFill="1" applyBorder="1" applyAlignment="1">
      <alignment vertical="center"/>
    </xf>
    <xf numFmtId="3" fontId="76" fillId="26" borderId="91" xfId="0" applyNumberFormat="1" applyFont="1" applyFill="1" applyBorder="1" applyAlignment="1">
      <alignment horizontal="center" vertical="center"/>
    </xf>
    <xf numFmtId="3" fontId="76" fillId="26" borderId="82" xfId="0" applyNumberFormat="1" applyFont="1" applyFill="1" applyBorder="1" applyAlignment="1">
      <alignment vertical="center"/>
    </xf>
    <xf numFmtId="3" fontId="81" fillId="0" borderId="91" xfId="0" applyNumberFormat="1" applyFont="1" applyFill="1" applyBorder="1" applyAlignment="1">
      <alignment horizontal="center" vertical="center"/>
    </xf>
    <xf numFmtId="3" fontId="81" fillId="0" borderId="82" xfId="0" applyNumberFormat="1" applyFont="1" applyFill="1" applyBorder="1" applyAlignment="1">
      <alignment vertical="center"/>
    </xf>
    <xf numFmtId="3" fontId="76" fillId="26" borderId="92" xfId="0" applyNumberFormat="1" applyFont="1" applyFill="1" applyBorder="1" applyAlignment="1">
      <alignment horizontal="center" vertical="center"/>
    </xf>
    <xf numFmtId="3" fontId="76" fillId="26" borderId="85" xfId="0" applyNumberFormat="1" applyFont="1" applyFill="1" applyBorder="1" applyAlignment="1">
      <alignment vertical="center"/>
    </xf>
    <xf numFmtId="3" fontId="69" fillId="27" borderId="112" xfId="0" applyNumberFormat="1" applyFont="1" applyFill="1" applyBorder="1" applyAlignment="1">
      <alignment vertical="center"/>
    </xf>
    <xf numFmtId="3" fontId="69" fillId="27" borderId="79" xfId="0" applyNumberFormat="1" applyFont="1" applyFill="1" applyBorder="1" applyAlignment="1">
      <alignment vertical="center"/>
    </xf>
    <xf numFmtId="3" fontId="69" fillId="27" borderId="118" xfId="0" applyNumberFormat="1" applyFont="1" applyFill="1" applyBorder="1" applyAlignment="1">
      <alignment vertical="center"/>
    </xf>
    <xf numFmtId="0" fontId="69" fillId="27" borderId="99" xfId="0" applyFont="1" applyFill="1" applyBorder="1" applyAlignment="1">
      <alignment vertical="center"/>
    </xf>
    <xf numFmtId="3" fontId="69" fillId="27" borderId="81" xfId="0" applyNumberFormat="1" applyFont="1" applyFill="1" applyBorder="1" applyAlignment="1">
      <alignment vertical="center"/>
    </xf>
    <xf numFmtId="3" fontId="76" fillId="26" borderId="91" xfId="0" applyNumberFormat="1" applyFont="1" applyFill="1" applyBorder="1" applyAlignment="1">
      <alignment vertical="center"/>
    </xf>
    <xf numFmtId="3" fontId="76" fillId="26" borderId="100" xfId="0" applyNumberFormat="1" applyFont="1" applyFill="1" applyBorder="1" applyAlignment="1">
      <alignment vertical="center"/>
    </xf>
    <xf numFmtId="169" fontId="81" fillId="27" borderId="91" xfId="44" applyNumberFormat="1" applyFont="1" applyFill="1" applyBorder="1" applyAlignment="1">
      <alignment vertical="center"/>
    </xf>
    <xf numFmtId="169" fontId="81" fillId="27" borderId="100" xfId="44" applyNumberFormat="1" applyFont="1" applyFill="1" applyBorder="1" applyAlignment="1">
      <alignment vertical="center"/>
    </xf>
    <xf numFmtId="9" fontId="76" fillId="26" borderId="84" xfId="0" applyNumberFormat="1" applyFont="1" applyFill="1" applyBorder="1" applyAlignment="1">
      <alignment vertical="center"/>
    </xf>
    <xf numFmtId="9" fontId="76" fillId="26" borderId="85" xfId="0" applyNumberFormat="1" applyFont="1" applyFill="1" applyBorder="1" applyAlignment="1">
      <alignment vertical="center"/>
    </xf>
    <xf numFmtId="3" fontId="9" fillId="21" borderId="119" xfId="0" applyNumberFormat="1" applyFont="1" applyFill="1" applyBorder="1" applyAlignment="1">
      <alignment vertical="center"/>
    </xf>
    <xf numFmtId="3" fontId="9" fillId="27" borderId="78" xfId="0" applyNumberFormat="1" applyFont="1" applyFill="1" applyBorder="1" applyAlignment="1">
      <alignment vertical="center"/>
    </xf>
    <xf numFmtId="3" fontId="9" fillId="27" borderId="79" xfId="0" applyNumberFormat="1" applyFont="1" applyFill="1" applyBorder="1" applyAlignment="1">
      <alignment vertical="center"/>
    </xf>
    <xf numFmtId="3" fontId="9" fillId="27" borderId="80" xfId="0" applyNumberFormat="1" applyFont="1" applyFill="1" applyBorder="1" applyAlignment="1">
      <alignment vertical="center"/>
    </xf>
    <xf numFmtId="3" fontId="9" fillId="27" borderId="82" xfId="0" applyNumberFormat="1" applyFont="1" applyFill="1" applyBorder="1" applyAlignment="1">
      <alignment vertical="center"/>
    </xf>
    <xf numFmtId="0" fontId="10" fillId="0" borderId="92" xfId="0" applyFont="1" applyFill="1" applyBorder="1" applyAlignment="1">
      <alignment horizontal="right" vertical="center"/>
    </xf>
    <xf numFmtId="3" fontId="10" fillId="0" borderId="120" xfId="0" applyNumberFormat="1" applyFont="1" applyFill="1" applyBorder="1" applyAlignment="1">
      <alignment vertical="center"/>
    </xf>
    <xf numFmtId="3" fontId="10" fillId="0" borderId="104" xfId="0" applyNumberFormat="1" applyFont="1" applyFill="1" applyBorder="1" applyAlignment="1">
      <alignment vertical="center"/>
    </xf>
    <xf numFmtId="3" fontId="10" fillId="0" borderId="84" xfId="0" applyNumberFormat="1" applyFont="1" applyFill="1" applyBorder="1" applyAlignment="1">
      <alignment vertical="center"/>
    </xf>
    <xf numFmtId="3" fontId="10" fillId="0" borderId="85" xfId="0" applyNumberFormat="1" applyFont="1" applyFill="1" applyBorder="1" applyAlignment="1">
      <alignment vertical="center"/>
    </xf>
    <xf numFmtId="3" fontId="9" fillId="0" borderId="100" xfId="0" applyNumberFormat="1" applyFont="1" applyFill="1" applyBorder="1" applyAlignment="1" applyProtection="1">
      <alignment vertical="center"/>
      <protection locked="0"/>
    </xf>
    <xf numFmtId="3" fontId="9" fillId="0" borderId="82" xfId="0" applyNumberFormat="1" applyFont="1" applyFill="1" applyBorder="1" applyAlignment="1" applyProtection="1">
      <alignment vertical="center"/>
      <protection locked="0"/>
    </xf>
    <xf numFmtId="3" fontId="10" fillId="27" borderId="104" xfId="0" applyNumberFormat="1" applyFont="1" applyFill="1" applyBorder="1" applyAlignment="1">
      <alignment vertical="center"/>
    </xf>
    <xf numFmtId="3" fontId="10" fillId="27" borderId="84" xfId="0" applyNumberFormat="1" applyFont="1" applyFill="1" applyBorder="1" applyAlignment="1">
      <alignment vertical="center"/>
    </xf>
    <xf numFmtId="3" fontId="10" fillId="27" borderId="85" xfId="0" applyNumberFormat="1" applyFont="1" applyFill="1" applyBorder="1" applyAlignment="1">
      <alignment vertical="center"/>
    </xf>
    <xf numFmtId="3" fontId="10" fillId="26" borderId="55" xfId="0" applyNumberFormat="1" applyFont="1" applyFill="1" applyBorder="1" applyAlignment="1">
      <alignment horizontal="center" vertical="center"/>
    </xf>
    <xf numFmtId="3" fontId="10" fillId="26" borderId="56" xfId="0" applyNumberFormat="1" applyFont="1" applyFill="1" applyBorder="1" applyAlignment="1">
      <alignment vertical="center"/>
    </xf>
    <xf numFmtId="3" fontId="10" fillId="26" borderId="86" xfId="0" applyNumberFormat="1" applyFont="1" applyFill="1" applyBorder="1" applyAlignment="1">
      <alignment vertical="center"/>
    </xf>
    <xf numFmtId="3" fontId="10" fillId="26" borderId="109" xfId="0" applyNumberFormat="1" applyFont="1" applyFill="1" applyBorder="1" applyAlignment="1">
      <alignment vertical="center"/>
    </xf>
    <xf numFmtId="3" fontId="10" fillId="26" borderId="95" xfId="0" applyNumberFormat="1" applyFont="1" applyFill="1" applyBorder="1" applyAlignment="1">
      <alignment vertical="center"/>
    </xf>
    <xf numFmtId="3" fontId="9" fillId="27" borderId="121" xfId="0" applyNumberFormat="1" applyFont="1" applyFill="1" applyBorder="1" applyAlignment="1">
      <alignment vertical="center"/>
    </xf>
    <xf numFmtId="3" fontId="9" fillId="27" borderId="122" xfId="0" applyNumberFormat="1" applyFont="1" applyFill="1" applyBorder="1" applyAlignment="1">
      <alignment vertical="center"/>
    </xf>
    <xf numFmtId="3" fontId="9" fillId="27" borderId="123" xfId="0" applyNumberFormat="1" applyFont="1" applyFill="1" applyBorder="1" applyAlignment="1">
      <alignment vertical="center"/>
    </xf>
    <xf numFmtId="0" fontId="9" fillId="0" borderId="46" xfId="0" applyFont="1" applyFill="1" applyBorder="1" applyAlignment="1">
      <alignment horizontal="center" vertical="center"/>
    </xf>
    <xf numFmtId="3" fontId="21" fillId="21" borderId="124" xfId="0" applyNumberFormat="1" applyFont="1" applyFill="1" applyBorder="1" applyAlignment="1">
      <alignment horizontal="center" vertical="center"/>
    </xf>
    <xf numFmtId="174" fontId="93" fillId="27" borderId="107" xfId="36" applyNumberFormat="1" applyFont="1" applyFill="1" applyBorder="1" applyAlignment="1">
      <alignment vertical="center"/>
    </xf>
    <xf numFmtId="174" fontId="93" fillId="27" borderId="125" xfId="36" applyNumberFormat="1" applyFont="1" applyFill="1" applyBorder="1" applyAlignment="1">
      <alignment vertical="center"/>
    </xf>
    <xf numFmtId="174" fontId="93" fillId="27" borderId="126" xfId="36" applyNumberFormat="1" applyFont="1" applyFill="1" applyBorder="1" applyAlignment="1">
      <alignment vertical="center"/>
    </xf>
    <xf numFmtId="0" fontId="10" fillId="26" borderId="55" xfId="0" applyFont="1" applyFill="1" applyBorder="1" applyAlignment="1">
      <alignment horizontal="center" vertical="center"/>
    </xf>
    <xf numFmtId="3" fontId="9" fillId="26" borderId="127" xfId="0" applyNumberFormat="1" applyFont="1" applyFill="1" applyBorder="1" applyAlignment="1">
      <alignment vertical="center"/>
    </xf>
    <xf numFmtId="3" fontId="24" fillId="26" borderId="128" xfId="0" applyNumberFormat="1" applyFont="1" applyFill="1" applyBorder="1" applyAlignment="1">
      <alignment vertical="center"/>
    </xf>
    <xf numFmtId="3" fontId="24" fillId="26" borderId="109" xfId="0" applyNumberFormat="1" applyFont="1" applyFill="1" applyBorder="1" applyAlignment="1">
      <alignment vertical="center"/>
    </xf>
    <xf numFmtId="3" fontId="24" fillId="26" borderId="95" xfId="0" applyNumberFormat="1" applyFont="1" applyFill="1" applyBorder="1" applyAlignment="1">
      <alignment vertical="center"/>
    </xf>
    <xf numFmtId="9" fontId="10" fillId="26" borderId="58" xfId="0" applyNumberFormat="1" applyFont="1" applyFill="1" applyBorder="1" applyAlignment="1">
      <alignment horizontal="center" vertical="center"/>
    </xf>
    <xf numFmtId="0" fontId="12" fillId="25" borderId="0" xfId="0" applyFont="1" applyFill="1" applyBorder="1" applyAlignment="1">
      <alignment vertical="center"/>
    </xf>
    <xf numFmtId="0" fontId="12" fillId="25" borderId="0" xfId="0" applyFont="1" applyFill="1" applyAlignment="1" applyProtection="1">
      <alignment vertical="center"/>
    </xf>
    <xf numFmtId="0" fontId="9" fillId="0" borderId="44" xfId="0" applyFont="1" applyFill="1" applyBorder="1" applyAlignment="1">
      <alignment horizontal="right" vertical="center"/>
    </xf>
    <xf numFmtId="0" fontId="9" fillId="0" borderId="133" xfId="0" applyFont="1" applyFill="1" applyBorder="1" applyAlignment="1">
      <alignment vertical="center"/>
    </xf>
    <xf numFmtId="0" fontId="9" fillId="0" borderId="134" xfId="0" quotePrefix="1" applyFont="1" applyFill="1" applyBorder="1" applyAlignment="1">
      <alignment horizontal="center" vertical="center"/>
    </xf>
    <xf numFmtId="0" fontId="9" fillId="0" borderId="135" xfId="0" applyFont="1" applyFill="1" applyBorder="1" applyAlignment="1">
      <alignment vertical="center"/>
    </xf>
    <xf numFmtId="0" fontId="9" fillId="0" borderId="136" xfId="0" quotePrefix="1" applyFont="1" applyFill="1" applyBorder="1" applyAlignment="1">
      <alignment horizontal="center" vertical="center"/>
    </xf>
    <xf numFmtId="3" fontId="76" fillId="26" borderId="135" xfId="0" applyNumberFormat="1" applyFont="1" applyFill="1" applyBorder="1" applyAlignment="1">
      <alignment vertical="center"/>
    </xf>
    <xf numFmtId="3" fontId="76" fillId="26" borderId="136" xfId="0" applyNumberFormat="1" applyFont="1" applyFill="1" applyBorder="1" applyAlignment="1">
      <alignment vertical="center"/>
    </xf>
    <xf numFmtId="3" fontId="63" fillId="0" borderId="135" xfId="0" applyNumberFormat="1" applyFont="1" applyFill="1" applyBorder="1" applyAlignment="1">
      <alignment horizontal="center" vertical="center"/>
    </xf>
    <xf numFmtId="0" fontId="9" fillId="0" borderId="135" xfId="0" applyFont="1" applyFill="1" applyBorder="1" applyAlignment="1">
      <alignment vertical="center" wrapText="1"/>
    </xf>
    <xf numFmtId="3" fontId="63" fillId="0" borderId="137" xfId="0" applyNumberFormat="1" applyFont="1" applyFill="1" applyBorder="1" applyAlignment="1">
      <alignment horizontal="center" vertical="center"/>
    </xf>
    <xf numFmtId="3" fontId="79" fillId="0" borderId="138" xfId="0" applyNumberFormat="1" applyFont="1" applyFill="1" applyBorder="1" applyAlignment="1">
      <alignment vertical="center"/>
    </xf>
    <xf numFmtId="172" fontId="79" fillId="27" borderId="138" xfId="0" applyNumberFormat="1" applyFont="1" applyFill="1" applyBorder="1" applyAlignment="1">
      <alignment vertical="center"/>
    </xf>
    <xf numFmtId="0" fontId="12" fillId="25" borderId="33" xfId="0" applyFont="1" applyFill="1" applyBorder="1" applyAlignment="1">
      <alignment horizontal="centerContinuous" vertical="center"/>
    </xf>
    <xf numFmtId="0" fontId="11" fillId="25" borderId="0" xfId="0" applyFont="1" applyFill="1" applyBorder="1" applyAlignment="1">
      <alignment horizontal="centerContinuous" vertical="center"/>
    </xf>
    <xf numFmtId="0" fontId="0" fillId="0" borderId="0" xfId="0" applyFill="1" applyBorder="1" applyAlignment="1">
      <alignment horizontal="centerContinuous" vertical="center"/>
    </xf>
    <xf numFmtId="0" fontId="18" fillId="0" borderId="96" xfId="0" applyFont="1" applyFill="1" applyBorder="1" applyAlignment="1">
      <alignment vertical="center"/>
    </xf>
    <xf numFmtId="0" fontId="67" fillId="0" borderId="44" xfId="0" applyFont="1" applyFill="1" applyBorder="1" applyAlignment="1">
      <alignment vertical="center"/>
    </xf>
    <xf numFmtId="3" fontId="68" fillId="0" borderId="142" xfId="0" applyNumberFormat="1" applyFont="1" applyFill="1" applyBorder="1" applyAlignment="1">
      <alignment horizontal="center" vertical="center"/>
    </xf>
    <xf numFmtId="3" fontId="68" fillId="0" borderId="143" xfId="0" applyNumberFormat="1" applyFont="1" applyFill="1" applyBorder="1" applyAlignment="1">
      <alignment horizontal="center" vertical="center"/>
    </xf>
    <xf numFmtId="3" fontId="68" fillId="0" borderId="49" xfId="0" applyNumberFormat="1" applyFont="1" applyFill="1" applyBorder="1" applyAlignment="1">
      <alignment horizontal="center" vertical="center"/>
    </xf>
    <xf numFmtId="0" fontId="77" fillId="25" borderId="0" xfId="0" applyFont="1" applyFill="1" applyBorder="1" applyAlignment="1">
      <alignment horizontal="center" vertical="center"/>
    </xf>
    <xf numFmtId="3" fontId="77" fillId="25" borderId="0" xfId="0" applyNumberFormat="1" applyFont="1" applyFill="1" applyBorder="1" applyAlignment="1">
      <alignment horizontal="center" vertical="center"/>
    </xf>
    <xf numFmtId="172" fontId="68" fillId="28" borderId="0" xfId="0" applyNumberFormat="1" applyFont="1" applyFill="1" applyAlignment="1" applyProtection="1">
      <alignment horizontal="center" vertical="center"/>
      <protection locked="0"/>
    </xf>
    <xf numFmtId="173" fontId="116" fillId="25" borderId="0" xfId="0" applyNumberFormat="1" applyFont="1" applyFill="1" applyBorder="1" applyAlignment="1">
      <alignment vertical="center"/>
    </xf>
    <xf numFmtId="0" fontId="116" fillId="25" borderId="0" xfId="0" applyFont="1" applyFill="1" applyBorder="1" applyAlignment="1">
      <alignment horizontal="centerContinuous" vertical="center"/>
    </xf>
    <xf numFmtId="0" fontId="116" fillId="25" borderId="0" xfId="0" applyFont="1" applyFill="1" applyBorder="1" applyAlignment="1">
      <alignment horizontal="center" vertical="center"/>
    </xf>
    <xf numFmtId="0" fontId="117" fillId="0" borderId="0" xfId="0" applyFont="1"/>
    <xf numFmtId="3" fontId="116" fillId="25" borderId="0" xfId="0" applyNumberFormat="1" applyFont="1" applyFill="1" applyBorder="1" applyAlignment="1">
      <alignment horizontal="center" vertical="center"/>
    </xf>
    <xf numFmtId="173" fontId="0" fillId="0" borderId="0" xfId="0" applyNumberFormat="1"/>
    <xf numFmtId="0" fontId="121" fillId="25" borderId="0" xfId="43" applyFont="1" applyFill="1"/>
    <xf numFmtId="0" fontId="121" fillId="25" borderId="0" xfId="43" applyFont="1" applyFill="1" applyAlignment="1">
      <alignment horizontal="center"/>
    </xf>
    <xf numFmtId="0" fontId="51" fillId="25" borderId="0" xfId="43" applyFont="1" applyFill="1" applyAlignment="1">
      <alignment horizontal="center"/>
    </xf>
    <xf numFmtId="0" fontId="37" fillId="0" borderId="55" xfId="43" applyFont="1" applyBorder="1"/>
    <xf numFmtId="3" fontId="37" fillId="28" borderId="58" xfId="43" applyNumberFormat="1" applyFont="1" applyFill="1" applyBorder="1"/>
    <xf numFmtId="0" fontId="36" fillId="0" borderId="0" xfId="43" applyFont="1" applyFill="1" applyBorder="1"/>
    <xf numFmtId="3" fontId="38" fillId="0" borderId="47" xfId="43" applyNumberFormat="1" applyFont="1" applyFill="1" applyBorder="1"/>
    <xf numFmtId="0" fontId="37" fillId="0" borderId="57" xfId="43" applyFont="1" applyBorder="1"/>
    <xf numFmtId="9" fontId="25" fillId="0" borderId="0" xfId="44" applyFont="1"/>
    <xf numFmtId="9" fontId="25" fillId="0" borderId="0" xfId="44" applyNumberFormat="1" applyFont="1"/>
    <xf numFmtId="0" fontId="85" fillId="0" borderId="42" xfId="0" applyFont="1" applyFill="1" applyBorder="1" applyAlignment="1" applyProtection="1">
      <alignment horizontal="center" vertical="center"/>
    </xf>
    <xf numFmtId="0" fontId="85" fillId="0" borderId="0" xfId="0" applyFont="1" applyAlignment="1">
      <alignment vertical="center"/>
    </xf>
    <xf numFmtId="0" fontId="85" fillId="0" borderId="42" xfId="0" applyFont="1" applyBorder="1" applyAlignment="1" applyProtection="1">
      <alignment horizontal="center" vertical="center" wrapText="1"/>
    </xf>
    <xf numFmtId="0" fontId="85" fillId="0" borderId="151" xfId="0" applyFont="1" applyBorder="1" applyAlignment="1" applyProtection="1">
      <alignment horizontal="center" vertical="center" wrapText="1"/>
    </xf>
    <xf numFmtId="0" fontId="85" fillId="0" borderId="152" xfId="0" applyFont="1" applyBorder="1" applyAlignment="1" applyProtection="1">
      <alignment horizontal="center" vertical="center" wrapText="1"/>
    </xf>
    <xf numFmtId="0" fontId="85" fillId="0" borderId="28" xfId="0" applyFont="1" applyFill="1" applyBorder="1" applyAlignment="1" applyProtection="1">
      <alignment horizontal="center" vertical="center"/>
    </xf>
    <xf numFmtId="0" fontId="85" fillId="0" borderId="152" xfId="0" applyFont="1" applyFill="1" applyBorder="1" applyAlignment="1" applyProtection="1">
      <alignment horizontal="center" vertical="center"/>
    </xf>
    <xf numFmtId="166" fontId="85" fillId="0" borderId="42" xfId="0" applyNumberFormat="1" applyFont="1" applyBorder="1" applyAlignment="1" applyProtection="1">
      <alignment horizontal="center" vertical="center"/>
      <protection locked="0"/>
    </xf>
    <xf numFmtId="166" fontId="85" fillId="0" borderId="28" xfId="0" applyNumberFormat="1" applyFont="1" applyBorder="1" applyAlignment="1" applyProtection="1">
      <alignment horizontal="center" vertical="center" wrapText="1"/>
      <protection locked="0"/>
    </xf>
    <xf numFmtId="166" fontId="85" fillId="0" borderId="152" xfId="0" applyNumberFormat="1" applyFont="1" applyBorder="1" applyAlignment="1" applyProtection="1">
      <alignment horizontal="center" vertical="center"/>
      <protection locked="0"/>
    </xf>
    <xf numFmtId="167" fontId="85" fillId="0" borderId="42" xfId="36" applyNumberFormat="1" applyFont="1" applyBorder="1" applyAlignment="1" applyProtection="1">
      <alignment horizontal="center" vertical="center"/>
      <protection locked="0"/>
    </xf>
    <xf numFmtId="0" fontId="85" fillId="0" borderId="0" xfId="0" applyFont="1" applyBorder="1" applyAlignment="1">
      <alignment vertical="center"/>
    </xf>
    <xf numFmtId="0" fontId="133" fillId="0" borderId="13" xfId="0" applyFont="1" applyBorder="1" applyAlignment="1">
      <alignment horizontal="center" vertical="center"/>
    </xf>
    <xf numFmtId="0" fontId="129" fillId="0" borderId="0" xfId="0" applyFont="1" applyAlignment="1">
      <alignment vertical="center"/>
    </xf>
    <xf numFmtId="0" fontId="85" fillId="0" borderId="0" xfId="0" applyFont="1" applyAlignment="1">
      <alignment horizontal="left" vertical="center"/>
    </xf>
    <xf numFmtId="0" fontId="27" fillId="0" borderId="0" xfId="0" applyFont="1" applyFill="1" applyBorder="1" applyAlignment="1">
      <alignment horizontal="left" vertical="center"/>
    </xf>
    <xf numFmtId="0" fontId="85" fillId="0" borderId="0" xfId="0" applyFont="1" applyAlignment="1" applyProtection="1">
      <alignment horizontal="left" vertical="center"/>
    </xf>
    <xf numFmtId="0" fontId="130" fillId="21" borderId="0" xfId="0" applyFont="1" applyFill="1" applyBorder="1" applyAlignment="1" applyProtection="1">
      <alignment horizontal="left" vertical="center" wrapText="1"/>
      <protection locked="0"/>
    </xf>
    <xf numFmtId="0" fontId="85" fillId="0" borderId="0" xfId="0" applyFont="1" applyBorder="1" applyAlignment="1">
      <alignment horizontal="left" vertical="center"/>
    </xf>
    <xf numFmtId="0" fontId="85" fillId="0" borderId="0" xfId="0" applyFont="1" applyFill="1" applyAlignment="1">
      <alignment horizontal="left" vertical="center"/>
    </xf>
    <xf numFmtId="0" fontId="27" fillId="0" borderId="0" xfId="0" applyFont="1" applyAlignment="1">
      <alignment horizontal="left" vertical="center"/>
    </xf>
    <xf numFmtId="0" fontId="129" fillId="0" borderId="0" xfId="0" applyFont="1" applyAlignment="1">
      <alignment horizontal="left" vertical="center"/>
    </xf>
    <xf numFmtId="0" fontId="127" fillId="0" borderId="0" xfId="0" applyFont="1" applyAlignment="1">
      <alignment vertical="center"/>
    </xf>
    <xf numFmtId="0" fontId="27" fillId="26" borderId="19" xfId="0" applyFont="1" applyFill="1" applyBorder="1" applyAlignment="1">
      <alignment horizontal="centerContinuous" vertical="center"/>
    </xf>
    <xf numFmtId="0" fontId="27" fillId="26" borderId="20" xfId="0" applyFont="1" applyFill="1" applyBorder="1" applyAlignment="1">
      <alignment horizontal="centerContinuous" vertical="center"/>
    </xf>
    <xf numFmtId="0" fontId="27" fillId="26" borderId="14" xfId="0" applyFont="1" applyFill="1" applyBorder="1" applyAlignment="1">
      <alignment horizontal="centerContinuous" vertical="center"/>
    </xf>
    <xf numFmtId="0" fontId="85" fillId="0" borderId="42" xfId="0" applyFont="1" applyBorder="1" applyAlignment="1">
      <alignment vertical="center"/>
    </xf>
    <xf numFmtId="0" fontId="27" fillId="26" borderId="16" xfId="0" applyFont="1" applyFill="1" applyBorder="1" applyAlignment="1">
      <alignment horizontal="centerContinuous" vertical="center"/>
    </xf>
    <xf numFmtId="0" fontId="127" fillId="0" borderId="0" xfId="0" applyFont="1" applyAlignment="1">
      <alignment horizontal="left" vertical="center"/>
    </xf>
    <xf numFmtId="0" fontId="27" fillId="26" borderId="28" xfId="0" applyFont="1" applyFill="1" applyBorder="1" applyAlignment="1">
      <alignment horizontal="left" vertical="center"/>
    </xf>
    <xf numFmtId="0" fontId="129" fillId="0" borderId="0" xfId="0" applyFont="1" applyFill="1" applyAlignment="1">
      <alignment vertical="center"/>
    </xf>
    <xf numFmtId="0" fontId="85" fillId="0" borderId="13" xfId="0" applyFont="1" applyBorder="1" applyAlignment="1">
      <alignment vertical="center"/>
    </xf>
    <xf numFmtId="0" fontId="27" fillId="26" borderId="21" xfId="0" applyFont="1" applyFill="1" applyBorder="1" applyAlignment="1">
      <alignment horizontal="left" vertical="center"/>
    </xf>
    <xf numFmtId="0" fontId="27" fillId="26" borderId="15" xfId="0" applyFont="1" applyFill="1" applyBorder="1" applyAlignment="1">
      <alignment horizontal="centerContinuous" vertical="center"/>
    </xf>
    <xf numFmtId="0" fontId="129" fillId="0" borderId="0" xfId="0" applyFont="1" applyFill="1" applyBorder="1" applyAlignment="1">
      <alignment vertical="center"/>
    </xf>
    <xf numFmtId="0" fontId="27" fillId="26" borderId="13" xfId="0" applyFont="1" applyFill="1" applyBorder="1" applyAlignment="1">
      <alignment horizontal="centerContinuous" vertical="center"/>
    </xf>
    <xf numFmtId="0" fontId="85" fillId="0" borderId="28" xfId="0" applyFont="1" applyBorder="1" applyAlignment="1">
      <alignment vertical="center"/>
    </xf>
    <xf numFmtId="0" fontId="85" fillId="0" borderId="152" xfId="0" applyFont="1" applyBorder="1" applyAlignment="1">
      <alignment vertical="center"/>
    </xf>
    <xf numFmtId="0" fontId="128" fillId="25" borderId="28" xfId="0" applyFont="1" applyFill="1" applyBorder="1" applyAlignment="1">
      <alignment vertical="center"/>
    </xf>
    <xf numFmtId="0" fontId="128" fillId="25" borderId="155" xfId="0" applyFont="1" applyFill="1" applyBorder="1" applyAlignment="1">
      <alignment horizontal="center" vertical="center"/>
    </xf>
    <xf numFmtId="0" fontId="128" fillId="25" borderId="156" xfId="0" applyFont="1" applyFill="1" applyBorder="1" applyAlignment="1">
      <alignment horizontal="center" vertical="center"/>
    </xf>
    <xf numFmtId="0" fontId="133" fillId="0" borderId="15" xfId="0" applyFont="1" applyBorder="1" applyAlignment="1">
      <alignment vertical="center"/>
    </xf>
    <xf numFmtId="0" fontId="133" fillId="0" borderId="27" xfId="0" applyFont="1" applyBorder="1" applyAlignment="1">
      <alignment vertical="center"/>
    </xf>
    <xf numFmtId="0" fontId="133" fillId="0" borderId="0" xfId="0" applyFont="1" applyBorder="1" applyAlignment="1">
      <alignment vertical="center"/>
    </xf>
    <xf numFmtId="0" fontId="133" fillId="0" borderId="31" xfId="0" applyFont="1" applyBorder="1" applyAlignment="1">
      <alignment vertical="center"/>
    </xf>
    <xf numFmtId="0" fontId="132" fillId="0" borderId="26" xfId="0" applyFont="1" applyBorder="1" applyAlignment="1">
      <alignment horizontal="center" vertical="center"/>
    </xf>
    <xf numFmtId="0" fontId="133" fillId="0" borderId="26" xfId="0" applyFont="1" applyBorder="1" applyAlignment="1">
      <alignment horizontal="center" vertical="center"/>
    </xf>
    <xf numFmtId="0" fontId="133" fillId="0" borderId="13" xfId="0" applyFont="1" applyBorder="1" applyAlignment="1">
      <alignment vertical="center"/>
    </xf>
    <xf numFmtId="0" fontId="133" fillId="0" borderId="26" xfId="0" applyFont="1" applyBorder="1" applyAlignment="1">
      <alignment vertical="center"/>
    </xf>
    <xf numFmtId="0" fontId="73" fillId="0" borderId="0" xfId="0" applyFont="1" applyAlignment="1">
      <alignment horizontal="left" vertical="center"/>
    </xf>
    <xf numFmtId="0" fontId="77" fillId="0" borderId="28" xfId="0" applyFont="1" applyFill="1" applyBorder="1" applyAlignment="1" applyProtection="1">
      <alignment horizontal="center" vertical="center"/>
    </xf>
    <xf numFmtId="0" fontId="77" fillId="0" borderId="42" xfId="0" applyFont="1" applyBorder="1" applyAlignment="1" applyProtection="1">
      <alignment horizontal="center" vertical="center"/>
      <protection locked="0"/>
    </xf>
    <xf numFmtId="0" fontId="11" fillId="25" borderId="0" xfId="0" applyFont="1" applyFill="1" applyAlignment="1" applyProtection="1">
      <alignment horizontal="left" vertical="center"/>
    </xf>
    <xf numFmtId="0" fontId="73" fillId="0" borderId="42" xfId="0" applyFont="1" applyFill="1" applyBorder="1" applyAlignment="1" applyProtection="1">
      <alignment horizontal="center" vertical="center"/>
    </xf>
    <xf numFmtId="0" fontId="73" fillId="0" borderId="42" xfId="0" applyFont="1" applyBorder="1" applyAlignment="1" applyProtection="1">
      <alignment horizontal="center" vertical="center"/>
    </xf>
    <xf numFmtId="0" fontId="85" fillId="0" borderId="160" xfId="0" applyFont="1" applyBorder="1" applyAlignment="1">
      <alignment horizontal="left" vertical="center"/>
    </xf>
    <xf numFmtId="0" fontId="127" fillId="28" borderId="164" xfId="0" applyFont="1" applyFill="1" applyBorder="1" applyAlignment="1">
      <alignment horizontal="left" vertical="center"/>
    </xf>
    <xf numFmtId="0" fontId="85" fillId="28" borderId="165" xfId="0" applyFont="1" applyFill="1" applyBorder="1" applyAlignment="1">
      <alignment vertical="center"/>
    </xf>
    <xf numFmtId="0" fontId="85" fillId="0" borderId="167" xfId="0" applyFont="1" applyBorder="1" applyAlignment="1">
      <alignment horizontal="left" vertical="center"/>
    </xf>
    <xf numFmtId="0" fontId="127" fillId="28" borderId="170" xfId="0" applyFont="1" applyFill="1" applyBorder="1" applyAlignment="1">
      <alignment horizontal="left" vertical="center" wrapText="1"/>
    </xf>
    <xf numFmtId="169" fontId="127" fillId="28" borderId="172" xfId="0" applyNumberFormat="1" applyFont="1" applyFill="1" applyBorder="1" applyAlignment="1">
      <alignment vertical="center"/>
    </xf>
    <xf numFmtId="0" fontId="135" fillId="0" borderId="0" xfId="41" applyFont="1"/>
    <xf numFmtId="0" fontId="53" fillId="0" borderId="0" xfId="41" applyFont="1"/>
    <xf numFmtId="49" fontId="136" fillId="0" borderId="0" xfId="41" applyNumberFormat="1" applyFont="1" applyAlignment="1">
      <alignment horizontal="right"/>
    </xf>
    <xf numFmtId="0" fontId="12" fillId="25" borderId="0" xfId="41" applyFont="1" applyFill="1" applyBorder="1" applyAlignment="1">
      <alignment horizontal="left" vertical="center"/>
    </xf>
    <xf numFmtId="0" fontId="12" fillId="35" borderId="0" xfId="41" applyFont="1" applyFill="1" applyBorder="1" applyAlignment="1">
      <alignment horizontal="left" vertical="center" indent="1"/>
    </xf>
    <xf numFmtId="0" fontId="57" fillId="0" borderId="0" xfId="41" applyFont="1"/>
    <xf numFmtId="0" fontId="51" fillId="25" borderId="0" xfId="41" applyFont="1" applyFill="1" applyBorder="1" applyAlignment="1">
      <alignment horizontal="left" vertical="center"/>
    </xf>
    <xf numFmtId="0" fontId="32" fillId="25" borderId="0" xfId="41" applyFont="1" applyFill="1" applyBorder="1" applyAlignment="1">
      <alignment horizontal="left" vertical="center"/>
    </xf>
    <xf numFmtId="0" fontId="137" fillId="35" borderId="0" xfId="41" applyFont="1" applyFill="1" applyBorder="1" applyAlignment="1">
      <alignment horizontal="right" vertical="center"/>
    </xf>
    <xf numFmtId="0" fontId="36" fillId="0" borderId="0" xfId="41" applyFont="1"/>
    <xf numFmtId="0" fontId="37" fillId="0" borderId="28" xfId="41" applyFont="1" applyFill="1" applyBorder="1" applyAlignment="1" applyProtection="1">
      <alignment horizontal="left" vertical="center" indent="1"/>
    </xf>
    <xf numFmtId="0" fontId="36" fillId="34" borderId="19" xfId="41" applyFont="1" applyFill="1" applyBorder="1" applyAlignment="1">
      <alignment horizontal="left" indent="1" shrinkToFit="1"/>
    </xf>
    <xf numFmtId="0" fontId="51" fillId="25" borderId="0" xfId="41" applyFont="1" applyFill="1" applyAlignment="1" applyProtection="1">
      <alignment horizontal="left" vertical="center"/>
    </xf>
    <xf numFmtId="14" fontId="138" fillId="35" borderId="0" xfId="41" applyNumberFormat="1" applyFont="1" applyFill="1" applyAlignment="1" applyProtection="1">
      <alignment horizontal="right" vertical="center"/>
    </xf>
    <xf numFmtId="0" fontId="36" fillId="34" borderId="28" xfId="41" applyFont="1" applyFill="1" applyBorder="1" applyAlignment="1" applyProtection="1">
      <alignment horizontal="left" vertical="center" indent="1"/>
    </xf>
    <xf numFmtId="0" fontId="36" fillId="34" borderId="19" xfId="41" applyFont="1" applyFill="1" applyBorder="1" applyAlignment="1" applyProtection="1">
      <alignment horizontal="left" vertical="center" indent="1"/>
    </xf>
    <xf numFmtId="0" fontId="36" fillId="0" borderId="0" xfId="41" applyFont="1" applyBorder="1"/>
    <xf numFmtId="0" fontId="51" fillId="35" borderId="0" xfId="41" applyFont="1" applyFill="1" applyAlignment="1" applyProtection="1">
      <alignment horizontal="left" vertical="center"/>
    </xf>
    <xf numFmtId="0" fontId="37" fillId="0" borderId="28" xfId="41" applyFont="1" applyFill="1" applyBorder="1" applyAlignment="1" applyProtection="1">
      <alignment horizontal="center" vertical="center"/>
    </xf>
    <xf numFmtId="0" fontId="36" fillId="0" borderId="28" xfId="41" applyFont="1" applyBorder="1" applyAlignment="1" applyProtection="1">
      <alignment horizontal="left" vertical="center" indent="1"/>
    </xf>
    <xf numFmtId="0" fontId="160" fillId="25" borderId="0" xfId="41" applyFont="1" applyFill="1" applyAlignment="1" applyProtection="1">
      <alignment horizontal="left" vertical="center" indent="1"/>
    </xf>
    <xf numFmtId="14" fontId="37" fillId="35" borderId="0" xfId="41" applyNumberFormat="1" applyFont="1" applyFill="1" applyBorder="1" applyAlignment="1" applyProtection="1">
      <alignment horizontal="center" vertical="center"/>
    </xf>
    <xf numFmtId="0" fontId="57" fillId="0" borderId="0" xfId="41" applyFont="1" applyBorder="1"/>
    <xf numFmtId="0" fontId="139" fillId="0" borderId="0" xfId="41" applyFont="1"/>
    <xf numFmtId="0" fontId="46" fillId="0" borderId="21" xfId="41" applyFont="1" applyBorder="1" applyAlignment="1">
      <alignment horizontal="left" indent="1"/>
    </xf>
    <xf numFmtId="0" fontId="44" fillId="0" borderId="0" xfId="41" applyFont="1" applyBorder="1"/>
    <xf numFmtId="0" fontId="44" fillId="34" borderId="11" xfId="41" applyFont="1" applyFill="1" applyBorder="1"/>
    <xf numFmtId="0" fontId="50" fillId="0" borderId="10" xfId="41" applyFont="1" applyBorder="1"/>
    <xf numFmtId="0" fontId="44" fillId="0" borderId="10" xfId="41" applyFont="1" applyBorder="1"/>
    <xf numFmtId="0" fontId="46" fillId="0" borderId="10" xfId="41" applyFont="1" applyBorder="1" applyAlignment="1">
      <alignment horizontal="left" indent="1"/>
    </xf>
    <xf numFmtId="0" fontId="46" fillId="0" borderId="10" xfId="41" applyFont="1" applyBorder="1"/>
    <xf numFmtId="0" fontId="46" fillId="0" borderId="12" xfId="41" applyFont="1" applyBorder="1" applyAlignment="1">
      <alignment horizontal="left" indent="1"/>
    </xf>
    <xf numFmtId="0" fontId="44" fillId="0" borderId="13" xfId="41" applyFont="1" applyBorder="1"/>
    <xf numFmtId="0" fontId="44" fillId="34" borderId="14" xfId="41" applyFont="1" applyFill="1" applyBorder="1"/>
    <xf numFmtId="0" fontId="52" fillId="25" borderId="177" xfId="41" applyFont="1" applyFill="1" applyBorder="1" applyAlignment="1">
      <alignment horizontal="centerContinuous" vertical="top"/>
    </xf>
    <xf numFmtId="0" fontId="52" fillId="25" borderId="178" xfId="41" applyFont="1" applyFill="1" applyBorder="1" applyAlignment="1">
      <alignment horizontal="centerContinuous" vertical="top"/>
    </xf>
    <xf numFmtId="0" fontId="52" fillId="0" borderId="0" xfId="41" applyFont="1"/>
    <xf numFmtId="0" fontId="44" fillId="0" borderId="26" xfId="41" applyFont="1" applyBorder="1"/>
    <xf numFmtId="0" fontId="44" fillId="34" borderId="179" xfId="41" applyFont="1" applyFill="1" applyBorder="1" applyAlignment="1">
      <alignment vertical="top"/>
    </xf>
    <xf numFmtId="0" fontId="44" fillId="34" borderId="34" xfId="41" applyFont="1" applyFill="1" applyBorder="1" applyAlignment="1">
      <alignment vertical="top"/>
    </xf>
    <xf numFmtId="0" fontId="44" fillId="34" borderId="180" xfId="41" applyFont="1" applyFill="1" applyBorder="1" applyAlignment="1">
      <alignment vertical="top"/>
    </xf>
    <xf numFmtId="0" fontId="44" fillId="34" borderId="181" xfId="41" applyFont="1" applyFill="1" applyBorder="1" applyAlignment="1">
      <alignment vertical="top"/>
    </xf>
    <xf numFmtId="0" fontId="46" fillId="0" borderId="12" xfId="41" applyFont="1" applyBorder="1" applyAlignment="1">
      <alignment horizontal="left"/>
    </xf>
    <xf numFmtId="0" fontId="44" fillId="0" borderId="0" xfId="41" applyFont="1"/>
    <xf numFmtId="0" fontId="162" fillId="0" borderId="0" xfId="41" applyFont="1" applyAlignment="1">
      <alignment horizontal="right"/>
    </xf>
    <xf numFmtId="0" fontId="48" fillId="0" borderId="0" xfId="41" applyFont="1"/>
    <xf numFmtId="0" fontId="47" fillId="26" borderId="28" xfId="41" applyFont="1" applyFill="1" applyBorder="1" applyAlignment="1">
      <alignment horizontal="centerContinuous"/>
    </xf>
    <xf numFmtId="0" fontId="52" fillId="26" borderId="16" xfId="41" applyFont="1" applyFill="1" applyBorder="1" applyAlignment="1">
      <alignment horizontal="centerContinuous"/>
    </xf>
    <xf numFmtId="0" fontId="52" fillId="26" borderId="16" xfId="41" applyFont="1" applyFill="1" applyBorder="1" applyAlignment="1">
      <alignment horizontal="center"/>
    </xf>
    <xf numFmtId="0" fontId="41" fillId="28" borderId="12" xfId="41" applyFont="1" applyFill="1" applyBorder="1" applyAlignment="1">
      <alignment horizontal="left" vertical="top" wrapText="1" indent="1"/>
    </xf>
    <xf numFmtId="9" fontId="41" fillId="28" borderId="14" xfId="41" applyNumberFormat="1" applyFont="1" applyFill="1" applyBorder="1" applyAlignment="1">
      <alignment horizontal="center" vertical="top" wrapText="1"/>
    </xf>
    <xf numFmtId="3" fontId="41" fillId="28" borderId="14" xfId="41" applyNumberFormat="1" applyFont="1" applyFill="1" applyBorder="1" applyAlignment="1">
      <alignment horizontal="center" vertical="top" wrapText="1"/>
    </xf>
    <xf numFmtId="0" fontId="41" fillId="28" borderId="12" xfId="41" applyFont="1" applyFill="1" applyBorder="1" applyAlignment="1">
      <alignment horizontal="left" vertical="top" indent="1"/>
    </xf>
    <xf numFmtId="0" fontId="42" fillId="28" borderId="13" xfId="41" applyFont="1" applyFill="1" applyBorder="1" applyAlignment="1">
      <alignment horizontal="center" vertical="top" wrapText="1"/>
    </xf>
    <xf numFmtId="0" fontId="54" fillId="25" borderId="182" xfId="41" applyFont="1" applyFill="1" applyBorder="1" applyAlignment="1">
      <alignment horizontal="center" vertical="top" wrapText="1"/>
    </xf>
    <xf numFmtId="0" fontId="48" fillId="0" borderId="183" xfId="41" applyFont="1" applyBorder="1" applyAlignment="1">
      <alignment horizontal="right" vertical="top" wrapText="1"/>
    </xf>
    <xf numFmtId="0" fontId="48" fillId="0" borderId="34" xfId="41" applyFont="1" applyBorder="1" applyAlignment="1">
      <alignment horizontal="right" vertical="top" wrapText="1"/>
    </xf>
    <xf numFmtId="0" fontId="140" fillId="0" borderId="0" xfId="41" applyFont="1"/>
    <xf numFmtId="0" fontId="48" fillId="0" borderId="181" xfId="41" applyFont="1" applyBorder="1" applyAlignment="1">
      <alignment horizontal="right" vertical="top" wrapText="1"/>
    </xf>
    <xf numFmtId="0" fontId="44" fillId="0" borderId="0" xfId="41" applyFont="1" applyBorder="1" applyAlignment="1">
      <alignment vertical="top" wrapText="1"/>
    </xf>
    <xf numFmtId="168" fontId="44" fillId="0" borderId="0" xfId="41" applyNumberFormat="1" applyFont="1" applyBorder="1" applyAlignment="1">
      <alignment vertical="top" wrapText="1"/>
    </xf>
    <xf numFmtId="0" fontId="44" fillId="0" borderId="0" xfId="41" applyFont="1" applyBorder="1" applyAlignment="1">
      <alignment horizontal="centerContinuous" vertical="top" wrapText="1"/>
    </xf>
    <xf numFmtId="0" fontId="48" fillId="0" borderId="0" xfId="41" applyFont="1" applyBorder="1" applyAlignment="1">
      <alignment horizontal="centerContinuous" vertical="top" wrapText="1"/>
    </xf>
    <xf numFmtId="168" fontId="44" fillId="0" borderId="0" xfId="41" applyNumberFormat="1" applyFont="1" applyBorder="1" applyAlignment="1">
      <alignment horizontal="centerContinuous" vertical="top" wrapText="1"/>
    </xf>
    <xf numFmtId="0" fontId="44" fillId="0" borderId="0" xfId="41" applyFont="1" applyBorder="1" applyAlignment="1">
      <alignment horizontal="right" vertical="top" wrapText="1"/>
    </xf>
    <xf numFmtId="0" fontId="50" fillId="28" borderId="28" xfId="41" applyFont="1" applyFill="1" applyBorder="1" applyAlignment="1">
      <alignment horizontal="centerContinuous" vertical="top" wrapText="1"/>
    </xf>
    <xf numFmtId="0" fontId="48" fillId="28" borderId="19" xfId="41" applyFont="1" applyFill="1" applyBorder="1" applyAlignment="1">
      <alignment horizontal="centerContinuous"/>
    </xf>
    <xf numFmtId="0" fontId="50" fillId="28" borderId="42" xfId="41" applyFont="1" applyFill="1" applyBorder="1" applyAlignment="1">
      <alignment horizontal="centerContinuous" vertical="top" wrapText="1"/>
    </xf>
    <xf numFmtId="0" fontId="48" fillId="28" borderId="19" xfId="41" applyFont="1" applyFill="1" applyBorder="1" applyAlignment="1">
      <alignment horizontal="centerContinuous" vertical="top" wrapText="1"/>
    </xf>
    <xf numFmtId="0" fontId="48" fillId="0" borderId="0" xfId="41" applyFont="1" applyBorder="1" applyAlignment="1">
      <alignment horizontal="right" vertical="top" wrapText="1"/>
    </xf>
    <xf numFmtId="0" fontId="52" fillId="26" borderId="19" xfId="41" applyFont="1" applyFill="1" applyBorder="1" applyAlignment="1">
      <alignment horizontal="center"/>
    </xf>
    <xf numFmtId="0" fontId="44" fillId="0" borderId="11" xfId="41" applyFont="1" applyBorder="1"/>
    <xf numFmtId="0" fontId="44" fillId="0" borderId="10" xfId="41" quotePrefix="1" applyFont="1" applyBorder="1"/>
    <xf numFmtId="0" fontId="46" fillId="0" borderId="0" xfId="41" applyFont="1" applyBorder="1"/>
    <xf numFmtId="0" fontId="44" fillId="0" borderId="12" xfId="41" applyFont="1" applyBorder="1"/>
    <xf numFmtId="0" fontId="44" fillId="0" borderId="14" xfId="41" applyFont="1" applyBorder="1"/>
    <xf numFmtId="0" fontId="54" fillId="25" borderId="13" xfId="41" applyFont="1" applyFill="1" applyBorder="1" applyAlignment="1">
      <alignment horizontal="centerContinuous"/>
    </xf>
    <xf numFmtId="0" fontId="54" fillId="25" borderId="189" xfId="41" applyFont="1" applyFill="1" applyBorder="1" applyAlignment="1">
      <alignment horizontal="center" vertical="center"/>
    </xf>
    <xf numFmtId="0" fontId="54" fillId="25" borderId="190" xfId="41" applyFont="1" applyFill="1" applyBorder="1" applyAlignment="1">
      <alignment horizontal="centerContinuous"/>
    </xf>
    <xf numFmtId="0" fontId="54" fillId="25" borderId="16" xfId="41" applyFont="1" applyFill="1" applyBorder="1" applyAlignment="1">
      <alignment horizontal="centerContinuous"/>
    </xf>
    <xf numFmtId="0" fontId="54" fillId="25" borderId="189" xfId="41" applyFont="1" applyFill="1" applyBorder="1" applyAlignment="1">
      <alignment horizontal="centerContinuous"/>
    </xf>
    <xf numFmtId="0" fontId="54" fillId="25" borderId="32" xfId="41" applyFont="1" applyFill="1" applyBorder="1" applyAlignment="1">
      <alignment horizontal="centerContinuous"/>
    </xf>
    <xf numFmtId="0" fontId="54" fillId="25" borderId="29" xfId="41" applyFont="1" applyFill="1" applyBorder="1" applyAlignment="1">
      <alignment horizontal="centerContinuous"/>
    </xf>
    <xf numFmtId="0" fontId="54" fillId="25" borderId="29" xfId="41" applyFont="1" applyFill="1" applyBorder="1" applyAlignment="1">
      <alignment horizontal="center"/>
    </xf>
    <xf numFmtId="0" fontId="141" fillId="0" borderId="0" xfId="41" applyFont="1"/>
    <xf numFmtId="0" fontId="54" fillId="25" borderId="13" xfId="41" applyFont="1" applyFill="1" applyBorder="1" applyAlignment="1">
      <alignment horizontal="center"/>
    </xf>
    <xf numFmtId="0" fontId="121" fillId="25" borderId="189" xfId="41" applyFont="1" applyFill="1" applyBorder="1" applyAlignment="1">
      <alignment horizontal="center"/>
    </xf>
    <xf numFmtId="0" fontId="54" fillId="25" borderId="189" xfId="41" applyFont="1" applyFill="1" applyBorder="1" applyAlignment="1">
      <alignment horizontal="center"/>
    </xf>
    <xf numFmtId="0" fontId="54" fillId="25" borderId="32" xfId="41" applyFont="1" applyFill="1" applyBorder="1" applyAlignment="1">
      <alignment horizontal="center"/>
    </xf>
    <xf numFmtId="0" fontId="54" fillId="25" borderId="190" xfId="41" applyFont="1" applyFill="1" applyBorder="1" applyAlignment="1">
      <alignment horizontal="center"/>
    </xf>
    <xf numFmtId="0" fontId="0" fillId="0" borderId="26" xfId="0" applyBorder="1" applyAlignment="1">
      <alignment vertical="center"/>
    </xf>
    <xf numFmtId="0" fontId="44" fillId="34" borderId="12" xfId="41" applyFont="1" applyFill="1" applyBorder="1" applyAlignment="1">
      <alignment vertical="center"/>
    </xf>
    <xf numFmtId="0" fontId="44" fillId="0" borderId="12" xfId="41" applyFont="1" applyBorder="1" applyAlignment="1">
      <alignment vertical="center"/>
    </xf>
    <xf numFmtId="0" fontId="44" fillId="0" borderId="26" xfId="41" applyFont="1" applyBorder="1" applyAlignment="1">
      <alignment vertical="center"/>
    </xf>
    <xf numFmtId="0" fontId="139" fillId="0" borderId="0" xfId="41" applyFont="1" applyAlignment="1">
      <alignment vertical="center"/>
    </xf>
    <xf numFmtId="0" fontId="48" fillId="0" borderId="27" xfId="41" applyFont="1" applyBorder="1" applyAlignment="1">
      <alignment horizontal="center" vertical="center"/>
    </xf>
    <xf numFmtId="0" fontId="44" fillId="0" borderId="27" xfId="41" applyFont="1" applyBorder="1"/>
    <xf numFmtId="0" fontId="44" fillId="0" borderId="21" xfId="41" applyFont="1" applyBorder="1"/>
    <xf numFmtId="0" fontId="44" fillId="0" borderId="20" xfId="41" applyFont="1" applyBorder="1"/>
    <xf numFmtId="0" fontId="48" fillId="0" borderId="27" xfId="41" applyFont="1" applyBorder="1" applyAlignment="1">
      <alignment horizontal="center"/>
    </xf>
    <xf numFmtId="0" fontId="48" fillId="0" borderId="31" xfId="41" applyFont="1" applyBorder="1" applyAlignment="1">
      <alignment horizontal="center"/>
    </xf>
    <xf numFmtId="0" fontId="44" fillId="0" borderId="31" xfId="41" applyFont="1" applyBorder="1"/>
    <xf numFmtId="0" fontId="48" fillId="0" borderId="26" xfId="41" applyFont="1" applyBorder="1" applyAlignment="1">
      <alignment horizontal="center"/>
    </xf>
    <xf numFmtId="0" fontId="44" fillId="0" borderId="15" xfId="41" applyFont="1" applyBorder="1"/>
    <xf numFmtId="0" fontId="44" fillId="0" borderId="191" xfId="41" applyFont="1" applyBorder="1"/>
    <xf numFmtId="0" fontId="46" fillId="34" borderId="191" xfId="41" applyFont="1" applyFill="1" applyBorder="1" applyAlignment="1">
      <alignment horizontal="center"/>
    </xf>
    <xf numFmtId="0" fontId="46" fillId="0" borderId="191" xfId="41" applyFont="1" applyBorder="1" applyAlignment="1">
      <alignment horizontal="center"/>
    </xf>
    <xf numFmtId="0" fontId="0" fillId="34" borderId="0" xfId="0" applyFill="1"/>
    <xf numFmtId="0" fontId="0" fillId="34" borderId="0" xfId="0" applyFill="1" applyBorder="1"/>
    <xf numFmtId="0" fontId="0" fillId="34" borderId="0" xfId="0" applyFill="1" applyAlignment="1">
      <alignment vertical="center"/>
    </xf>
    <xf numFmtId="0" fontId="16" fillId="0" borderId="0" xfId="40"/>
    <xf numFmtId="0" fontId="54" fillId="25" borderId="0" xfId="40" applyFont="1" applyFill="1" applyBorder="1" applyAlignment="1">
      <alignment horizontal="left" vertical="center"/>
    </xf>
    <xf numFmtId="0" fontId="9" fillId="0" borderId="0" xfId="40" applyFont="1"/>
    <xf numFmtId="0" fontId="54" fillId="25" borderId="0" xfId="40" applyFont="1" applyFill="1" applyAlignment="1" applyProtection="1">
      <alignment horizontal="left" vertical="center"/>
    </xf>
    <xf numFmtId="0" fontId="9" fillId="0" borderId="0" xfId="40" applyFont="1" applyFill="1"/>
    <xf numFmtId="0" fontId="22" fillId="0" borderId="0" xfId="40" applyFont="1" applyBorder="1"/>
    <xf numFmtId="0" fontId="22" fillId="0" borderId="0" xfId="40" applyFont="1"/>
    <xf numFmtId="0" fontId="22" fillId="0" borderId="11" xfId="40" applyFont="1" applyBorder="1"/>
    <xf numFmtId="0" fontId="9" fillId="0" borderId="0" xfId="40" applyFont="1" applyBorder="1"/>
    <xf numFmtId="0" fontId="22" fillId="0" borderId="0" xfId="40" applyFont="1" applyAlignment="1">
      <alignment horizontal="right"/>
    </xf>
    <xf numFmtId="0" fontId="22" fillId="0" borderId="42" xfId="40" applyFont="1" applyBorder="1"/>
    <xf numFmtId="175" fontId="22" fillId="0" borderId="42" xfId="40" applyNumberFormat="1" applyFont="1" applyBorder="1"/>
    <xf numFmtId="0" fontId="16" fillId="0" borderId="13" xfId="40" applyFont="1" applyBorder="1"/>
    <xf numFmtId="0" fontId="16" fillId="0" borderId="0" xfId="40" applyFont="1"/>
    <xf numFmtId="0" fontId="16" fillId="0" borderId="11" xfId="40" applyFont="1" applyBorder="1"/>
    <xf numFmtId="0" fontId="8" fillId="41" borderId="12" xfId="40" applyFont="1" applyFill="1" applyBorder="1" applyAlignment="1">
      <alignment horizontal="center" vertical="top" wrapText="1"/>
    </xf>
    <xf numFmtId="0" fontId="8" fillId="41" borderId="13" xfId="40" applyFont="1" applyFill="1" applyBorder="1" applyAlignment="1">
      <alignment horizontal="right" vertical="top" wrapText="1"/>
    </xf>
    <xf numFmtId="0" fontId="8" fillId="41" borderId="32" xfId="40" applyFont="1" applyFill="1" applyBorder="1" applyAlignment="1">
      <alignment horizontal="center" vertical="top" wrapText="1"/>
    </xf>
    <xf numFmtId="169" fontId="22" fillId="0" borderId="11" xfId="40" applyNumberFormat="1" applyFont="1" applyBorder="1"/>
    <xf numFmtId="0" fontId="19" fillId="0" borderId="0" xfId="40" applyFont="1" applyFill="1" applyBorder="1"/>
    <xf numFmtId="0" fontId="34" fillId="41" borderId="12" xfId="40" applyFont="1" applyFill="1" applyBorder="1"/>
    <xf numFmtId="0" fontId="34" fillId="41" borderId="13" xfId="40" applyFont="1" applyFill="1" applyBorder="1"/>
    <xf numFmtId="0" fontId="14" fillId="41" borderId="14" xfId="40" applyFont="1" applyFill="1" applyBorder="1"/>
    <xf numFmtId="169" fontId="14" fillId="41" borderId="26" xfId="40" applyNumberFormat="1" applyFont="1" applyFill="1" applyBorder="1"/>
    <xf numFmtId="0" fontId="14" fillId="0" borderId="0" xfId="40" applyFont="1"/>
    <xf numFmtId="0" fontId="22" fillId="0" borderId="0" xfId="40" applyFont="1" applyFill="1" applyBorder="1"/>
    <xf numFmtId="169" fontId="22" fillId="0" borderId="0" xfId="40" applyNumberFormat="1" applyFont="1" applyFill="1" applyBorder="1"/>
    <xf numFmtId="0" fontId="22" fillId="0" borderId="15" xfId="40" applyFont="1" applyBorder="1"/>
    <xf numFmtId="0" fontId="34" fillId="41" borderId="28" xfId="40" applyFont="1" applyFill="1" applyBorder="1"/>
    <xf numFmtId="0" fontId="34" fillId="41" borderId="16" xfId="40" applyFont="1" applyFill="1" applyBorder="1"/>
    <xf numFmtId="0" fontId="14" fillId="41" borderId="19" xfId="40" applyFont="1" applyFill="1" applyBorder="1"/>
    <xf numFmtId="169" fontId="14" fillId="41" borderId="42" xfId="40" applyNumberFormat="1" applyFont="1" applyFill="1" applyBorder="1"/>
    <xf numFmtId="169" fontId="22" fillId="0" borderId="0" xfId="40" applyNumberFormat="1" applyFont="1" applyBorder="1"/>
    <xf numFmtId="169" fontId="22" fillId="0" borderId="0" xfId="40" applyNumberFormat="1" applyFont="1"/>
    <xf numFmtId="0" fontId="142" fillId="25" borderId="0" xfId="40" applyFont="1" applyFill="1" applyBorder="1" applyAlignment="1">
      <alignment horizontal="left" vertical="center"/>
    </xf>
    <xf numFmtId="0" fontId="54" fillId="25" borderId="0" xfId="40" applyFont="1" applyFill="1" applyBorder="1" applyAlignment="1">
      <alignment horizontal="right" vertical="center"/>
    </xf>
    <xf numFmtId="0" fontId="143" fillId="41" borderId="28" xfId="40" applyFont="1" applyFill="1" applyBorder="1"/>
    <xf numFmtId="0" fontId="143" fillId="41" borderId="16" xfId="40" applyFont="1" applyFill="1" applyBorder="1"/>
    <xf numFmtId="0" fontId="10" fillId="41" borderId="19" xfId="40" applyFont="1" applyFill="1" applyBorder="1"/>
    <xf numFmtId="169" fontId="10" fillId="41" borderId="42" xfId="40" applyNumberFormat="1" applyFont="1" applyFill="1" applyBorder="1"/>
    <xf numFmtId="0" fontId="10" fillId="0" borderId="0" xfId="40" applyFont="1"/>
    <xf numFmtId="0" fontId="17" fillId="0" borderId="26" xfId="40" applyFont="1" applyBorder="1" applyAlignment="1">
      <alignment horizontal="center" vertical="center"/>
    </xf>
    <xf numFmtId="0" fontId="16" fillId="0" borderId="28" xfId="40" applyFont="1" applyBorder="1" applyAlignment="1">
      <alignment horizontal="centerContinuous" vertical="center"/>
    </xf>
    <xf numFmtId="0" fontId="22" fillId="0" borderId="19" xfId="40" applyFont="1" applyBorder="1" applyAlignment="1">
      <alignment horizontal="centerContinuous"/>
    </xf>
    <xf numFmtId="0" fontId="22" fillId="0" borderId="28" xfId="40" applyFont="1" applyBorder="1" applyAlignment="1">
      <alignment vertical="center"/>
    </xf>
    <xf numFmtId="0" fontId="22" fillId="0" borderId="19" xfId="40" applyFont="1" applyBorder="1"/>
    <xf numFmtId="0" fontId="22" fillId="0" borderId="132" xfId="40" applyFont="1" applyBorder="1"/>
    <xf numFmtId="0" fontId="22" fillId="0" borderId="14" xfId="40" applyFont="1" applyBorder="1"/>
    <xf numFmtId="0" fontId="16" fillId="0" borderId="0" xfId="40" applyBorder="1"/>
    <xf numFmtId="0" fontId="67" fillId="0" borderId="192" xfId="3" applyFont="1" applyFill="1" applyBorder="1" applyAlignment="1">
      <alignment horizontal="left" vertical="center"/>
    </xf>
    <xf numFmtId="0" fontId="73" fillId="0" borderId="0" xfId="3" applyFont="1" applyAlignment="1">
      <alignment vertical="center"/>
    </xf>
    <xf numFmtId="0" fontId="67" fillId="0" borderId="193" xfId="3" applyFont="1" applyFill="1" applyBorder="1" applyAlignment="1">
      <alignment horizontal="right" vertical="center" wrapText="1"/>
    </xf>
    <xf numFmtId="0" fontId="16" fillId="0" borderId="0" xfId="3" applyFont="1" applyAlignment="1">
      <alignment vertical="center"/>
    </xf>
    <xf numFmtId="0" fontId="67" fillId="0" borderId="63" xfId="3" applyFont="1" applyFill="1" applyBorder="1" applyAlignment="1">
      <alignment horizontal="right" vertical="center" wrapText="1"/>
    </xf>
    <xf numFmtId="0" fontId="8" fillId="0" borderId="63" xfId="3" applyFont="1" applyFill="1" applyBorder="1" applyAlignment="1">
      <alignment horizontal="left" vertical="center" wrapText="1"/>
    </xf>
    <xf numFmtId="0" fontId="16" fillId="0" borderId="0" xfId="3" applyFont="1" applyFill="1" applyBorder="1" applyAlignment="1">
      <alignment horizontal="center" vertical="center"/>
    </xf>
    <xf numFmtId="0" fontId="8" fillId="30" borderId="194" xfId="3" applyFont="1" applyFill="1" applyBorder="1" applyAlignment="1">
      <alignment horizontal="center" vertical="center" wrapText="1"/>
    </xf>
    <xf numFmtId="0" fontId="8" fillId="30" borderId="195" xfId="3" applyFont="1" applyFill="1" applyBorder="1" applyAlignment="1">
      <alignment horizontal="center" vertical="center" textRotation="90"/>
    </xf>
    <xf numFmtId="0" fontId="8" fillId="31" borderId="198" xfId="3" applyFont="1" applyFill="1" applyBorder="1" applyAlignment="1">
      <alignment horizontal="left" vertical="center"/>
    </xf>
    <xf numFmtId="0" fontId="163" fillId="0" borderId="0" xfId="3" applyFont="1" applyAlignment="1">
      <alignment vertical="center"/>
    </xf>
    <xf numFmtId="0" fontId="0" fillId="0" borderId="199" xfId="3" applyFont="1" applyFill="1" applyBorder="1" applyAlignment="1" applyProtection="1">
      <alignment horizontal="left" vertical="center"/>
      <protection locked="0"/>
    </xf>
    <xf numFmtId="40" fontId="115" fillId="0" borderId="201" xfId="3" applyNumberFormat="1" applyFont="1" applyFill="1" applyBorder="1" applyAlignment="1">
      <alignment vertical="center"/>
    </xf>
    <xf numFmtId="0" fontId="115" fillId="0" borderId="202" xfId="3" applyNumberFormat="1" applyFont="1" applyFill="1" applyBorder="1" applyAlignment="1">
      <alignment horizontal="center" vertical="center"/>
    </xf>
    <xf numFmtId="0" fontId="115" fillId="0" borderId="200" xfId="3" applyFont="1" applyBorder="1" applyAlignment="1">
      <alignment horizontal="left" vertical="center" wrapText="1"/>
    </xf>
    <xf numFmtId="0" fontId="16" fillId="0" borderId="199" xfId="3" applyFont="1" applyFill="1" applyBorder="1" applyAlignment="1" applyProtection="1">
      <alignment horizontal="left" vertical="center"/>
      <protection locked="0"/>
    </xf>
    <xf numFmtId="169" fontId="115" fillId="0" borderId="202" xfId="3" applyNumberFormat="1" applyFont="1" applyFill="1" applyBorder="1" applyAlignment="1">
      <alignment horizontal="center" vertical="center"/>
    </xf>
    <xf numFmtId="0" fontId="115" fillId="0" borderId="211" xfId="3" applyFont="1" applyBorder="1" applyAlignment="1">
      <alignment horizontal="left" vertical="center" wrapText="1"/>
    </xf>
    <xf numFmtId="40" fontId="115" fillId="0" borderId="201" xfId="3" applyNumberFormat="1" applyFont="1" applyFill="1" applyBorder="1" applyAlignment="1">
      <alignment horizontal="right" vertical="center"/>
    </xf>
    <xf numFmtId="40" fontId="115" fillId="0" borderId="216" xfId="3" applyNumberFormat="1" applyFont="1" applyFill="1" applyBorder="1" applyAlignment="1">
      <alignment vertical="center"/>
    </xf>
    <xf numFmtId="0" fontId="115" fillId="0" borderId="205" xfId="3" applyNumberFormat="1" applyFont="1" applyFill="1" applyBorder="1" applyAlignment="1">
      <alignment horizontal="center" vertical="center"/>
    </xf>
    <xf numFmtId="0" fontId="8" fillId="45" borderId="206" xfId="3" applyFont="1" applyFill="1" applyBorder="1" applyAlignment="1">
      <alignment horizontal="center" vertical="center"/>
    </xf>
    <xf numFmtId="40" fontId="8" fillId="45" borderId="207" xfId="3" applyNumberFormat="1" applyFont="1" applyFill="1" applyBorder="1" applyAlignment="1">
      <alignment vertical="center"/>
    </xf>
    <xf numFmtId="0" fontId="147" fillId="45" borderId="208" xfId="3" applyFont="1" applyFill="1" applyBorder="1" applyAlignment="1">
      <alignment horizontal="left" vertical="center" wrapText="1"/>
    </xf>
    <xf numFmtId="0" fontId="115" fillId="0" borderId="199" xfId="3" applyFont="1" applyFill="1" applyBorder="1" applyAlignment="1" applyProtection="1">
      <alignment horizontal="left" vertical="center"/>
      <protection locked="0"/>
    </xf>
    <xf numFmtId="0" fontId="115" fillId="0" borderId="210" xfId="3" applyFont="1" applyBorder="1" applyAlignment="1">
      <alignment horizontal="left" vertical="center" wrapText="1"/>
    </xf>
    <xf numFmtId="40" fontId="115" fillId="0" borderId="36" xfId="3" applyNumberFormat="1" applyFont="1" applyFill="1" applyBorder="1" applyAlignment="1">
      <alignment horizontal="right" vertical="center"/>
    </xf>
    <xf numFmtId="0" fontId="8" fillId="46" borderId="217" xfId="3" applyFont="1" applyFill="1" applyBorder="1" applyAlignment="1">
      <alignment horizontal="center" vertical="center" wrapText="1"/>
    </xf>
    <xf numFmtId="0" fontId="165" fillId="0" borderId="0" xfId="3" applyFont="1" applyAlignment="1">
      <alignment vertical="center"/>
    </xf>
    <xf numFmtId="0" fontId="8" fillId="48" borderId="206" xfId="3" applyFont="1" applyFill="1" applyBorder="1" applyAlignment="1">
      <alignment horizontal="center" vertical="center"/>
    </xf>
    <xf numFmtId="0" fontId="147" fillId="48" borderId="220" xfId="3" applyFont="1" applyFill="1" applyBorder="1" applyAlignment="1">
      <alignment horizontal="left" vertical="center" wrapText="1"/>
    </xf>
    <xf numFmtId="0" fontId="115" fillId="0" borderId="199" xfId="3" applyFont="1" applyFill="1" applyBorder="1" applyAlignment="1">
      <alignment horizontal="left" vertical="center"/>
    </xf>
    <xf numFmtId="0" fontId="115" fillId="0" borderId="209" xfId="3" applyFont="1" applyFill="1" applyBorder="1" applyAlignment="1">
      <alignment horizontal="left" vertical="center"/>
    </xf>
    <xf numFmtId="169" fontId="115" fillId="0" borderId="205" xfId="3" applyNumberFormat="1" applyFont="1" applyFill="1" applyBorder="1" applyAlignment="1">
      <alignment horizontal="center" vertical="center"/>
    </xf>
    <xf numFmtId="0" fontId="16" fillId="0" borderId="0" xfId="3" applyFont="1" applyAlignment="1">
      <alignment horizontal="center" vertical="center"/>
    </xf>
    <xf numFmtId="0" fontId="149" fillId="0" borderId="0" xfId="39" applyFont="1"/>
    <xf numFmtId="0" fontId="149" fillId="0" borderId="0" xfId="39" applyFont="1" applyAlignment="1">
      <alignment horizontal="center"/>
    </xf>
    <xf numFmtId="0" fontId="166" fillId="0" borderId="0" xfId="39" applyFont="1" applyAlignment="1">
      <alignment horizontal="right"/>
    </xf>
    <xf numFmtId="0" fontId="167" fillId="0" borderId="0" xfId="39" applyFont="1" applyAlignment="1">
      <alignment horizontal="center"/>
    </xf>
    <xf numFmtId="0" fontId="150" fillId="0" borderId="0" xfId="39" applyFont="1" applyAlignment="1">
      <alignment horizontal="center"/>
    </xf>
    <xf numFmtId="0" fontId="150" fillId="0" borderId="221" xfId="39" applyFont="1" applyBorder="1"/>
    <xf numFmtId="9" fontId="150" fillId="41" borderId="222" xfId="39" applyNumberFormat="1" applyFont="1" applyFill="1" applyBorder="1" applyAlignment="1">
      <alignment horizontal="center"/>
    </xf>
    <xf numFmtId="9" fontId="150" fillId="41" borderId="223" xfId="39" applyNumberFormat="1" applyFont="1" applyFill="1" applyBorder="1" applyAlignment="1">
      <alignment horizontal="center"/>
    </xf>
    <xf numFmtId="0" fontId="151" fillId="0" borderId="0" xfId="39" applyFont="1"/>
    <xf numFmtId="0" fontId="150" fillId="0" borderId="224" xfId="39" applyFont="1" applyBorder="1"/>
    <xf numFmtId="9" fontId="150" fillId="41" borderId="0" xfId="39" applyNumberFormat="1" applyFont="1" applyFill="1" applyBorder="1" applyAlignment="1">
      <alignment horizontal="center"/>
    </xf>
    <xf numFmtId="9" fontId="150" fillId="41" borderId="225" xfId="39" applyNumberFormat="1" applyFont="1" applyFill="1" applyBorder="1" applyAlignment="1">
      <alignment horizontal="center"/>
    </xf>
    <xf numFmtId="9" fontId="149" fillId="0" borderId="0" xfId="39" applyNumberFormat="1" applyFont="1"/>
    <xf numFmtId="0" fontId="150" fillId="0" borderId="226" xfId="39" applyFont="1" applyBorder="1"/>
    <xf numFmtId="9" fontId="150" fillId="41" borderId="227" xfId="39" applyNumberFormat="1" applyFont="1" applyFill="1" applyBorder="1" applyAlignment="1">
      <alignment horizontal="center"/>
    </xf>
    <xf numFmtId="9" fontId="150" fillId="41" borderId="228" xfId="39" applyNumberFormat="1" applyFont="1" applyFill="1" applyBorder="1" applyAlignment="1">
      <alignment horizontal="center"/>
    </xf>
    <xf numFmtId="0" fontId="149" fillId="43" borderId="0" xfId="39" applyFont="1" applyFill="1" applyAlignment="1">
      <alignment horizontal="center"/>
    </xf>
    <xf numFmtId="9" fontId="149" fillId="43" borderId="0" xfId="39" applyNumberFormat="1" applyFont="1" applyFill="1" applyAlignment="1">
      <alignment horizontal="center"/>
    </xf>
    <xf numFmtId="3" fontId="149" fillId="43" borderId="0" xfId="39" applyNumberFormat="1" applyFont="1" applyFill="1" applyAlignment="1">
      <alignment horizontal="center"/>
    </xf>
    <xf numFmtId="0" fontId="149" fillId="49" borderId="0" xfId="39" applyFont="1" applyFill="1"/>
    <xf numFmtId="0" fontId="149" fillId="0" borderId="0" xfId="39" applyFont="1" applyBorder="1"/>
    <xf numFmtId="9" fontId="150" fillId="34" borderId="227" xfId="39" applyNumberFormat="1" applyFont="1" applyFill="1" applyBorder="1" applyAlignment="1">
      <alignment horizontal="center"/>
    </xf>
    <xf numFmtId="9" fontId="149" fillId="0" borderId="0" xfId="39" applyNumberFormat="1" applyFont="1" applyBorder="1"/>
    <xf numFmtId="0" fontId="149" fillId="34" borderId="0" xfId="39" applyFont="1" applyFill="1" applyBorder="1" applyAlignment="1">
      <alignment horizontal="center"/>
    </xf>
    <xf numFmtId="9" fontId="149" fillId="34" borderId="0" xfId="39" applyNumberFormat="1" applyFont="1" applyFill="1" applyBorder="1" applyAlignment="1">
      <alignment horizontal="center"/>
    </xf>
    <xf numFmtId="3" fontId="149" fillId="34" borderId="0" xfId="39" applyNumberFormat="1" applyFont="1" applyFill="1" applyBorder="1" applyAlignment="1">
      <alignment horizontal="center"/>
    </xf>
    <xf numFmtId="0" fontId="149" fillId="34" borderId="0" xfId="39" applyFont="1" applyFill="1" applyBorder="1"/>
    <xf numFmtId="0" fontId="168" fillId="0" borderId="0" xfId="39" applyFont="1"/>
    <xf numFmtId="0" fontId="169" fillId="0" borderId="0" xfId="39" applyFont="1"/>
    <xf numFmtId="0" fontId="121" fillId="25" borderId="265" xfId="43" applyFont="1" applyFill="1" applyBorder="1" applyAlignment="1">
      <alignment horizontal="center"/>
    </xf>
    <xf numFmtId="0" fontId="152" fillId="25" borderId="265" xfId="43" applyFont="1" applyFill="1" applyBorder="1" applyAlignment="1">
      <alignment horizontal="center"/>
    </xf>
    <xf numFmtId="0" fontId="121" fillId="25" borderId="266" xfId="43" applyFont="1" applyFill="1" applyBorder="1" applyAlignment="1">
      <alignment horizontal="center"/>
    </xf>
    <xf numFmtId="0" fontId="37" fillId="0" borderId="57" xfId="43" applyFont="1" applyBorder="1" applyAlignment="1">
      <alignment horizontal="center"/>
    </xf>
    <xf numFmtId="0" fontId="150" fillId="0" borderId="56" xfId="43" applyFont="1" applyBorder="1" applyAlignment="1">
      <alignment horizontal="center"/>
    </xf>
    <xf numFmtId="169" fontId="37" fillId="41" borderId="58" xfId="43" applyNumberFormat="1" applyFont="1" applyFill="1" applyBorder="1"/>
    <xf numFmtId="0" fontId="150" fillId="0" borderId="0" xfId="43" applyFont="1" applyBorder="1" applyAlignment="1">
      <alignment horizontal="center"/>
    </xf>
    <xf numFmtId="0" fontId="36" fillId="41" borderId="49" xfId="43" applyFont="1" applyFill="1" applyBorder="1"/>
    <xf numFmtId="0" fontId="36" fillId="41" borderId="49" xfId="43" applyFont="1" applyFill="1" applyBorder="1" applyAlignment="1">
      <alignment horizontal="center"/>
    </xf>
    <xf numFmtId="167" fontId="36" fillId="0" borderId="50" xfId="33" applyNumberFormat="1" applyFont="1" applyBorder="1"/>
    <xf numFmtId="169" fontId="38" fillId="41" borderId="50" xfId="43" applyNumberFormat="1" applyFont="1" applyFill="1" applyBorder="1"/>
    <xf numFmtId="3" fontId="36" fillId="28" borderId="50" xfId="43" applyNumberFormat="1" applyFont="1" applyFill="1" applyBorder="1"/>
    <xf numFmtId="0" fontId="36" fillId="40" borderId="49" xfId="43" applyFont="1" applyFill="1" applyBorder="1" applyAlignment="1">
      <alignment horizontal="center"/>
    </xf>
    <xf numFmtId="0" fontId="150" fillId="41" borderId="0" xfId="39" applyFont="1" applyFill="1" applyAlignment="1">
      <alignment horizontal="center"/>
    </xf>
    <xf numFmtId="3" fontId="36" fillId="28" borderId="49" xfId="43" applyNumberFormat="1" applyFont="1" applyFill="1" applyBorder="1"/>
    <xf numFmtId="0" fontId="36" fillId="41" borderId="50" xfId="43" applyFont="1" applyFill="1" applyBorder="1"/>
    <xf numFmtId="0" fontId="36" fillId="41" borderId="50" xfId="43" applyFont="1" applyFill="1" applyBorder="1" applyAlignment="1">
      <alignment horizontal="center"/>
    </xf>
    <xf numFmtId="0" fontId="36" fillId="40" borderId="50" xfId="43" applyFont="1" applyFill="1" applyBorder="1" applyAlignment="1">
      <alignment horizontal="center"/>
    </xf>
    <xf numFmtId="0" fontId="36" fillId="41" borderId="51" xfId="43" applyFont="1" applyFill="1" applyBorder="1"/>
    <xf numFmtId="0" fontId="36" fillId="41" borderId="51" xfId="43" applyFont="1" applyFill="1" applyBorder="1" applyAlignment="1">
      <alignment horizontal="center"/>
    </xf>
    <xf numFmtId="167" fontId="36" fillId="0" borderId="51" xfId="33" applyNumberFormat="1" applyFont="1" applyBorder="1"/>
    <xf numFmtId="169" fontId="38" fillId="41" borderId="51" xfId="43" applyNumberFormat="1" applyFont="1" applyFill="1" applyBorder="1"/>
    <xf numFmtId="3" fontId="149" fillId="0" borderId="0" xfId="39" applyNumberFormat="1" applyFont="1"/>
    <xf numFmtId="3" fontId="36" fillId="28" borderId="51" xfId="43" applyNumberFormat="1" applyFont="1" applyFill="1" applyBorder="1"/>
    <xf numFmtId="0" fontId="36" fillId="40" borderId="51" xfId="43" applyFont="1" applyFill="1" applyBorder="1" applyAlignment="1">
      <alignment horizontal="center"/>
    </xf>
    <xf numFmtId="0" fontId="150" fillId="41" borderId="51" xfId="39" applyFont="1" applyFill="1" applyBorder="1" applyAlignment="1">
      <alignment horizontal="center"/>
    </xf>
    <xf numFmtId="0" fontId="36" fillId="0" borderId="0" xfId="43" applyFont="1" applyFill="1" applyBorder="1" applyAlignment="1">
      <alignment horizontal="center"/>
    </xf>
    <xf numFmtId="0" fontId="149" fillId="0" borderId="47" xfId="39" applyFont="1" applyBorder="1"/>
    <xf numFmtId="0" fontId="153" fillId="0" borderId="0" xfId="39" applyFont="1"/>
    <xf numFmtId="0" fontId="153" fillId="0" borderId="0" xfId="39" applyFont="1" applyAlignment="1">
      <alignment horizontal="center"/>
    </xf>
    <xf numFmtId="0" fontId="124" fillId="0" borderId="0" xfId="39" applyFont="1"/>
    <xf numFmtId="0" fontId="124" fillId="0" borderId="0" xfId="39" applyFont="1" applyAlignment="1">
      <alignment horizontal="center"/>
    </xf>
    <xf numFmtId="3" fontId="150" fillId="40" borderId="267" xfId="39" applyNumberFormat="1" applyFont="1" applyFill="1" applyBorder="1"/>
    <xf numFmtId="179" fontId="149" fillId="0" borderId="0" xfId="39" applyNumberFormat="1" applyFont="1"/>
    <xf numFmtId="179" fontId="149" fillId="0" borderId="0" xfId="39" applyNumberFormat="1" applyFont="1" applyAlignment="1">
      <alignment horizontal="center"/>
    </xf>
    <xf numFmtId="179" fontId="150" fillId="0" borderId="0" xfId="39" applyNumberFormat="1" applyFont="1"/>
    <xf numFmtId="179" fontId="150" fillId="0" borderId="0" xfId="39" applyNumberFormat="1" applyFont="1" applyAlignment="1">
      <alignment horizontal="center"/>
    </xf>
    <xf numFmtId="169" fontId="85" fillId="34" borderId="161" xfId="0" applyNumberFormat="1" applyFont="1" applyFill="1" applyBorder="1" applyAlignment="1">
      <alignment vertical="center"/>
    </xf>
    <xf numFmtId="0" fontId="150" fillId="0" borderId="0" xfId="39" applyFont="1" applyBorder="1"/>
    <xf numFmtId="9" fontId="150" fillId="34" borderId="0" xfId="39" applyNumberFormat="1" applyFont="1" applyFill="1" applyBorder="1" applyAlignment="1">
      <alignment horizontal="center"/>
    </xf>
    <xf numFmtId="3" fontId="38" fillId="0" borderId="0" xfId="43" applyNumberFormat="1" applyFont="1" applyFill="1" applyBorder="1"/>
    <xf numFmtId="0" fontId="153" fillId="34" borderId="0" xfId="39" applyFont="1" applyFill="1" applyBorder="1"/>
    <xf numFmtId="179" fontId="149" fillId="34" borderId="0" xfId="39" applyNumberFormat="1" applyFont="1" applyFill="1" applyBorder="1"/>
    <xf numFmtId="0" fontId="170" fillId="0" borderId="0" xfId="39" applyFont="1"/>
    <xf numFmtId="0" fontId="170" fillId="0" borderId="0" xfId="39" applyFont="1" applyAlignment="1">
      <alignment horizontal="center"/>
    </xf>
    <xf numFmtId="0" fontId="170" fillId="0" borderId="0" xfId="39" applyFont="1" applyAlignment="1">
      <alignment horizontal="left"/>
    </xf>
    <xf numFmtId="0" fontId="171" fillId="0" borderId="0" xfId="39" applyFont="1"/>
    <xf numFmtId="0" fontId="172" fillId="0" borderId="229" xfId="39" applyFont="1" applyFill="1" applyBorder="1"/>
    <xf numFmtId="0" fontId="155" fillId="0" borderId="0" xfId="39" applyFont="1" applyAlignment="1">
      <alignment horizontal="center"/>
    </xf>
    <xf numFmtId="0" fontId="155" fillId="0" borderId="0" xfId="39" applyFont="1"/>
    <xf numFmtId="0" fontId="149" fillId="0" borderId="0" xfId="39" applyFont="1" applyAlignment="1">
      <alignment horizontal="right"/>
    </xf>
    <xf numFmtId="0" fontId="170" fillId="34" borderId="0" xfId="39" applyFont="1" applyFill="1" applyAlignment="1">
      <alignment horizontal="center"/>
    </xf>
    <xf numFmtId="0" fontId="170" fillId="34" borderId="0" xfId="39" applyFont="1" applyFill="1"/>
    <xf numFmtId="0" fontId="149" fillId="34" borderId="0" xfId="39" applyFont="1" applyFill="1" applyAlignment="1">
      <alignment horizontal="center"/>
    </xf>
    <xf numFmtId="9" fontId="149" fillId="34" borderId="0" xfId="39" applyNumberFormat="1" applyFont="1" applyFill="1" applyAlignment="1">
      <alignment horizontal="center"/>
    </xf>
    <xf numFmtId="3" fontId="149" fillId="34" borderId="0" xfId="39" applyNumberFormat="1" applyFont="1" applyFill="1" applyAlignment="1">
      <alignment horizontal="center"/>
    </xf>
    <xf numFmtId="0" fontId="149" fillId="34" borderId="0" xfId="39" applyFont="1" applyFill="1"/>
    <xf numFmtId="9" fontId="173" fillId="34" borderId="0" xfId="39" applyNumberFormat="1" applyFont="1" applyFill="1" applyBorder="1" applyAlignment="1">
      <alignment horizontal="right"/>
    </xf>
    <xf numFmtId="9" fontId="150" fillId="41" borderId="230" xfId="39" applyNumberFormat="1" applyFont="1" applyFill="1" applyBorder="1" applyAlignment="1">
      <alignment horizontal="center"/>
    </xf>
    <xf numFmtId="9" fontId="150" fillId="41" borderId="231" xfId="39" applyNumberFormat="1" applyFont="1" applyFill="1" applyBorder="1" applyAlignment="1">
      <alignment horizontal="center"/>
    </xf>
    <xf numFmtId="9" fontId="150" fillId="41" borderId="232" xfId="39" applyNumberFormat="1" applyFont="1" applyFill="1" applyBorder="1" applyAlignment="1">
      <alignment horizontal="center"/>
    </xf>
    <xf numFmtId="0" fontId="174" fillId="0" borderId="0" xfId="39" applyFont="1" applyFill="1" applyBorder="1"/>
    <xf numFmtId="9" fontId="150" fillId="0" borderId="0" xfId="39" applyNumberFormat="1" applyFont="1" applyFill="1" applyBorder="1" applyAlignment="1">
      <alignment horizontal="center"/>
    </xf>
    <xf numFmtId="0" fontId="149" fillId="0" borderId="0" xfId="39" applyFont="1" applyFill="1" applyAlignment="1">
      <alignment horizontal="center"/>
    </xf>
    <xf numFmtId="0" fontId="170" fillId="0" borderId="0" xfId="39" applyFont="1" applyBorder="1"/>
    <xf numFmtId="0" fontId="170" fillId="0" borderId="0" xfId="39" applyFont="1" applyBorder="1" applyAlignment="1">
      <alignment horizontal="center"/>
    </xf>
    <xf numFmtId="0" fontId="174" fillId="0" borderId="227" xfId="39" applyFont="1" applyBorder="1"/>
    <xf numFmtId="9" fontId="156" fillId="34" borderId="227" xfId="39" applyNumberFormat="1" applyFont="1" applyFill="1" applyBorder="1" applyAlignment="1">
      <alignment horizontal="right"/>
    </xf>
    <xf numFmtId="0" fontId="174" fillId="0" borderId="0" xfId="39" applyFont="1" applyBorder="1" applyAlignment="1">
      <alignment horizontal="center"/>
    </xf>
    <xf numFmtId="0" fontId="157" fillId="25" borderId="0" xfId="43" applyFont="1" applyFill="1" applyAlignment="1">
      <alignment horizontal="center"/>
    </xf>
    <xf numFmtId="0" fontId="175" fillId="47" borderId="57" xfId="43" applyFont="1" applyFill="1" applyBorder="1" applyAlignment="1">
      <alignment horizontal="center"/>
    </xf>
    <xf numFmtId="0" fontId="37" fillId="0" borderId="58" xfId="43" applyFont="1" applyBorder="1" applyAlignment="1">
      <alignment horizontal="center"/>
    </xf>
    <xf numFmtId="0" fontId="150" fillId="0" borderId="58" xfId="43" applyFont="1" applyBorder="1" applyAlignment="1">
      <alignment horizontal="center"/>
    </xf>
    <xf numFmtId="0" fontId="150" fillId="0" borderId="57" xfId="43" applyFont="1" applyBorder="1" applyAlignment="1">
      <alignment horizontal="center"/>
    </xf>
    <xf numFmtId="0" fontId="150" fillId="41" borderId="49" xfId="43" applyFont="1" applyFill="1" applyBorder="1"/>
    <xf numFmtId="169" fontId="37" fillId="41" borderId="49" xfId="43" applyNumberFormat="1" applyFont="1" applyFill="1" applyBorder="1"/>
    <xf numFmtId="0" fontId="166" fillId="51" borderId="49" xfId="43" applyFont="1" applyFill="1" applyBorder="1" applyAlignment="1">
      <alignment horizontal="center"/>
    </xf>
    <xf numFmtId="3" fontId="36" fillId="28" borderId="49" xfId="43" applyNumberFormat="1" applyFont="1" applyFill="1" applyBorder="1" applyAlignment="1">
      <alignment horizontal="right"/>
    </xf>
    <xf numFmtId="0" fontId="150" fillId="41" borderId="50" xfId="43" applyFont="1" applyFill="1" applyBorder="1"/>
    <xf numFmtId="0" fontId="166" fillId="51" borderId="50" xfId="43" applyFont="1" applyFill="1" applyBorder="1" applyAlignment="1">
      <alignment horizontal="center"/>
    </xf>
    <xf numFmtId="0" fontId="150" fillId="41" borderId="51" xfId="43" applyFont="1" applyFill="1" applyBorder="1"/>
    <xf numFmtId="0" fontId="166" fillId="51" borderId="51" xfId="43" applyFont="1" applyFill="1" applyBorder="1" applyAlignment="1">
      <alignment horizontal="center"/>
    </xf>
    <xf numFmtId="0" fontId="166" fillId="34" borderId="0" xfId="43" applyFont="1" applyFill="1" applyAlignment="1">
      <alignment horizontal="right"/>
    </xf>
    <xf numFmtId="170" fontId="166" fillId="34" borderId="58" xfId="43" applyNumberFormat="1" applyFont="1" applyFill="1" applyBorder="1" applyAlignment="1">
      <alignment horizontal="right"/>
    </xf>
    <xf numFmtId="3" fontId="166" fillId="34" borderId="58" xfId="43" applyNumberFormat="1" applyFont="1" applyFill="1" applyBorder="1" applyAlignment="1">
      <alignment horizontal="right"/>
    </xf>
    <xf numFmtId="3" fontId="124" fillId="34" borderId="267" xfId="39" applyNumberFormat="1" applyFont="1" applyFill="1" applyBorder="1"/>
    <xf numFmtId="169" fontId="150" fillId="40" borderId="267" xfId="39" applyNumberFormat="1" applyFont="1" applyFill="1" applyBorder="1"/>
    <xf numFmtId="0" fontId="155" fillId="34" borderId="0" xfId="43" applyFont="1" applyFill="1" applyAlignment="1">
      <alignment horizontal="right"/>
    </xf>
    <xf numFmtId="0" fontId="176" fillId="0" borderId="0" xfId="39" applyFont="1" applyAlignment="1">
      <alignment horizontal="right"/>
    </xf>
    <xf numFmtId="0" fontId="177" fillId="34" borderId="0" xfId="43" applyFont="1" applyFill="1" applyAlignment="1">
      <alignment horizontal="right"/>
    </xf>
    <xf numFmtId="0" fontId="36" fillId="52" borderId="0" xfId="0" applyFont="1" applyFill="1" applyBorder="1" applyAlignment="1">
      <alignment horizontal="left" indent="1"/>
    </xf>
    <xf numFmtId="0" fontId="36" fillId="52" borderId="47" xfId="0" applyFont="1" applyFill="1" applyBorder="1" applyAlignment="1">
      <alignment horizontal="left" indent="1"/>
    </xf>
    <xf numFmtId="0" fontId="36" fillId="52" borderId="48" xfId="0" applyFont="1" applyFill="1" applyBorder="1" applyAlignment="1">
      <alignment horizontal="left" indent="1"/>
    </xf>
    <xf numFmtId="0" fontId="25" fillId="34" borderId="0" xfId="0" applyFont="1" applyFill="1" applyBorder="1"/>
    <xf numFmtId="0" fontId="60" fillId="34" borderId="0" xfId="0" applyFont="1" applyFill="1" applyBorder="1"/>
    <xf numFmtId="0" fontId="36" fillId="34" borderId="0" xfId="0" applyFont="1" applyFill="1" applyBorder="1"/>
    <xf numFmtId="49" fontId="8" fillId="34" borderId="0" xfId="0" applyNumberFormat="1" applyFont="1" applyFill="1" applyBorder="1" applyAlignment="1">
      <alignment horizontal="right"/>
    </xf>
    <xf numFmtId="0" fontId="62" fillId="34" borderId="0" xfId="0" applyFont="1" applyFill="1" applyBorder="1" applyAlignment="1">
      <alignment horizontal="left" vertical="center"/>
    </xf>
    <xf numFmtId="0" fontId="26" fillId="34" borderId="0" xfId="0" applyFont="1" applyFill="1" applyBorder="1" applyAlignment="1" applyProtection="1">
      <alignment horizontal="left" vertical="center"/>
    </xf>
    <xf numFmtId="0" fontId="45" fillId="34" borderId="0" xfId="0" applyFont="1" applyFill="1" applyBorder="1" applyAlignment="1" applyProtection="1">
      <alignment horizontal="left" vertical="center"/>
    </xf>
    <xf numFmtId="0" fontId="25" fillId="34" borderId="0" xfId="0" applyFont="1" applyFill="1" applyBorder="1" applyAlignment="1">
      <alignment vertical="center"/>
    </xf>
    <xf numFmtId="0" fontId="27" fillId="34" borderId="0" xfId="0" applyFont="1" applyFill="1" applyBorder="1" applyAlignment="1">
      <alignment horizontal="center" vertical="center"/>
    </xf>
    <xf numFmtId="0" fontId="10" fillId="34" borderId="0" xfId="0" applyFont="1" applyFill="1" applyBorder="1" applyAlignment="1">
      <alignment horizontal="center" vertical="center"/>
    </xf>
    <xf numFmtId="0" fontId="44" fillId="34" borderId="0" xfId="0" applyFont="1" applyFill="1" applyBorder="1" applyAlignment="1">
      <alignment vertical="center"/>
    </xf>
    <xf numFmtId="0" fontId="30" fillId="34" borderId="0" xfId="0" applyFont="1" applyFill="1" applyBorder="1"/>
    <xf numFmtId="0" fontId="54" fillId="34" borderId="0" xfId="0" applyFont="1" applyFill="1" applyBorder="1" applyAlignment="1">
      <alignment horizontal="left" vertical="center"/>
    </xf>
    <xf numFmtId="0" fontId="95" fillId="34" borderId="0" xfId="0" applyFont="1" applyFill="1" applyBorder="1" applyAlignment="1">
      <alignment horizontal="right" vertical="center"/>
    </xf>
    <xf numFmtId="0" fontId="28" fillId="34" borderId="0" xfId="0" applyFont="1" applyFill="1" applyBorder="1" applyAlignment="1" applyProtection="1">
      <alignment horizontal="left" vertical="center"/>
    </xf>
    <xf numFmtId="0" fontId="49" fillId="34" borderId="0" xfId="0" applyFont="1" applyFill="1" applyBorder="1" applyAlignment="1" applyProtection="1">
      <alignment horizontal="center" vertical="center"/>
    </xf>
    <xf numFmtId="0" fontId="49" fillId="34" borderId="0" xfId="0" applyFont="1" applyFill="1" applyBorder="1" applyAlignment="1" applyProtection="1">
      <alignment horizontal="center" vertical="center"/>
      <protection locked="0"/>
    </xf>
    <xf numFmtId="0" fontId="29" fillId="34" borderId="0" xfId="0" applyFont="1" applyFill="1" applyBorder="1" applyAlignment="1" applyProtection="1">
      <alignment horizontal="left" vertical="center"/>
    </xf>
    <xf numFmtId="0" fontId="54" fillId="34" borderId="0" xfId="0" applyFont="1" applyFill="1" applyBorder="1" applyAlignment="1" applyProtection="1">
      <alignment horizontal="left" vertical="center"/>
    </xf>
    <xf numFmtId="0" fontId="95" fillId="34" borderId="0" xfId="0" applyFont="1" applyFill="1" applyBorder="1" applyAlignment="1" applyProtection="1">
      <alignment horizontal="right" vertical="center"/>
    </xf>
    <xf numFmtId="0" fontId="28" fillId="34" borderId="0" xfId="0" applyFont="1" applyFill="1" applyBorder="1" applyAlignment="1" applyProtection="1">
      <alignment horizontal="right" vertical="center"/>
    </xf>
    <xf numFmtId="0" fontId="37" fillId="34" borderId="0" xfId="0" applyFont="1" applyFill="1" applyBorder="1" applyAlignment="1" applyProtection="1">
      <alignment horizontal="left" vertical="center"/>
    </xf>
    <xf numFmtId="0" fontId="27" fillId="34" borderId="0" xfId="0" applyFont="1" applyFill="1" applyBorder="1" applyAlignment="1">
      <alignment vertical="center"/>
    </xf>
    <xf numFmtId="0" fontId="16" fillId="34" borderId="0" xfId="0" applyFont="1" applyFill="1" applyBorder="1" applyAlignment="1">
      <alignment horizontal="centerContinuous" vertical="center"/>
    </xf>
    <xf numFmtId="0" fontId="25" fillId="34" borderId="0" xfId="0" applyFont="1" applyFill="1" applyBorder="1" applyAlignment="1">
      <alignment horizontal="centerContinuous" vertical="center"/>
    </xf>
    <xf numFmtId="0" fontId="25" fillId="34" borderId="0" xfId="0" applyFont="1" applyFill="1" applyBorder="1" applyAlignment="1">
      <alignment horizontal="left" vertical="center"/>
    </xf>
    <xf numFmtId="22" fontId="35" fillId="34" borderId="0" xfId="0" applyNumberFormat="1" applyFont="1" applyFill="1" applyBorder="1"/>
    <xf numFmtId="0" fontId="43" fillId="34" borderId="0" xfId="0" applyFont="1" applyFill="1" applyBorder="1" applyAlignment="1">
      <alignment horizontal="center" vertical="center"/>
    </xf>
    <xf numFmtId="0" fontId="44" fillId="34" borderId="0" xfId="0" applyFont="1" applyFill="1" applyBorder="1"/>
    <xf numFmtId="171" fontId="33" fillId="34" borderId="0" xfId="0" applyNumberFormat="1" applyFont="1" applyFill="1" applyBorder="1" applyAlignment="1" applyProtection="1">
      <alignment horizontal="left" vertical="center"/>
    </xf>
    <xf numFmtId="0" fontId="41" fillId="34" borderId="0" xfId="0" applyFont="1" applyFill="1" applyBorder="1" applyAlignment="1">
      <alignment horizontal="center" vertical="center"/>
    </xf>
    <xf numFmtId="0" fontId="13" fillId="34" borderId="0" xfId="0" applyFont="1" applyFill="1" applyBorder="1"/>
    <xf numFmtId="0" fontId="36" fillId="34" borderId="0" xfId="0" applyFont="1" applyFill="1" applyBorder="1" applyAlignment="1">
      <alignment horizontal="left" indent="1"/>
    </xf>
    <xf numFmtId="3" fontId="42" fillId="34" borderId="0" xfId="0" applyNumberFormat="1" applyFont="1" applyFill="1" applyBorder="1" applyAlignment="1">
      <alignment horizontal="right" vertical="center"/>
    </xf>
    <xf numFmtId="0" fontId="44" fillId="34" borderId="0" xfId="0" applyFont="1" applyFill="1" applyBorder="1" applyAlignment="1">
      <alignment horizontal="left" indent="1"/>
    </xf>
    <xf numFmtId="9" fontId="25" fillId="34" borderId="0" xfId="44" applyFont="1" applyFill="1" applyBorder="1"/>
    <xf numFmtId="0" fontId="37" fillId="34" borderId="0" xfId="0" applyFont="1" applyFill="1" applyBorder="1"/>
    <xf numFmtId="3" fontId="37" fillId="34" borderId="0" xfId="0" applyNumberFormat="1" applyFont="1" applyFill="1" applyBorder="1" applyAlignment="1">
      <alignment horizontal="right"/>
    </xf>
    <xf numFmtId="0" fontId="46" fillId="34" borderId="0" xfId="0" applyFont="1" applyFill="1" applyBorder="1"/>
    <xf numFmtId="0" fontId="37" fillId="34" borderId="0" xfId="0" applyFont="1" applyFill="1" applyBorder="1" applyAlignment="1">
      <alignment horizontal="center" vertical="center"/>
    </xf>
    <xf numFmtId="3" fontId="34" fillId="34" borderId="0" xfId="0" applyNumberFormat="1" applyFont="1" applyFill="1" applyBorder="1" applyAlignment="1">
      <alignment horizontal="right"/>
    </xf>
    <xf numFmtId="0" fontId="46" fillId="34" borderId="0" xfId="0" applyFont="1" applyFill="1" applyBorder="1" applyAlignment="1">
      <alignment horizontal="center" vertical="center"/>
    </xf>
    <xf numFmtId="0" fontId="86" fillId="34" borderId="0" xfId="0" applyFont="1" applyFill="1" applyBorder="1" applyAlignment="1">
      <alignment horizontal="center" vertical="center"/>
    </xf>
    <xf numFmtId="9" fontId="87" fillId="34" borderId="0" xfId="44" applyFont="1" applyFill="1" applyBorder="1" applyAlignment="1">
      <alignment horizontal="right"/>
    </xf>
    <xf numFmtId="0" fontId="56" fillId="34" borderId="0" xfId="0" applyFont="1" applyFill="1" applyBorder="1" applyAlignment="1">
      <alignment horizontal="center" vertical="center"/>
    </xf>
    <xf numFmtId="0" fontId="88" fillId="34" borderId="0" xfId="0" applyFont="1" applyFill="1" applyBorder="1"/>
    <xf numFmtId="0" fontId="22" fillId="34" borderId="0" xfId="0" applyFont="1" applyFill="1" applyBorder="1" applyAlignment="1">
      <alignment horizontal="left"/>
    </xf>
    <xf numFmtId="169" fontId="36" fillId="34" borderId="0" xfId="0" applyNumberFormat="1" applyFont="1" applyFill="1" applyBorder="1" applyAlignment="1">
      <alignment horizontal="right" vertical="center"/>
    </xf>
    <xf numFmtId="0" fontId="41" fillId="34" borderId="0" xfId="0" applyFont="1" applyFill="1" applyBorder="1" applyAlignment="1">
      <alignment horizontal="center"/>
    </xf>
    <xf numFmtId="3" fontId="40" fillId="34" borderId="0" xfId="0" applyNumberFormat="1" applyFont="1" applyFill="1" applyBorder="1" applyAlignment="1">
      <alignment horizontal="right" vertical="center"/>
    </xf>
    <xf numFmtId="0" fontId="46" fillId="34" borderId="0" xfId="0" applyFont="1" applyFill="1" applyBorder="1" applyAlignment="1">
      <alignment horizontal="center"/>
    </xf>
    <xf numFmtId="0" fontId="38" fillId="34" borderId="0" xfId="0" applyFont="1" applyFill="1" applyBorder="1" applyAlignment="1">
      <alignment horizontal="center"/>
    </xf>
    <xf numFmtId="9" fontId="42" fillId="34" borderId="0" xfId="44" applyFont="1" applyFill="1" applyBorder="1" applyAlignment="1">
      <alignment horizontal="right" vertical="center"/>
    </xf>
    <xf numFmtId="0" fontId="48" fillId="34" borderId="0" xfId="0" applyFont="1" applyFill="1" applyBorder="1" applyAlignment="1">
      <alignment horizontal="center"/>
    </xf>
    <xf numFmtId="0" fontId="38" fillId="34" borderId="0" xfId="0" applyFont="1" applyFill="1" applyBorder="1" applyAlignment="1">
      <alignment horizontal="center" vertical="center"/>
    </xf>
    <xf numFmtId="0" fontId="48" fillId="34" borderId="0" xfId="0" applyFont="1" applyFill="1" applyBorder="1" applyAlignment="1">
      <alignment horizontal="center" vertical="center"/>
    </xf>
    <xf numFmtId="0" fontId="41" fillId="34" borderId="0" xfId="0" applyFont="1" applyFill="1" applyBorder="1" applyAlignment="1">
      <alignment horizontal="center" wrapText="1"/>
    </xf>
    <xf numFmtId="172" fontId="41" fillId="34" borderId="0" xfId="0" applyNumberFormat="1" applyFont="1" applyFill="1" applyBorder="1" applyAlignment="1">
      <alignment horizontal="center" vertical="center" wrapText="1"/>
    </xf>
    <xf numFmtId="0" fontId="46" fillId="34" borderId="0" xfId="0" applyFont="1" applyFill="1" applyBorder="1" applyAlignment="1">
      <alignment horizontal="center" wrapText="1"/>
    </xf>
    <xf numFmtId="9" fontId="48" fillId="34" borderId="0" xfId="44" applyFont="1" applyFill="1" applyBorder="1" applyAlignment="1">
      <alignment horizontal="center"/>
    </xf>
    <xf numFmtId="0" fontId="14" fillId="34" borderId="0" xfId="0" applyFont="1" applyFill="1" applyBorder="1" applyAlignment="1">
      <alignment horizontal="center"/>
    </xf>
    <xf numFmtId="169" fontId="44" fillId="34" borderId="0" xfId="0" applyNumberFormat="1" applyFont="1" applyFill="1" applyBorder="1"/>
    <xf numFmtId="10" fontId="50" fillId="34" borderId="0" xfId="0" applyNumberFormat="1" applyFont="1" applyFill="1" applyBorder="1"/>
    <xf numFmtId="0" fontId="41" fillId="34" borderId="0" xfId="0" applyFont="1" applyFill="1" applyBorder="1"/>
    <xf numFmtId="169" fontId="42" fillId="34" borderId="0" xfId="0" applyNumberFormat="1" applyFont="1" applyFill="1" applyBorder="1" applyAlignment="1">
      <alignment horizontal="right" vertical="center"/>
    </xf>
    <xf numFmtId="3" fontId="44" fillId="34" borderId="0" xfId="0" applyNumberFormat="1" applyFont="1" applyFill="1" applyBorder="1" applyAlignment="1">
      <alignment horizontal="right" vertical="center"/>
    </xf>
    <xf numFmtId="9" fontId="25" fillId="34" borderId="0" xfId="44" applyNumberFormat="1" applyFont="1" applyFill="1" applyBorder="1"/>
    <xf numFmtId="0" fontId="126" fillId="34" borderId="0" xfId="0" applyFont="1" applyFill="1" applyBorder="1"/>
    <xf numFmtId="0" fontId="51" fillId="34" borderId="0" xfId="0" applyFont="1" applyFill="1" applyBorder="1" applyAlignment="1">
      <alignment horizontal="center"/>
    </xf>
    <xf numFmtId="3" fontId="65" fillId="34" borderId="0" xfId="0" applyNumberFormat="1" applyFont="1" applyFill="1" applyBorder="1" applyAlignment="1">
      <alignment horizontal="right" vertical="center"/>
    </xf>
    <xf numFmtId="0" fontId="46" fillId="34" borderId="0" xfId="0" applyFont="1" applyFill="1" applyBorder="1" applyAlignment="1">
      <alignment vertical="center"/>
    </xf>
    <xf numFmtId="3" fontId="50" fillId="34" borderId="0" xfId="0" applyNumberFormat="1" applyFont="1" applyFill="1" applyBorder="1" applyAlignment="1">
      <alignment vertical="center"/>
    </xf>
    <xf numFmtId="0" fontId="25" fillId="34" borderId="0" xfId="0" applyFont="1" applyFill="1" applyAlignment="1">
      <alignment vertical="center"/>
    </xf>
    <xf numFmtId="0" fontId="25" fillId="34" borderId="0" xfId="0" applyFont="1" applyFill="1" applyAlignment="1">
      <alignment horizontal="left" vertical="center"/>
    </xf>
    <xf numFmtId="0" fontId="44" fillId="34" borderId="0" xfId="0" applyFont="1" applyFill="1" applyAlignment="1">
      <alignment vertical="center"/>
    </xf>
    <xf numFmtId="0" fontId="46" fillId="53" borderId="191" xfId="41" applyFont="1" applyFill="1" applyBorder="1" applyAlignment="1">
      <alignment horizontal="center"/>
    </xf>
    <xf numFmtId="0" fontId="16" fillId="0" borderId="0" xfId="0" applyFont="1"/>
    <xf numFmtId="0" fontId="16" fillId="0" borderId="0" xfId="0" applyFont="1" applyFill="1"/>
    <xf numFmtId="0" fontId="22" fillId="34" borderId="31" xfId="0" applyFont="1" applyFill="1" applyBorder="1"/>
    <xf numFmtId="0" fontId="22" fillId="34" borderId="27" xfId="0" applyFont="1" applyFill="1" applyBorder="1"/>
    <xf numFmtId="0" fontId="22" fillId="34" borderId="11" xfId="0" applyFont="1" applyFill="1" applyBorder="1"/>
    <xf numFmtId="0" fontId="22" fillId="34" borderId="0" xfId="0" applyFont="1" applyFill="1" applyBorder="1"/>
    <xf numFmtId="0" fontId="22" fillId="34" borderId="0" xfId="0" applyFont="1" applyFill="1"/>
    <xf numFmtId="0" fontId="19" fillId="34" borderId="10" xfId="0" applyFont="1" applyFill="1" applyBorder="1"/>
    <xf numFmtId="3" fontId="22" fillId="34" borderId="31" xfId="0" applyNumberFormat="1" applyFont="1" applyFill="1" applyBorder="1"/>
    <xf numFmtId="3" fontId="22" fillId="34" borderId="11" xfId="0" applyNumberFormat="1" applyFont="1" applyFill="1" applyBorder="1"/>
    <xf numFmtId="3" fontId="22" fillId="34" borderId="0" xfId="0" applyNumberFormat="1" applyFont="1" applyFill="1" applyBorder="1"/>
    <xf numFmtId="0" fontId="22" fillId="34" borderId="26" xfId="0" applyFont="1" applyFill="1" applyBorder="1"/>
    <xf numFmtId="0" fontId="22" fillId="34" borderId="14" xfId="0" applyFont="1" applyFill="1" applyBorder="1"/>
    <xf numFmtId="0" fontId="22" fillId="34" borderId="12" xfId="0" applyFont="1" applyFill="1" applyBorder="1"/>
    <xf numFmtId="0" fontId="22" fillId="34" borderId="10" xfId="0" applyFont="1" applyFill="1" applyBorder="1"/>
    <xf numFmtId="14" fontId="95" fillId="25" borderId="0" xfId="0" applyNumberFormat="1" applyFont="1" applyFill="1" applyAlignment="1" applyProtection="1">
      <alignment horizontal="right" vertical="center"/>
    </xf>
    <xf numFmtId="0" fontId="16" fillId="34" borderId="0" xfId="0" applyFont="1" applyFill="1" applyBorder="1"/>
    <xf numFmtId="0" fontId="22" fillId="34" borderId="13" xfId="0" applyFont="1" applyFill="1" applyBorder="1"/>
    <xf numFmtId="0" fontId="28" fillId="34" borderId="0" xfId="0" applyFont="1" applyFill="1" applyAlignment="1" applyProtection="1">
      <alignment horizontal="left" vertical="center"/>
    </xf>
    <xf numFmtId="0" fontId="49" fillId="34" borderId="28" xfId="0" applyFont="1" applyFill="1" applyBorder="1" applyAlignment="1" applyProtection="1">
      <alignment horizontal="center" vertical="center"/>
    </xf>
    <xf numFmtId="0" fontId="49" fillId="34" borderId="42" xfId="0" applyFont="1" applyFill="1" applyBorder="1" applyAlignment="1" applyProtection="1">
      <alignment horizontal="center" vertical="center"/>
      <protection locked="0"/>
    </xf>
    <xf numFmtId="0" fontId="57" fillId="34" borderId="42" xfId="0" applyFont="1" applyFill="1" applyBorder="1" applyAlignment="1" applyProtection="1">
      <alignment horizontal="center" vertical="center"/>
    </xf>
    <xf numFmtId="0" fontId="58" fillId="34" borderId="21" xfId="0" quotePrefix="1" applyFont="1" applyFill="1" applyBorder="1"/>
    <xf numFmtId="0" fontId="22" fillId="34" borderId="15" xfId="0" applyFont="1" applyFill="1" applyBorder="1"/>
    <xf numFmtId="0" fontId="19" fillId="34" borderId="10" xfId="0" quotePrefix="1" applyFont="1" applyFill="1" applyBorder="1"/>
    <xf numFmtId="0" fontId="9" fillId="34" borderId="0" xfId="0" applyFont="1" applyFill="1" applyBorder="1"/>
    <xf numFmtId="0" fontId="9" fillId="34" borderId="13" xfId="0" applyFont="1" applyFill="1" applyBorder="1" applyAlignment="1">
      <alignment horizontal="left"/>
    </xf>
    <xf numFmtId="0" fontId="46" fillId="34" borderId="13" xfId="41" applyFont="1" applyFill="1" applyBorder="1" applyAlignment="1">
      <alignment horizontal="center"/>
    </xf>
    <xf numFmtId="0" fontId="9" fillId="0" borderId="0" xfId="0" applyFont="1" applyFill="1" applyAlignment="1">
      <alignment horizontal="center" vertical="center"/>
    </xf>
    <xf numFmtId="0" fontId="27" fillId="34" borderId="0" xfId="0" applyFont="1" applyFill="1" applyAlignment="1">
      <alignment vertical="center"/>
    </xf>
    <xf numFmtId="0" fontId="16" fillId="34" borderId="0" xfId="0" applyFont="1" applyFill="1" applyAlignment="1">
      <alignment horizontal="centerContinuous" vertical="center"/>
    </xf>
    <xf numFmtId="0" fontId="25" fillId="34" borderId="0" xfId="0" applyFont="1" applyFill="1" applyAlignment="1">
      <alignment horizontal="centerContinuous" vertical="center"/>
    </xf>
    <xf numFmtId="0" fontId="115" fillId="0" borderId="220" xfId="3" applyFont="1" applyBorder="1" applyAlignment="1">
      <alignment horizontal="left" vertical="center" wrapText="1"/>
    </xf>
    <xf numFmtId="0" fontId="8" fillId="41" borderId="199" xfId="3" applyFont="1" applyFill="1" applyBorder="1" applyAlignment="1">
      <alignment horizontal="center" vertical="center"/>
    </xf>
    <xf numFmtId="0" fontId="147" fillId="41" borderId="34" xfId="3" applyFont="1" applyFill="1" applyBorder="1" applyAlignment="1">
      <alignment horizontal="left" vertical="center"/>
    </xf>
    <xf numFmtId="0" fontId="8" fillId="41" borderId="34" xfId="3" applyFont="1" applyFill="1" applyBorder="1" applyAlignment="1">
      <alignment horizontal="center" vertical="center"/>
    </xf>
    <xf numFmtId="0" fontId="8" fillId="41" borderId="200" xfId="3" applyFont="1" applyFill="1" applyBorder="1" applyAlignment="1">
      <alignment horizontal="left" vertical="center"/>
    </xf>
    <xf numFmtId="0" fontId="8" fillId="41" borderId="34" xfId="3" applyFont="1" applyFill="1" applyBorder="1" applyAlignment="1">
      <alignment horizontal="left" vertical="center"/>
    </xf>
    <xf numFmtId="0" fontId="8" fillId="41" borderId="268" xfId="3" applyFont="1" applyFill="1" applyBorder="1" applyAlignment="1">
      <alignment horizontal="center" vertical="center"/>
    </xf>
    <xf numFmtId="0" fontId="8" fillId="41" borderId="130" xfId="3" applyFont="1" applyFill="1" applyBorder="1" applyAlignment="1">
      <alignment horizontal="left" vertical="center"/>
    </xf>
    <xf numFmtId="0" fontId="8" fillId="41" borderId="130" xfId="3" applyFont="1" applyFill="1" applyBorder="1" applyAlignment="1">
      <alignment horizontal="center" vertical="center"/>
    </xf>
    <xf numFmtId="0" fontId="8" fillId="41" borderId="220" xfId="3" applyFont="1" applyFill="1" applyBorder="1" applyAlignment="1">
      <alignment horizontal="left" vertical="center"/>
    </xf>
    <xf numFmtId="0" fontId="14" fillId="0" borderId="10" xfId="40" applyFont="1" applyBorder="1"/>
    <xf numFmtId="169" fontId="48" fillId="0" borderId="0" xfId="41" applyNumberFormat="1" applyFont="1" applyBorder="1" applyAlignment="1">
      <alignment horizontal="right" vertical="top"/>
    </xf>
    <xf numFmtId="169" fontId="161" fillId="25" borderId="42" xfId="41" applyNumberFormat="1" applyFont="1" applyFill="1" applyBorder="1" applyAlignment="1">
      <alignment horizontal="right" vertical="top"/>
    </xf>
    <xf numFmtId="0" fontId="85" fillId="0" borderId="42" xfId="0" applyFont="1" applyBorder="1" applyAlignment="1" applyProtection="1">
      <alignment horizontal="center" vertical="center"/>
    </xf>
    <xf numFmtId="0" fontId="11" fillId="25" borderId="0" xfId="0" applyFont="1" applyFill="1" applyBorder="1" applyAlignment="1">
      <alignment horizontal="center" vertical="center"/>
    </xf>
    <xf numFmtId="0" fontId="62" fillId="25" borderId="0" xfId="0" applyFont="1" applyFill="1" applyBorder="1" applyAlignment="1">
      <alignment horizontal="left" vertical="center"/>
    </xf>
    <xf numFmtId="0" fontId="77" fillId="0" borderId="0" xfId="0" applyFont="1" applyAlignment="1">
      <alignment horizontal="center" vertical="center"/>
    </xf>
    <xf numFmtId="0" fontId="85" fillId="0" borderId="0" xfId="0" applyFont="1" applyAlignment="1">
      <alignment horizontal="center" vertical="center"/>
    </xf>
    <xf numFmtId="0" fontId="73" fillId="0" borderId="0" xfId="0" applyFont="1" applyAlignment="1">
      <alignment horizontal="center" vertical="center"/>
    </xf>
    <xf numFmtId="0" fontId="134" fillId="25" borderId="0" xfId="0" applyFont="1" applyFill="1" applyBorder="1" applyAlignment="1">
      <alignment horizontal="center" vertical="center"/>
    </xf>
    <xf numFmtId="0" fontId="27" fillId="26" borderId="16" xfId="0" applyFont="1" applyFill="1" applyBorder="1" applyAlignment="1">
      <alignment horizontal="center" vertical="center"/>
    </xf>
    <xf numFmtId="0" fontId="27" fillId="0" borderId="15" xfId="0" applyFont="1" applyFill="1" applyBorder="1" applyAlignment="1">
      <alignment horizontal="center" vertical="center"/>
    </xf>
    <xf numFmtId="0" fontId="27" fillId="26" borderId="15" xfId="0" applyFont="1" applyFill="1" applyBorder="1" applyAlignment="1">
      <alignment horizontal="center" vertical="center"/>
    </xf>
    <xf numFmtId="0" fontId="27" fillId="0" borderId="13" xfId="0" applyFont="1" applyFill="1" applyBorder="1" applyAlignment="1">
      <alignment horizontal="center" vertical="center"/>
    </xf>
    <xf numFmtId="0" fontId="127" fillId="34" borderId="0" xfId="0" applyFont="1" applyFill="1" applyBorder="1" applyAlignment="1">
      <alignment horizontal="left" vertical="center"/>
    </xf>
    <xf numFmtId="0" fontId="85" fillId="34" borderId="0" xfId="0" applyFont="1" applyFill="1" applyBorder="1" applyAlignment="1">
      <alignment vertical="center"/>
    </xf>
    <xf numFmtId="169" fontId="127" fillId="34" borderId="0" xfId="0" applyNumberFormat="1" applyFont="1" applyFill="1" applyBorder="1" applyAlignment="1">
      <alignment vertical="center"/>
    </xf>
    <xf numFmtId="0" fontId="85" fillId="34" borderId="167" xfId="0" applyFont="1" applyFill="1" applyBorder="1" applyAlignment="1">
      <alignment vertical="center"/>
    </xf>
    <xf numFmtId="169" fontId="85" fillId="34" borderId="168" xfId="0" applyNumberFormat="1" applyFont="1" applyFill="1" applyBorder="1" applyAlignment="1">
      <alignment vertical="center"/>
    </xf>
    <xf numFmtId="0" fontId="85" fillId="34" borderId="0" xfId="0" applyFont="1" applyFill="1" applyAlignment="1">
      <alignment horizontal="left" vertical="center"/>
    </xf>
    <xf numFmtId="0" fontId="85" fillId="34" borderId="0" xfId="0" applyFont="1" applyFill="1" applyAlignment="1">
      <alignment vertical="center"/>
    </xf>
    <xf numFmtId="0" fontId="127" fillId="34" borderId="175" xfId="0" applyFont="1" applyFill="1" applyBorder="1" applyAlignment="1">
      <alignment vertical="center"/>
    </xf>
    <xf numFmtId="0" fontId="85" fillId="34" borderId="167" xfId="0" applyFont="1" applyFill="1" applyBorder="1" applyAlignment="1">
      <alignment horizontal="left" vertical="center"/>
    </xf>
    <xf numFmtId="0" fontId="131" fillId="34" borderId="0" xfId="0" applyFont="1" applyFill="1" applyBorder="1" applyAlignment="1">
      <alignment vertical="center"/>
    </xf>
    <xf numFmtId="0" fontId="94" fillId="34" borderId="167" xfId="0" applyFont="1" applyFill="1" applyBorder="1" applyAlignment="1">
      <alignment horizontal="left" vertical="center"/>
    </xf>
    <xf numFmtId="169" fontId="85" fillId="34" borderId="173" xfId="0" applyNumberFormat="1" applyFont="1" applyFill="1" applyBorder="1" applyAlignment="1">
      <alignment vertical="center"/>
    </xf>
    <xf numFmtId="0" fontId="85" fillId="34" borderId="169" xfId="0" applyFont="1" applyFill="1" applyBorder="1" applyAlignment="1">
      <alignment vertical="center"/>
    </xf>
    <xf numFmtId="0" fontId="85" fillId="34" borderId="13" xfId="0" applyFont="1" applyFill="1" applyBorder="1" applyAlignment="1">
      <alignment vertical="center"/>
    </xf>
    <xf numFmtId="0" fontId="127" fillId="34" borderId="157" xfId="0" applyFont="1" applyFill="1" applyBorder="1" applyAlignment="1">
      <alignment horizontal="centerContinuous" vertical="center"/>
    </xf>
    <xf numFmtId="0" fontId="127" fillId="34" borderId="158" xfId="0" applyFont="1" applyFill="1" applyBorder="1" applyAlignment="1">
      <alignment horizontal="center" vertical="center"/>
    </xf>
    <xf numFmtId="0" fontId="85" fillId="34" borderId="159" xfId="0" applyFont="1" applyFill="1" applyBorder="1" applyAlignment="1">
      <alignment horizontal="centerContinuous" vertical="center"/>
    </xf>
    <xf numFmtId="0" fontId="85" fillId="34" borderId="0" xfId="0" applyFont="1" applyFill="1" applyBorder="1" applyAlignment="1">
      <alignment horizontal="left" vertical="center"/>
    </xf>
    <xf numFmtId="0" fontId="85" fillId="34" borderId="160" xfId="0" applyFont="1" applyFill="1" applyBorder="1" applyAlignment="1">
      <alignment horizontal="left" vertical="center"/>
    </xf>
    <xf numFmtId="0" fontId="127" fillId="34" borderId="167" xfId="0" applyFont="1" applyFill="1" applyBorder="1" applyAlignment="1">
      <alignment horizontal="center" vertical="center"/>
    </xf>
    <xf numFmtId="0" fontId="6" fillId="34" borderId="0" xfId="0" applyFont="1" applyFill="1" applyBorder="1" applyAlignment="1">
      <alignment horizontal="center" vertical="center"/>
    </xf>
    <xf numFmtId="0" fontId="6" fillId="34" borderId="168" xfId="0" applyFont="1" applyFill="1" applyBorder="1" applyAlignment="1">
      <alignment horizontal="center" vertical="center"/>
    </xf>
    <xf numFmtId="0" fontId="85" fillId="34" borderId="160" xfId="0" applyFont="1" applyFill="1" applyBorder="1" applyAlignment="1">
      <alignment vertical="center"/>
    </xf>
    <xf numFmtId="0" fontId="127" fillId="34" borderId="0" xfId="0" applyFont="1" applyFill="1" applyBorder="1" applyAlignment="1">
      <alignment horizontal="center" vertical="center"/>
    </xf>
    <xf numFmtId="0" fontId="127" fillId="34" borderId="168" xfId="0" applyFont="1" applyFill="1" applyBorder="1" applyAlignment="1">
      <alignment horizontal="center" vertical="center"/>
    </xf>
    <xf numFmtId="0" fontId="94" fillId="34" borderId="160" xfId="0" applyFont="1" applyFill="1" applyBorder="1" applyAlignment="1">
      <alignment horizontal="left" vertical="center"/>
    </xf>
    <xf numFmtId="0" fontId="85" fillId="34" borderId="168" xfId="0" applyFont="1" applyFill="1" applyBorder="1" applyAlignment="1">
      <alignment vertical="center"/>
    </xf>
    <xf numFmtId="0" fontId="131" fillId="34" borderId="162" xfId="0" applyFont="1" applyFill="1" applyBorder="1" applyAlignment="1">
      <alignment horizontal="left" vertical="center"/>
    </xf>
    <xf numFmtId="0" fontId="85" fillId="34" borderId="153" xfId="0" applyFont="1" applyFill="1" applyBorder="1" applyAlignment="1">
      <alignment vertical="center"/>
    </xf>
    <xf numFmtId="0" fontId="185" fillId="0" borderId="0" xfId="146" applyFont="1" applyBorder="1" applyAlignment="1" applyProtection="1"/>
    <xf numFmtId="0" fontId="6" fillId="0" borderId="269" xfId="58" applyBorder="1" applyAlignment="1">
      <alignment horizontal="left" indent="1"/>
    </xf>
    <xf numFmtId="0" fontId="6" fillId="0" borderId="270" xfId="58" applyBorder="1" applyAlignment="1">
      <alignment vertical="center"/>
    </xf>
    <xf numFmtId="0" fontId="6" fillId="0" borderId="270" xfId="58" applyBorder="1"/>
    <xf numFmtId="0" fontId="60" fillId="0" borderId="270" xfId="58" applyFont="1" applyBorder="1"/>
    <xf numFmtId="0" fontId="6" fillId="0" borderId="271" xfId="58" applyBorder="1"/>
    <xf numFmtId="0" fontId="6" fillId="0" borderId="0" xfId="58"/>
    <xf numFmtId="0" fontId="6" fillId="0" borderId="272" xfId="58" applyBorder="1" applyAlignment="1">
      <alignment horizontal="left" indent="1"/>
    </xf>
    <xf numFmtId="0" fontId="6" fillId="0" borderId="0" xfId="58" applyBorder="1"/>
    <xf numFmtId="0" fontId="6" fillId="0" borderId="273" xfId="58" applyBorder="1"/>
    <xf numFmtId="49" fontId="8" fillId="0" borderId="273" xfId="58" applyNumberFormat="1" applyFont="1" applyBorder="1" applyAlignment="1">
      <alignment horizontal="right"/>
    </xf>
    <xf numFmtId="0" fontId="24" fillId="0" borderId="0" xfId="58" applyFont="1" applyAlignment="1">
      <alignment vertical="center"/>
    </xf>
    <xf numFmtId="0" fontId="6" fillId="0" borderId="272" xfId="58" applyFont="1" applyBorder="1" applyAlignment="1">
      <alignment horizontal="left" indent="1"/>
    </xf>
    <xf numFmtId="0" fontId="6" fillId="0" borderId="0" xfId="58" applyFont="1" applyBorder="1"/>
    <xf numFmtId="0" fontId="6" fillId="0" borderId="273" xfId="58" applyFont="1" applyBorder="1"/>
    <xf numFmtId="0" fontId="9" fillId="0" borderId="272" xfId="58" applyFont="1" applyBorder="1" applyAlignment="1">
      <alignment horizontal="left" indent="1"/>
    </xf>
    <xf numFmtId="0" fontId="9" fillId="0" borderId="0" xfId="58" applyFont="1" applyBorder="1"/>
    <xf numFmtId="0" fontId="67" fillId="0" borderId="0" xfId="58" applyFont="1" applyBorder="1"/>
    <xf numFmtId="0" fontId="9" fillId="0" borderId="273" xfId="58" applyFont="1" applyBorder="1"/>
    <xf numFmtId="0" fontId="9" fillId="0" borderId="0" xfId="58" applyFont="1"/>
    <xf numFmtId="0" fontId="115" fillId="0" borderId="0" xfId="58" applyFont="1" applyBorder="1" applyAlignment="1">
      <alignment vertical="top"/>
    </xf>
    <xf numFmtId="0" fontId="6" fillId="0" borderId="272" xfId="58" applyBorder="1" applyAlignment="1">
      <alignment horizontal="left" vertical="top" indent="1"/>
    </xf>
    <xf numFmtId="0" fontId="6" fillId="0" borderId="0" xfId="58" applyFont="1" applyBorder="1" applyAlignment="1">
      <alignment vertical="top"/>
    </xf>
    <xf numFmtId="0" fontId="148" fillId="0" borderId="0" xfId="58" applyFont="1" applyBorder="1" applyAlignment="1">
      <alignment vertical="top"/>
    </xf>
    <xf numFmtId="0" fontId="148" fillId="0" borderId="0" xfId="58" applyFont="1" applyBorder="1" applyAlignment="1">
      <alignment horizontal="center"/>
    </xf>
    <xf numFmtId="0" fontId="94" fillId="0" borderId="0" xfId="58" applyFont="1" applyBorder="1" applyAlignment="1">
      <alignment horizontal="left"/>
    </xf>
    <xf numFmtId="0" fontId="13" fillId="0" borderId="272" xfId="58" applyFont="1" applyBorder="1" applyAlignment="1">
      <alignment horizontal="left" indent="1"/>
    </xf>
    <xf numFmtId="0" fontId="13" fillId="0" borderId="0" xfId="58" applyFont="1" applyBorder="1"/>
    <xf numFmtId="0" fontId="13" fillId="0" borderId="273" xfId="58" applyFont="1" applyBorder="1"/>
    <xf numFmtId="0" fontId="22" fillId="0" borderId="0" xfId="58" applyFont="1"/>
    <xf numFmtId="0" fontId="181" fillId="0" borderId="272" xfId="58" applyFont="1" applyBorder="1" applyAlignment="1">
      <alignment horizontal="left" indent="1"/>
    </xf>
    <xf numFmtId="0" fontId="33" fillId="0" borderId="272" xfId="58" applyFont="1" applyBorder="1" applyAlignment="1">
      <alignment horizontal="right"/>
    </xf>
    <xf numFmtId="0" fontId="33" fillId="0" borderId="0" xfId="58" applyFont="1" applyBorder="1" applyAlignment="1">
      <alignment horizontal="right" indent="2"/>
    </xf>
    <xf numFmtId="0" fontId="13" fillId="0" borderId="272" xfId="58" quotePrefix="1" applyFont="1" applyBorder="1" applyAlignment="1">
      <alignment horizontal="left" indent="1"/>
    </xf>
    <xf numFmtId="0" fontId="15" fillId="0" borderId="272" xfId="58" applyFont="1" applyBorder="1" applyAlignment="1">
      <alignment horizontal="left" indent="1"/>
    </xf>
    <xf numFmtId="0" fontId="24" fillId="0" borderId="0" xfId="58" applyFont="1"/>
    <xf numFmtId="0" fontId="42" fillId="0" borderId="0" xfId="58" applyFont="1" applyBorder="1"/>
    <xf numFmtId="0" fontId="44" fillId="0" borderId="0" xfId="58" applyFont="1"/>
    <xf numFmtId="0" fontId="182" fillId="0" borderId="0" xfId="58" applyFont="1" applyBorder="1"/>
    <xf numFmtId="0" fontId="183" fillId="0" borderId="0" xfId="58" applyFont="1" applyBorder="1"/>
    <xf numFmtId="0" fontId="184" fillId="0" borderId="0" xfId="58" applyFont="1" applyBorder="1"/>
    <xf numFmtId="0" fontId="6" fillId="0" borderId="0" xfId="58" applyAlignment="1">
      <alignment horizontal="left" indent="1"/>
    </xf>
    <xf numFmtId="0" fontId="27" fillId="34" borderId="15" xfId="0" applyFont="1" applyFill="1" applyBorder="1" applyAlignment="1">
      <alignment horizontal="center" vertical="center"/>
    </xf>
    <xf numFmtId="0" fontId="127" fillId="34" borderId="10" xfId="0" applyFont="1" applyFill="1" applyBorder="1" applyAlignment="1" applyProtection="1">
      <alignment vertical="center"/>
    </xf>
    <xf numFmtId="0" fontId="85" fillId="34" borderId="0" xfId="0" applyFont="1" applyFill="1" applyBorder="1" applyAlignment="1" applyProtection="1">
      <alignment vertical="center"/>
    </xf>
    <xf numFmtId="0" fontId="85" fillId="34" borderId="0" xfId="0" applyFont="1" applyFill="1" applyBorder="1" applyAlignment="1" applyProtection="1">
      <alignment horizontal="center" vertical="center"/>
    </xf>
    <xf numFmtId="0" fontId="85" fillId="34" borderId="11" xfId="0" applyFont="1" applyFill="1" applyBorder="1" applyAlignment="1" applyProtection="1">
      <alignment vertical="center"/>
    </xf>
    <xf numFmtId="0" fontId="85" fillId="34" borderId="12" xfId="0" applyFont="1" applyFill="1" applyBorder="1" applyAlignment="1">
      <alignment vertical="center"/>
    </xf>
    <xf numFmtId="0" fontId="85" fillId="34" borderId="13" xfId="0" applyFont="1" applyFill="1" applyBorder="1" applyAlignment="1">
      <alignment horizontal="center" vertical="center"/>
    </xf>
    <xf numFmtId="0" fontId="85" fillId="34" borderId="14" xfId="0" applyFont="1" applyFill="1" applyBorder="1" applyAlignment="1">
      <alignment vertical="center"/>
    </xf>
    <xf numFmtId="3" fontId="130" fillId="34" borderId="13" xfId="0" applyNumberFormat="1" applyFont="1" applyFill="1" applyBorder="1" applyAlignment="1" applyProtection="1">
      <alignment horizontal="left" vertical="center" wrapText="1"/>
      <protection locked="0"/>
    </xf>
    <xf numFmtId="3" fontId="130" fillId="34" borderId="13" xfId="0" applyNumberFormat="1" applyFont="1" applyFill="1" applyBorder="1" applyAlignment="1" applyProtection="1">
      <alignment horizontal="center" vertical="center" wrapText="1"/>
      <protection locked="0"/>
    </xf>
    <xf numFmtId="0" fontId="85" fillId="34" borderId="154" xfId="0" applyFont="1" applyFill="1" applyBorder="1" applyAlignment="1">
      <alignment vertical="center"/>
    </xf>
    <xf numFmtId="169" fontId="127" fillId="40" borderId="166" xfId="0" applyNumberFormat="1" applyFont="1" applyFill="1" applyBorder="1" applyAlignment="1">
      <alignment vertical="center"/>
    </xf>
    <xf numFmtId="169" fontId="127" fillId="40" borderId="163" xfId="0" applyNumberFormat="1" applyFont="1" applyFill="1" applyBorder="1" applyAlignment="1">
      <alignment vertical="center"/>
    </xf>
    <xf numFmtId="169" fontId="85" fillId="40" borderId="168" xfId="0" applyNumberFormat="1" applyFont="1" applyFill="1" applyBorder="1" applyAlignment="1">
      <alignment vertical="center"/>
    </xf>
    <xf numFmtId="169" fontId="85" fillId="40" borderId="161" xfId="0" applyNumberFormat="1" applyFont="1" applyFill="1" applyBorder="1" applyAlignment="1">
      <alignment vertical="center"/>
    </xf>
    <xf numFmtId="3" fontId="22" fillId="40" borderId="11" xfId="0" applyNumberFormat="1" applyFont="1" applyFill="1" applyBorder="1"/>
    <xf numFmtId="3" fontId="22" fillId="40" borderId="31" xfId="0" applyNumberFormat="1" applyFont="1" applyFill="1" applyBorder="1"/>
    <xf numFmtId="3" fontId="22" fillId="40" borderId="14" xfId="0" applyNumberFormat="1" applyFont="1" applyFill="1" applyBorder="1"/>
    <xf numFmtId="3" fontId="22" fillId="40" borderId="26" xfId="0" applyNumberFormat="1" applyFont="1" applyFill="1" applyBorder="1"/>
    <xf numFmtId="0" fontId="34" fillId="34" borderId="10" xfId="0" applyFont="1" applyFill="1" applyBorder="1"/>
    <xf numFmtId="0" fontId="14" fillId="34" borderId="26" xfId="0" applyFont="1" applyFill="1" applyBorder="1"/>
    <xf numFmtId="0" fontId="22" fillId="40" borderId="20" xfId="0" applyFont="1" applyFill="1" applyBorder="1"/>
    <xf numFmtId="0" fontId="24" fillId="40" borderId="16" xfId="0" applyFont="1" applyFill="1" applyBorder="1" applyAlignment="1">
      <alignment horizontal="centerContinuous"/>
    </xf>
    <xf numFmtId="170" fontId="22" fillId="40" borderId="14" xfId="0" applyNumberFormat="1" applyFont="1" applyFill="1" applyBorder="1"/>
    <xf numFmtId="0" fontId="22" fillId="40" borderId="21" xfId="0" applyFont="1" applyFill="1" applyBorder="1"/>
    <xf numFmtId="0" fontId="22" fillId="40" borderId="15" xfId="0" applyFont="1" applyFill="1" applyBorder="1" applyAlignment="1">
      <alignment horizontal="center"/>
    </xf>
    <xf numFmtId="0" fontId="22" fillId="40" borderId="12" xfId="0" applyFont="1" applyFill="1" applyBorder="1"/>
    <xf numFmtId="0" fontId="22" fillId="40" borderId="13" xfId="0" applyFont="1" applyFill="1" applyBorder="1" applyAlignment="1">
      <alignment horizontal="center"/>
    </xf>
    <xf numFmtId="3" fontId="41" fillId="40" borderId="50" xfId="0" applyNumberFormat="1" applyFont="1" applyFill="1" applyBorder="1" applyAlignment="1">
      <alignment horizontal="right" vertical="center"/>
    </xf>
    <xf numFmtId="3" fontId="37" fillId="40" borderId="51" xfId="0" applyNumberFormat="1" applyFont="1" applyFill="1" applyBorder="1" applyAlignment="1">
      <alignment horizontal="right"/>
    </xf>
    <xf numFmtId="3" fontId="37" fillId="40" borderId="61" xfId="0" applyNumberFormat="1" applyFont="1" applyFill="1" applyBorder="1" applyAlignment="1">
      <alignment horizontal="right"/>
    </xf>
    <xf numFmtId="3" fontId="40" fillId="40" borderId="49" xfId="0" applyNumberFormat="1" applyFont="1" applyFill="1" applyBorder="1" applyAlignment="1">
      <alignment horizontal="right" vertical="center"/>
    </xf>
    <xf numFmtId="3" fontId="40" fillId="40" borderId="52" xfId="0" applyNumberFormat="1" applyFont="1" applyFill="1" applyBorder="1" applyAlignment="1">
      <alignment horizontal="right" vertical="center"/>
    </xf>
    <xf numFmtId="9" fontId="42" fillId="40" borderId="51" xfId="44" applyFont="1" applyFill="1" applyBorder="1" applyAlignment="1">
      <alignment horizontal="right" vertical="center"/>
    </xf>
    <xf numFmtId="9" fontId="42" fillId="40" borderId="54" xfId="44" applyFont="1" applyFill="1" applyBorder="1" applyAlignment="1">
      <alignment horizontal="right" vertical="center"/>
    </xf>
    <xf numFmtId="3" fontId="37" fillId="48" borderId="61" xfId="0" applyNumberFormat="1" applyFont="1" applyFill="1" applyBorder="1" applyAlignment="1">
      <alignment horizontal="right"/>
    </xf>
    <xf numFmtId="3" fontId="37" fillId="48" borderId="62" xfId="0" applyNumberFormat="1" applyFont="1" applyFill="1" applyBorder="1" applyAlignment="1">
      <alignment horizontal="right"/>
    </xf>
    <xf numFmtId="3" fontId="44" fillId="40" borderId="49" xfId="0" applyNumberFormat="1" applyFont="1" applyFill="1" applyBorder="1" applyAlignment="1">
      <alignment horizontal="right" vertical="center"/>
    </xf>
    <xf numFmtId="3" fontId="44" fillId="40" borderId="51" xfId="0" applyNumberFormat="1" applyFont="1" applyFill="1" applyBorder="1" applyAlignment="1">
      <alignment horizontal="right" vertical="center"/>
    </xf>
    <xf numFmtId="3" fontId="40" fillId="48" borderId="49" xfId="0" applyNumberFormat="1" applyFont="1" applyFill="1" applyBorder="1" applyAlignment="1">
      <alignment horizontal="right" vertical="center"/>
    </xf>
    <xf numFmtId="9" fontId="42" fillId="48" borderId="51" xfId="44" applyFont="1" applyFill="1" applyBorder="1" applyAlignment="1">
      <alignment horizontal="right" vertical="center"/>
    </xf>
    <xf numFmtId="3" fontId="37" fillId="40" borderId="58" xfId="0" applyNumberFormat="1" applyFont="1" applyFill="1" applyBorder="1" applyAlignment="1">
      <alignment horizontal="right"/>
    </xf>
    <xf numFmtId="0" fontId="37" fillId="34" borderId="57" xfId="0" applyFont="1" applyFill="1" applyBorder="1"/>
    <xf numFmtId="0" fontId="36" fillId="37" borderId="47" xfId="0" applyFont="1" applyFill="1" applyBorder="1" applyAlignment="1">
      <alignment horizontal="left" indent="1"/>
    </xf>
    <xf numFmtId="0" fontId="36" fillId="37" borderId="48" xfId="0" applyFont="1" applyFill="1" applyBorder="1" applyAlignment="1">
      <alignment horizontal="left" indent="1"/>
    </xf>
    <xf numFmtId="14" fontId="102" fillId="25" borderId="11" xfId="0" applyNumberFormat="1" applyFont="1" applyFill="1" applyBorder="1" applyAlignment="1">
      <alignment horizontal="right"/>
    </xf>
    <xf numFmtId="0" fontId="203" fillId="25" borderId="0" xfId="0" applyFont="1" applyFill="1"/>
    <xf numFmtId="0" fontId="203" fillId="25" borderId="0" xfId="0" applyFont="1" applyFill="1" applyAlignment="1">
      <alignment vertical="center"/>
    </xf>
    <xf numFmtId="173" fontId="69" fillId="34" borderId="37" xfId="0" applyNumberFormat="1" applyFont="1" applyFill="1" applyBorder="1" applyAlignment="1" applyProtection="1">
      <alignment vertical="center"/>
      <protection locked="0"/>
    </xf>
    <xf numFmtId="173" fontId="69" fillId="34" borderId="35" xfId="0" applyNumberFormat="1" applyFont="1" applyFill="1" applyBorder="1" applyAlignment="1" applyProtection="1">
      <alignment vertical="center"/>
      <protection locked="0"/>
    </xf>
    <xf numFmtId="173" fontId="9" fillId="34" borderId="35" xfId="0" applyNumberFormat="1" applyFont="1" applyFill="1" applyBorder="1" applyAlignment="1">
      <alignment vertical="center"/>
    </xf>
    <xf numFmtId="173" fontId="9" fillId="34" borderId="82" xfId="0" applyNumberFormat="1" applyFont="1" applyFill="1" applyBorder="1" applyAlignment="1">
      <alignment vertical="center"/>
    </xf>
    <xf numFmtId="173" fontId="69" fillId="34" borderId="104" xfId="0" applyNumberFormat="1" applyFont="1" applyFill="1" applyBorder="1" applyAlignment="1" applyProtection="1">
      <alignment vertical="center"/>
      <protection locked="0"/>
    </xf>
    <xf numFmtId="173" fontId="69" fillId="34" borderId="84" xfId="0" applyNumberFormat="1" applyFont="1" applyFill="1" applyBorder="1" applyAlignment="1" applyProtection="1">
      <alignment vertical="center"/>
      <protection locked="0"/>
    </xf>
    <xf numFmtId="173" fontId="9" fillId="34" borderId="84" xfId="0" applyNumberFormat="1" applyFont="1" applyFill="1" applyBorder="1" applyAlignment="1">
      <alignment vertical="center"/>
    </xf>
    <xf numFmtId="173" fontId="9" fillId="34" borderId="85" xfId="0" applyNumberFormat="1" applyFont="1" applyFill="1" applyBorder="1" applyAlignment="1">
      <alignment vertical="center"/>
    </xf>
    <xf numFmtId="170" fontId="41" fillId="28" borderId="14" xfId="41" applyNumberFormat="1" applyFont="1" applyFill="1" applyBorder="1" applyAlignment="1">
      <alignment horizontal="center" vertical="top" wrapText="1"/>
    </xf>
    <xf numFmtId="0" fontId="32" fillId="35" borderId="0" xfId="41" applyFont="1" applyFill="1" applyBorder="1" applyAlignment="1">
      <alignment horizontal="left" vertical="center"/>
    </xf>
    <xf numFmtId="0" fontId="127" fillId="34" borderId="0" xfId="0" applyFont="1" applyFill="1" applyAlignment="1">
      <alignment horizontal="left" vertical="center"/>
    </xf>
    <xf numFmtId="17" fontId="12" fillId="25" borderId="0" xfId="0" applyNumberFormat="1" applyFont="1" applyFill="1" applyBorder="1" applyAlignment="1">
      <alignment horizontal="center" vertical="center"/>
    </xf>
    <xf numFmtId="173" fontId="9" fillId="40" borderId="134" xfId="0" applyNumberFormat="1" applyFont="1" applyFill="1" applyBorder="1" applyAlignment="1">
      <alignment vertical="center"/>
    </xf>
    <xf numFmtId="173" fontId="9" fillId="40" borderId="136" xfId="0" applyNumberFormat="1" applyFont="1" applyFill="1" applyBorder="1" applyAlignment="1">
      <alignment vertical="center"/>
    </xf>
    <xf numFmtId="172" fontId="79" fillId="40" borderId="136" xfId="0" applyNumberFormat="1" applyFont="1" applyFill="1" applyBorder="1" applyAlignment="1">
      <alignment vertical="center"/>
    </xf>
    <xf numFmtId="173" fontId="69" fillId="40" borderId="136" xfId="0" applyNumberFormat="1" applyFont="1" applyFill="1" applyBorder="1" applyAlignment="1">
      <alignment vertical="center"/>
    </xf>
    <xf numFmtId="0" fontId="69" fillId="40" borderId="79" xfId="0" applyFont="1" applyFill="1" applyBorder="1" applyAlignment="1">
      <alignment vertical="center"/>
    </xf>
    <xf numFmtId="3" fontId="69" fillId="40" borderId="35" xfId="0" applyNumberFormat="1" applyFont="1" applyFill="1" applyBorder="1" applyAlignment="1">
      <alignment vertical="center"/>
    </xf>
    <xf numFmtId="3" fontId="69" fillId="40" borderId="108" xfId="0" applyNumberFormat="1" applyFont="1" applyFill="1" applyBorder="1" applyAlignment="1">
      <alignment vertical="center"/>
    </xf>
    <xf numFmtId="0" fontId="69" fillId="40" borderId="112" xfId="0" applyFont="1" applyFill="1" applyBorder="1" applyAlignment="1">
      <alignment vertical="center"/>
    </xf>
    <xf numFmtId="3" fontId="69" fillId="40" borderId="91" xfId="0" applyNumberFormat="1" applyFont="1" applyFill="1" applyBorder="1" applyAlignment="1">
      <alignment vertical="center"/>
    </xf>
    <xf numFmtId="3" fontId="69" fillId="40" borderId="113" xfId="0" applyNumberFormat="1" applyFont="1" applyFill="1" applyBorder="1" applyAlignment="1">
      <alignment vertical="center"/>
    </xf>
    <xf numFmtId="3" fontId="63" fillId="40" borderId="79" xfId="0" applyNumberFormat="1" applyFont="1" applyFill="1" applyBorder="1" applyAlignment="1">
      <alignment vertical="center"/>
    </xf>
    <xf numFmtId="3" fontId="63" fillId="40" borderId="35" xfId="0" applyNumberFormat="1" applyFont="1" applyFill="1" applyBorder="1" applyAlignment="1">
      <alignment vertical="center"/>
    </xf>
    <xf numFmtId="0" fontId="18" fillId="37" borderId="123" xfId="0" quotePrefix="1" applyFont="1" applyFill="1" applyBorder="1" applyAlignment="1">
      <alignment horizontal="center" vertical="center"/>
    </xf>
    <xf numFmtId="0" fontId="18" fillId="37" borderId="281" xfId="0" quotePrefix="1" applyFont="1" applyFill="1" applyBorder="1" applyAlignment="1">
      <alignment horizontal="center" vertical="center"/>
    </xf>
    <xf numFmtId="0" fontId="18" fillId="37" borderId="98" xfId="0" quotePrefix="1" applyFont="1" applyFill="1" applyBorder="1" applyAlignment="1">
      <alignment horizontal="center" vertical="center"/>
    </xf>
    <xf numFmtId="0" fontId="9" fillId="37" borderId="134" xfId="0" quotePrefix="1" applyFont="1" applyFill="1" applyBorder="1" applyAlignment="1">
      <alignment horizontal="center" vertical="center"/>
    </xf>
    <xf numFmtId="0" fontId="9" fillId="37" borderId="136" xfId="0" quotePrefix="1" applyFont="1" applyFill="1" applyBorder="1" applyAlignment="1">
      <alignment horizontal="center" vertical="center"/>
    </xf>
    <xf numFmtId="3" fontId="79" fillId="37" borderId="136" xfId="0" applyNumberFormat="1" applyFont="1" applyFill="1" applyBorder="1" applyAlignment="1">
      <alignment vertical="center"/>
    </xf>
    <xf numFmtId="3" fontId="13" fillId="0" borderId="0" xfId="0" applyNumberFormat="1" applyFont="1" applyFill="1" applyBorder="1" applyAlignment="1">
      <alignment vertical="center"/>
    </xf>
    <xf numFmtId="0" fontId="9" fillId="0" borderId="113" xfId="0" applyFont="1" applyFill="1" applyBorder="1" applyAlignment="1">
      <alignment vertical="center"/>
    </xf>
    <xf numFmtId="0" fontId="9" fillId="0" borderId="92" xfId="0" applyFont="1" applyFill="1" applyBorder="1" applyAlignment="1">
      <alignment vertical="center"/>
    </xf>
    <xf numFmtId="0" fontId="6" fillId="0" borderId="0" xfId="0" applyFont="1" applyFill="1" applyBorder="1" applyAlignment="1">
      <alignment vertical="center"/>
    </xf>
    <xf numFmtId="0" fontId="67" fillId="0" borderId="141" xfId="0" applyFont="1" applyFill="1" applyBorder="1" applyAlignment="1">
      <alignment horizontal="center" vertical="center"/>
    </xf>
    <xf numFmtId="0" fontId="67" fillId="0" borderId="87" xfId="0" applyFont="1" applyFill="1" applyBorder="1" applyAlignment="1">
      <alignment horizontal="center" vertical="center"/>
    </xf>
    <xf numFmtId="0" fontId="67" fillId="0" borderId="147" xfId="0" applyFont="1" applyFill="1" applyBorder="1" applyAlignment="1">
      <alignment horizontal="center" vertical="center"/>
    </xf>
    <xf numFmtId="0" fontId="67" fillId="0" borderId="148" xfId="0" applyFont="1" applyFill="1" applyBorder="1" applyAlignment="1">
      <alignment horizontal="center" vertical="center"/>
    </xf>
    <xf numFmtId="0" fontId="67" fillId="0" borderId="58" xfId="0" applyFont="1" applyFill="1" applyBorder="1" applyAlignment="1">
      <alignment horizontal="center" vertical="center"/>
    </xf>
    <xf numFmtId="9" fontId="9" fillId="40" borderId="144" xfId="44" quotePrefix="1" applyFont="1" applyFill="1" applyBorder="1" applyAlignment="1">
      <alignment horizontal="center" vertical="center"/>
    </xf>
    <xf numFmtId="9" fontId="9" fillId="40" borderId="137" xfId="44" quotePrefix="1" applyFont="1" applyFill="1" applyBorder="1" applyAlignment="1">
      <alignment horizontal="center" vertical="center"/>
    </xf>
    <xf numFmtId="9" fontId="69" fillId="34" borderId="149" xfId="44" applyFont="1" applyFill="1" applyBorder="1" applyAlignment="1">
      <alignment vertical="center"/>
    </xf>
    <xf numFmtId="9" fontId="69" fillId="34" borderId="150" xfId="44" applyFont="1" applyFill="1" applyBorder="1" applyAlignment="1">
      <alignment vertical="center"/>
    </xf>
    <xf numFmtId="9" fontId="69" fillId="34" borderId="61" xfId="44" applyFont="1" applyFill="1" applyBorder="1" applyAlignment="1">
      <alignment vertical="center"/>
    </xf>
    <xf numFmtId="0" fontId="54" fillId="25" borderId="10" xfId="41" applyFont="1" applyFill="1" applyBorder="1" applyAlignment="1">
      <alignment horizontal="centerContinuous" vertical="top"/>
    </xf>
    <xf numFmtId="0" fontId="54" fillId="25" borderId="0" xfId="41" applyFont="1" applyFill="1" applyBorder="1" applyAlignment="1">
      <alignment horizontal="centerContinuous" vertical="top"/>
    </xf>
    <xf numFmtId="0" fontId="54" fillId="25" borderId="282" xfId="41" applyFont="1" applyFill="1" applyBorder="1" applyAlignment="1">
      <alignment horizontal="centerContinuous" vertical="top"/>
    </xf>
    <xf numFmtId="0" fontId="44" fillId="34" borderId="234" xfId="41" applyFont="1" applyFill="1" applyBorder="1" applyAlignment="1">
      <alignment vertical="top"/>
    </xf>
    <xf numFmtId="0" fontId="44" fillId="34" borderId="183" xfId="41" applyFont="1" applyFill="1" applyBorder="1" applyAlignment="1">
      <alignment vertical="top"/>
    </xf>
    <xf numFmtId="3" fontId="44" fillId="40" borderId="184" xfId="41" applyNumberFormat="1" applyFont="1" applyFill="1" applyBorder="1" applyAlignment="1">
      <alignment horizontal="right" vertical="top" wrapText="1"/>
    </xf>
    <xf numFmtId="3" fontId="44" fillId="40" borderId="279" xfId="41" applyNumberFormat="1" applyFont="1" applyFill="1" applyBorder="1" applyAlignment="1">
      <alignment horizontal="right" vertical="top" wrapText="1"/>
    </xf>
    <xf numFmtId="9" fontId="48" fillId="40" borderId="184" xfId="41" applyNumberFormat="1" applyFont="1" applyFill="1" applyBorder="1" applyAlignment="1">
      <alignment horizontal="right" vertical="top" wrapText="1"/>
    </xf>
    <xf numFmtId="9" fontId="48" fillId="40" borderId="279" xfId="41" applyNumberFormat="1" applyFont="1" applyFill="1" applyBorder="1" applyAlignment="1">
      <alignment horizontal="right" vertical="top" wrapText="1"/>
    </xf>
    <xf numFmtId="3" fontId="44" fillId="40" borderId="187" xfId="41" applyNumberFormat="1" applyFont="1" applyFill="1" applyBorder="1" applyAlignment="1">
      <alignment horizontal="right" vertical="top" wrapText="1"/>
    </xf>
    <xf numFmtId="3" fontId="44" fillId="40" borderId="280" xfId="41" applyNumberFormat="1" applyFont="1" applyFill="1" applyBorder="1" applyAlignment="1">
      <alignment horizontal="right" vertical="top" wrapText="1"/>
    </xf>
    <xf numFmtId="0" fontId="44" fillId="48" borderId="28" xfId="41" applyFont="1" applyFill="1" applyBorder="1" applyAlignment="1">
      <alignment horizontal="centerContinuous" vertical="top" wrapText="1"/>
    </xf>
    <xf numFmtId="0" fontId="48" fillId="48" borderId="16" xfId="41" applyFont="1" applyFill="1" applyBorder="1" applyAlignment="1">
      <alignment horizontal="centerContinuous" vertical="top" wrapText="1"/>
    </xf>
    <xf numFmtId="168" fontId="44" fillId="48" borderId="16" xfId="41" applyNumberFormat="1" applyFont="1" applyFill="1" applyBorder="1" applyAlignment="1">
      <alignment horizontal="centerContinuous" vertical="top" wrapText="1"/>
    </xf>
    <xf numFmtId="0" fontId="44" fillId="48" borderId="16" xfId="41" applyFont="1" applyFill="1" applyBorder="1" applyAlignment="1">
      <alignment horizontal="right" vertical="top" wrapText="1"/>
    </xf>
    <xf numFmtId="168" fontId="46" fillId="48" borderId="19" xfId="41" applyNumberFormat="1" applyFont="1" applyFill="1" applyBorder="1" applyAlignment="1">
      <alignment vertical="top" wrapText="1"/>
    </xf>
    <xf numFmtId="0" fontId="44" fillId="48" borderId="28" xfId="41" applyFont="1" applyFill="1" applyBorder="1" applyAlignment="1">
      <alignment vertical="top" wrapText="1"/>
    </xf>
    <xf numFmtId="168" fontId="44" fillId="48" borderId="16" xfId="41" applyNumberFormat="1" applyFont="1" applyFill="1" applyBorder="1" applyAlignment="1">
      <alignment vertical="top" wrapText="1"/>
    </xf>
    <xf numFmtId="0" fontId="6" fillId="0" borderId="28" xfId="40" applyFont="1" applyBorder="1" applyAlignment="1">
      <alignment horizontal="centerContinuous" vertical="center"/>
    </xf>
    <xf numFmtId="0" fontId="129" fillId="34" borderId="0" xfId="0" applyFont="1" applyFill="1" applyAlignment="1">
      <alignment vertical="center"/>
    </xf>
    <xf numFmtId="0" fontId="16" fillId="35" borderId="0" xfId="40" applyFill="1" applyAlignment="1"/>
    <xf numFmtId="0" fontId="85" fillId="0" borderId="42" xfId="0" applyFont="1" applyBorder="1" applyAlignment="1" applyProtection="1">
      <alignment horizontal="center" vertical="center"/>
    </xf>
    <xf numFmtId="0" fontId="127" fillId="28" borderId="170" xfId="0" applyFont="1" applyFill="1" applyBorder="1" applyAlignment="1">
      <alignment horizontal="left" vertical="center" wrapText="1"/>
    </xf>
    <xf numFmtId="0" fontId="127" fillId="28" borderId="171" xfId="0" applyFont="1" applyFill="1" applyBorder="1" applyAlignment="1">
      <alignment horizontal="left" vertical="center" wrapText="1"/>
    </xf>
    <xf numFmtId="0" fontId="127" fillId="34" borderId="174" xfId="0" applyFont="1" applyFill="1" applyBorder="1" applyAlignment="1">
      <alignment horizontal="center" vertical="center"/>
    </xf>
    <xf numFmtId="0" fontId="11" fillId="25" borderId="0" xfId="0" applyFont="1" applyFill="1" applyBorder="1" applyAlignment="1">
      <alignment horizontal="left" vertical="center"/>
    </xf>
    <xf numFmtId="0" fontId="11" fillId="25" borderId="0" xfId="0" applyFont="1" applyFill="1" applyBorder="1" applyAlignment="1">
      <alignment horizontal="center" vertical="center"/>
    </xf>
    <xf numFmtId="0" fontId="20" fillId="0" borderId="0" xfId="0" applyFont="1" applyFill="1" applyAlignment="1">
      <alignment horizontal="left" vertical="center"/>
    </xf>
    <xf numFmtId="0" fontId="0" fillId="34" borderId="0" xfId="0" applyFill="1" applyAlignment="1">
      <alignment horizontal="center" vertical="center" wrapText="1"/>
    </xf>
    <xf numFmtId="0" fontId="180" fillId="34" borderId="0" xfId="0" applyFont="1" applyFill="1" applyBorder="1" applyAlignment="1">
      <alignment horizontal="center" vertical="center" wrapText="1"/>
    </xf>
    <xf numFmtId="0" fontId="180" fillId="34" borderId="0" xfId="0" applyFont="1" applyFill="1" applyAlignment="1">
      <alignment horizontal="center" vertical="center" wrapText="1"/>
    </xf>
    <xf numFmtId="0" fontId="6" fillId="34" borderId="286" xfId="0" applyFont="1" applyFill="1" applyBorder="1" applyAlignment="1">
      <alignment horizontal="center" vertical="center" wrapText="1"/>
    </xf>
    <xf numFmtId="0" fontId="0" fillId="34" borderId="286" xfId="0" applyFill="1" applyBorder="1" applyAlignment="1">
      <alignment horizontal="center" vertical="center" wrapText="1"/>
    </xf>
    <xf numFmtId="0" fontId="6" fillId="34" borderId="286" xfId="0" quotePrefix="1" applyFont="1" applyFill="1" applyBorder="1" applyAlignment="1">
      <alignment horizontal="center" vertical="center" wrapText="1"/>
    </xf>
    <xf numFmtId="0" fontId="6" fillId="34" borderId="287" xfId="0" applyFont="1" applyFill="1" applyBorder="1" applyAlignment="1">
      <alignment horizontal="center" vertical="center" wrapText="1"/>
    </xf>
    <xf numFmtId="0" fontId="0" fillId="34" borderId="287" xfId="0" applyFill="1" applyBorder="1" applyAlignment="1">
      <alignment horizontal="center" vertical="center" wrapText="1"/>
    </xf>
    <xf numFmtId="0" fontId="6" fillId="34" borderId="287" xfId="0" quotePrefix="1" applyFont="1" applyFill="1" applyBorder="1" applyAlignment="1">
      <alignment horizontal="center" vertical="center" wrapText="1"/>
    </xf>
    <xf numFmtId="0" fontId="6" fillId="34" borderId="288" xfId="0" applyFont="1" applyFill="1" applyBorder="1" applyAlignment="1">
      <alignment horizontal="center" vertical="center" wrapText="1"/>
    </xf>
    <xf numFmtId="0" fontId="0" fillId="34" borderId="289" xfId="0" applyFill="1" applyBorder="1" applyAlignment="1">
      <alignment horizontal="center" vertical="center" wrapText="1"/>
    </xf>
    <xf numFmtId="0" fontId="6" fillId="34" borderId="289" xfId="0" applyFont="1" applyFill="1" applyBorder="1" applyAlignment="1">
      <alignment horizontal="center" vertical="center" wrapText="1"/>
    </xf>
    <xf numFmtId="0" fontId="6" fillId="34" borderId="289" xfId="0" quotePrefix="1" applyFont="1" applyFill="1" applyBorder="1" applyAlignment="1">
      <alignment horizontal="center" vertical="center" wrapText="1"/>
    </xf>
    <xf numFmtId="0" fontId="0" fillId="34" borderId="290" xfId="0" applyFill="1" applyBorder="1" applyAlignment="1">
      <alignment horizontal="center" vertical="center" wrapText="1"/>
    </xf>
    <xf numFmtId="0" fontId="6" fillId="34" borderId="290" xfId="0" applyFont="1" applyFill="1" applyBorder="1" applyAlignment="1">
      <alignment horizontal="center" vertical="center" wrapText="1"/>
    </xf>
    <xf numFmtId="0" fontId="6" fillId="34" borderId="290" xfId="0" quotePrefix="1" applyFont="1" applyFill="1" applyBorder="1" applyAlignment="1">
      <alignment horizontal="center" vertical="center" wrapText="1"/>
    </xf>
    <xf numFmtId="0" fontId="6" fillId="34" borderId="291" xfId="0" applyFont="1" applyFill="1" applyBorder="1" applyAlignment="1">
      <alignment horizontal="center" vertical="center" wrapText="1"/>
    </xf>
    <xf numFmtId="0" fontId="0" fillId="34" borderId="291" xfId="0" applyFill="1" applyBorder="1" applyAlignment="1">
      <alignment horizontal="center" vertical="center" wrapText="1"/>
    </xf>
    <xf numFmtId="0" fontId="6" fillId="34" borderId="291" xfId="0" quotePrefix="1" applyFont="1" applyFill="1" applyBorder="1" applyAlignment="1">
      <alignment horizontal="center" vertical="center" wrapText="1"/>
    </xf>
    <xf numFmtId="0" fontId="6" fillId="34" borderId="292" xfId="0" applyFont="1" applyFill="1" applyBorder="1" applyAlignment="1">
      <alignment horizontal="center" vertical="center" wrapText="1"/>
    </xf>
    <xf numFmtId="0" fontId="6" fillId="34" borderId="286" xfId="0" applyFont="1" applyFill="1" applyBorder="1" applyAlignment="1">
      <alignment horizontal="left" vertical="center" wrapText="1"/>
    </xf>
    <xf numFmtId="0" fontId="6" fillId="34" borderId="287" xfId="0" applyFont="1" applyFill="1" applyBorder="1" applyAlignment="1">
      <alignment horizontal="left" vertical="center" wrapText="1"/>
    </xf>
    <xf numFmtId="0" fontId="115" fillId="34" borderId="289" xfId="0" applyFont="1" applyFill="1" applyBorder="1" applyAlignment="1">
      <alignment horizontal="left" vertical="center" wrapText="1"/>
    </xf>
    <xf numFmtId="0" fontId="115" fillId="34" borderId="290" xfId="0" applyFont="1" applyFill="1" applyBorder="1" applyAlignment="1">
      <alignment horizontal="left" vertical="center" wrapText="1"/>
    </xf>
    <xf numFmtId="0" fontId="6" fillId="34" borderId="291" xfId="0" applyFont="1" applyFill="1" applyBorder="1" applyAlignment="1">
      <alignment horizontal="left" vertical="center" wrapText="1"/>
    </xf>
    <xf numFmtId="0" fontId="115" fillId="34" borderId="287" xfId="0" applyFont="1" applyFill="1" applyBorder="1" applyAlignment="1">
      <alignment horizontal="left" vertical="center" wrapText="1"/>
    </xf>
    <xf numFmtId="0" fontId="6" fillId="34" borderId="286" xfId="0" quotePrefix="1" applyFont="1" applyFill="1" applyBorder="1" applyAlignment="1">
      <alignment horizontal="left" vertical="center" wrapText="1"/>
    </xf>
    <xf numFmtId="0" fontId="6" fillId="34" borderId="287" xfId="0" quotePrefix="1" applyFont="1" applyFill="1" applyBorder="1" applyAlignment="1">
      <alignment horizontal="left" vertical="center" wrapText="1"/>
    </xf>
    <xf numFmtId="0" fontId="6" fillId="34" borderId="289" xfId="0" quotePrefix="1" applyFont="1" applyFill="1" applyBorder="1" applyAlignment="1">
      <alignment horizontal="left" vertical="center" wrapText="1"/>
    </xf>
    <xf numFmtId="0" fontId="6" fillId="34" borderId="290" xfId="0" quotePrefix="1" applyFont="1" applyFill="1" applyBorder="1" applyAlignment="1">
      <alignment horizontal="left" vertical="center" wrapText="1"/>
    </xf>
    <xf numFmtId="0" fontId="6" fillId="34" borderId="291" xfId="0" quotePrefix="1" applyFont="1" applyFill="1" applyBorder="1" applyAlignment="1">
      <alignment horizontal="left" vertical="center" wrapText="1"/>
    </xf>
    <xf numFmtId="0" fontId="8" fillId="36" borderId="283" xfId="0" applyFont="1" applyFill="1" applyBorder="1" applyAlignment="1">
      <alignment horizontal="center" vertical="center" wrapText="1"/>
    </xf>
    <xf numFmtId="0" fontId="8" fillId="36" borderId="284" xfId="0" applyFont="1" applyFill="1" applyBorder="1" applyAlignment="1">
      <alignment horizontal="center" vertical="center" wrapText="1"/>
    </xf>
    <xf numFmtId="0" fontId="8" fillId="36" borderId="285" xfId="0" applyFont="1" applyFill="1" applyBorder="1" applyAlignment="1">
      <alignment horizontal="center" vertical="center" wrapText="1"/>
    </xf>
    <xf numFmtId="3" fontId="22" fillId="0" borderId="0" xfId="0" applyNumberFormat="1" applyFont="1" applyBorder="1"/>
    <xf numFmtId="0" fontId="22" fillId="40" borderId="0" xfId="0" applyFont="1" applyFill="1" applyBorder="1"/>
    <xf numFmtId="3" fontId="22" fillId="40" borderId="0" xfId="0" applyNumberFormat="1" applyFont="1" applyFill="1" applyBorder="1"/>
    <xf numFmtId="0" fontId="22" fillId="34" borderId="0" xfId="0" applyFont="1" applyFill="1" applyBorder="1" applyAlignment="1">
      <alignment horizontal="center"/>
    </xf>
    <xf numFmtId="0" fontId="36" fillId="34" borderId="0" xfId="41" applyFont="1" applyFill="1" applyBorder="1" applyAlignment="1">
      <alignment horizontal="left" indent="1" shrinkToFit="1"/>
    </xf>
    <xf numFmtId="0" fontId="36" fillId="34" borderId="0" xfId="41" applyFont="1" applyFill="1" applyBorder="1" applyAlignment="1" applyProtection="1">
      <alignment horizontal="left" vertical="center" indent="1"/>
    </xf>
    <xf numFmtId="0" fontId="36" fillId="34" borderId="0" xfId="41" applyFont="1" applyFill="1" applyBorder="1" applyAlignment="1" applyProtection="1">
      <alignment horizontal="center" vertical="center"/>
    </xf>
    <xf numFmtId="0" fontId="44" fillId="34" borderId="0" xfId="41" applyFont="1" applyFill="1" applyBorder="1"/>
    <xf numFmtId="0" fontId="27" fillId="26" borderId="19" xfId="0" applyFont="1" applyFill="1" applyBorder="1" applyAlignment="1">
      <alignment horizontal="center" vertical="center"/>
    </xf>
    <xf numFmtId="0" fontId="27" fillId="0" borderId="20" xfId="0" applyFont="1" applyFill="1" applyBorder="1" applyAlignment="1">
      <alignment horizontal="center" vertical="center"/>
    </xf>
    <xf numFmtId="0" fontId="27" fillId="0" borderId="11" xfId="0" applyFont="1" applyFill="1" applyBorder="1" applyAlignment="1">
      <alignment horizontal="center" vertical="center"/>
    </xf>
    <xf numFmtId="0" fontId="27" fillId="26" borderId="20" xfId="0" applyFont="1" applyFill="1" applyBorder="1" applyAlignment="1">
      <alignment horizontal="center" vertical="center"/>
    </xf>
    <xf numFmtId="0" fontId="27" fillId="26" borderId="14" xfId="0" applyFont="1" applyFill="1" applyBorder="1" applyAlignment="1">
      <alignment horizontal="center" vertical="center"/>
    </xf>
    <xf numFmtId="0" fontId="85" fillId="0" borderId="31" xfId="0" applyFont="1" applyBorder="1" applyAlignment="1">
      <alignment horizontal="center" vertical="center"/>
    </xf>
    <xf numFmtId="0" fontId="127" fillId="0" borderId="167" xfId="0" applyFont="1" applyBorder="1" applyAlignment="1">
      <alignment horizontal="center" vertical="center"/>
    </xf>
    <xf numFmtId="0" fontId="27" fillId="0" borderId="14" xfId="0" applyFont="1" applyFill="1" applyBorder="1" applyAlignment="1">
      <alignment horizontal="center" vertical="center"/>
    </xf>
    <xf numFmtId="0" fontId="85" fillId="0" borderId="152" xfId="0" applyFont="1" applyBorder="1" applyAlignment="1">
      <alignment horizontal="center" vertical="center"/>
    </xf>
    <xf numFmtId="0" fontId="27" fillId="0" borderId="0" xfId="0" applyFont="1" applyFill="1" applyBorder="1" applyAlignment="1">
      <alignment horizontal="center" vertical="center"/>
    </xf>
    <xf numFmtId="0" fontId="27" fillId="34" borderId="21" xfId="0" applyFont="1" applyFill="1" applyBorder="1" applyAlignment="1">
      <alignment horizontal="center" vertical="center"/>
    </xf>
    <xf numFmtId="0" fontId="27" fillId="34" borderId="20" xfId="0" applyFont="1" applyFill="1" applyBorder="1" applyAlignment="1">
      <alignment horizontal="center" vertical="center"/>
    </xf>
    <xf numFmtId="0" fontId="27" fillId="34" borderId="10" xfId="0" applyFont="1" applyFill="1" applyBorder="1" applyAlignment="1">
      <alignment horizontal="center" vertical="center"/>
    </xf>
    <xf numFmtId="0" fontId="27" fillId="34" borderId="11" xfId="0" applyFont="1" applyFill="1" applyBorder="1" applyAlignment="1">
      <alignment horizontal="center" vertical="center"/>
    </xf>
    <xf numFmtId="0" fontId="27" fillId="26" borderId="13" xfId="0" applyFont="1" applyFill="1" applyBorder="1" applyAlignment="1">
      <alignment horizontal="center" vertical="center"/>
    </xf>
    <xf numFmtId="0" fontId="127" fillId="34" borderId="157" xfId="0" applyFont="1" applyFill="1" applyBorder="1" applyAlignment="1">
      <alignment horizontal="center" vertical="center"/>
    </xf>
    <xf numFmtId="0" fontId="85" fillId="34" borderId="159" xfId="0" applyFont="1" applyFill="1" applyBorder="1" applyAlignment="1">
      <alignment horizontal="center" vertical="center"/>
    </xf>
    <xf numFmtId="0" fontId="85" fillId="34" borderId="176"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12" xfId="0" applyFont="1" applyFill="1" applyBorder="1" applyAlignment="1">
      <alignment horizontal="center" vertical="center"/>
    </xf>
    <xf numFmtId="0" fontId="27" fillId="0" borderId="10" xfId="0" applyFont="1" applyFill="1" applyBorder="1" applyAlignment="1">
      <alignment horizontal="center" vertical="center"/>
    </xf>
    <xf numFmtId="0" fontId="44" fillId="56" borderId="50" xfId="0" applyFont="1" applyFill="1" applyBorder="1" applyAlignment="1">
      <alignment horizontal="left" indent="1"/>
    </xf>
    <xf numFmtId="0" fontId="12" fillId="34" borderId="0" xfId="0" applyFont="1" applyFill="1" applyBorder="1" applyAlignment="1">
      <alignment horizontal="left" vertical="center"/>
    </xf>
    <xf numFmtId="0" fontId="45" fillId="34" borderId="0" xfId="0" applyFont="1" applyFill="1" applyAlignment="1" applyProtection="1">
      <alignment horizontal="left" vertical="center"/>
    </xf>
    <xf numFmtId="0" fontId="30" fillId="34" borderId="0" xfId="0" applyFont="1" applyFill="1"/>
    <xf numFmtId="0" fontId="54" fillId="34" borderId="0" xfId="0" applyFont="1" applyFill="1" applyAlignment="1" applyProtection="1">
      <alignment horizontal="left" vertical="center"/>
    </xf>
    <xf numFmtId="0" fontId="37" fillId="34" borderId="0" xfId="0" applyFont="1" applyFill="1" applyAlignment="1" applyProtection="1">
      <alignment horizontal="left" vertical="center"/>
    </xf>
    <xf numFmtId="0" fontId="6" fillId="34" borderId="0" xfId="0" applyFont="1" applyFill="1"/>
    <xf numFmtId="49" fontId="8" fillId="34" borderId="0" xfId="0" applyNumberFormat="1" applyFont="1" applyFill="1" applyAlignment="1">
      <alignment horizontal="right"/>
    </xf>
    <xf numFmtId="0" fontId="7" fillId="34" borderId="0" xfId="0" applyFont="1" applyFill="1" applyAlignment="1" applyProtection="1">
      <alignment horizontal="left" vertical="center"/>
    </xf>
    <xf numFmtId="0" fontId="29" fillId="34" borderId="0" xfId="0" applyFont="1" applyFill="1" applyAlignment="1" applyProtection="1">
      <alignment horizontal="left" vertical="center"/>
    </xf>
    <xf numFmtId="0" fontId="6" fillId="34" borderId="0" xfId="0" applyFont="1" applyFill="1" applyBorder="1"/>
    <xf numFmtId="0" fontId="9" fillId="34" borderId="0" xfId="0" applyFont="1" applyFill="1"/>
    <xf numFmtId="0" fontId="24" fillId="36" borderId="16" xfId="0" applyFont="1" applyFill="1" applyBorder="1" applyAlignment="1">
      <alignment horizontal="centerContinuous"/>
    </xf>
    <xf numFmtId="0" fontId="61" fillId="25" borderId="30" xfId="0" applyFont="1" applyFill="1" applyBorder="1" applyAlignment="1">
      <alignment horizontal="center" vertical="center" wrapText="1"/>
    </xf>
    <xf numFmtId="0" fontId="61" fillId="25" borderId="28" xfId="0" applyFont="1" applyFill="1" applyBorder="1" applyAlignment="1">
      <alignment horizontal="center" vertical="center" wrapText="1"/>
    </xf>
    <xf numFmtId="0" fontId="61" fillId="25" borderId="29" xfId="0" applyFont="1" applyFill="1" applyBorder="1" applyAlignment="1">
      <alignment horizontal="center" vertical="center" wrapText="1"/>
    </xf>
    <xf numFmtId="0" fontId="61" fillId="25" borderId="19" xfId="0" applyFont="1" applyFill="1" applyBorder="1" applyAlignment="1">
      <alignment horizontal="center" vertical="center" wrapText="1"/>
    </xf>
    <xf numFmtId="0" fontId="22" fillId="0" borderId="0" xfId="0" applyFont="1" applyAlignment="1">
      <alignment horizontal="center" vertical="center"/>
    </xf>
    <xf numFmtId="0" fontId="6" fillId="34" borderId="0" xfId="0" applyFont="1" applyFill="1" applyAlignment="1">
      <alignment horizontal="center" vertical="center"/>
    </xf>
    <xf numFmtId="0" fontId="9" fillId="34" borderId="0" xfId="0" applyFont="1" applyFill="1" applyBorder="1" applyAlignment="1">
      <alignment horizontal="left"/>
    </xf>
    <xf numFmtId="0" fontId="61" fillId="25" borderId="306" xfId="0" applyFont="1" applyFill="1" applyBorder="1" applyAlignment="1">
      <alignment horizontal="center" vertical="center" wrapText="1"/>
    </xf>
    <xf numFmtId="0" fontId="61" fillId="25" borderId="307" xfId="0" applyFont="1" applyFill="1" applyBorder="1" applyAlignment="1">
      <alignment horizontal="center" vertical="center" wrapText="1"/>
    </xf>
    <xf numFmtId="0" fontId="61" fillId="25" borderId="308" xfId="0" applyFont="1" applyFill="1" applyBorder="1" applyAlignment="1">
      <alignment horizontal="center" vertical="center" wrapText="1"/>
    </xf>
    <xf numFmtId="0" fontId="12" fillId="34" borderId="0" xfId="0" applyFont="1" applyFill="1" applyBorder="1" applyAlignment="1">
      <alignment vertical="center"/>
    </xf>
    <xf numFmtId="0" fontId="203" fillId="34" borderId="0" xfId="0" applyFont="1" applyFill="1"/>
    <xf numFmtId="0" fontId="12" fillId="34" borderId="0" xfId="0" applyFont="1" applyFill="1" applyAlignment="1" applyProtection="1">
      <alignment vertical="center"/>
    </xf>
    <xf numFmtId="0" fontId="203" fillId="34" borderId="0" xfId="0" applyFont="1" applyFill="1" applyAlignment="1">
      <alignment vertical="center"/>
    </xf>
    <xf numFmtId="0" fontId="72" fillId="34" borderId="0" xfId="0" applyFont="1" applyFill="1" applyAlignment="1" applyProtection="1">
      <alignment vertical="center"/>
    </xf>
    <xf numFmtId="0" fontId="71" fillId="34" borderId="0" xfId="0" applyFont="1" applyFill="1" applyAlignment="1">
      <alignment vertical="center"/>
    </xf>
    <xf numFmtId="0" fontId="11" fillId="34" borderId="0" xfId="0" applyFont="1" applyFill="1" applyBorder="1" applyAlignment="1">
      <alignment horizontal="left" vertical="center"/>
    </xf>
    <xf numFmtId="0" fontId="66" fillId="34" borderId="0" xfId="0" applyFont="1" applyFill="1" applyAlignment="1">
      <alignment vertical="center"/>
    </xf>
    <xf numFmtId="0" fontId="207" fillId="37" borderId="0" xfId="41" applyFont="1" applyFill="1"/>
    <xf numFmtId="0" fontId="208" fillId="37" borderId="0" xfId="41" applyFont="1" applyFill="1"/>
    <xf numFmtId="49" fontId="209" fillId="37" borderId="0" xfId="41" applyNumberFormat="1" applyFont="1" applyFill="1" applyAlignment="1">
      <alignment horizontal="right"/>
    </xf>
    <xf numFmtId="0" fontId="210" fillId="37" borderId="0" xfId="41" applyFont="1" applyFill="1" applyBorder="1" applyAlignment="1">
      <alignment horizontal="left" vertical="center"/>
    </xf>
    <xf numFmtId="0" fontId="210" fillId="37" borderId="0" xfId="41" applyFont="1" applyFill="1" applyBorder="1" applyAlignment="1">
      <alignment horizontal="left" vertical="center" indent="1"/>
    </xf>
    <xf numFmtId="0" fontId="211" fillId="37" borderId="0" xfId="41" applyFont="1" applyFill="1"/>
    <xf numFmtId="0" fontId="212" fillId="37" borderId="0" xfId="41" applyFont="1" applyFill="1" applyBorder="1" applyAlignment="1">
      <alignment horizontal="left" vertical="center"/>
    </xf>
    <xf numFmtId="0" fontId="213" fillId="37" borderId="0" xfId="41" applyFont="1" applyFill="1" applyBorder="1" applyAlignment="1">
      <alignment horizontal="left" vertical="center"/>
    </xf>
    <xf numFmtId="0" fontId="214" fillId="37" borderId="0" xfId="41" applyFont="1" applyFill="1" applyBorder="1" applyAlignment="1">
      <alignment horizontal="right" vertical="center"/>
    </xf>
    <xf numFmtId="0" fontId="215" fillId="37" borderId="0" xfId="41" applyFont="1" applyFill="1"/>
    <xf numFmtId="0" fontId="212" fillId="37" borderId="28" xfId="41" applyFont="1" applyFill="1" applyBorder="1" applyAlignment="1" applyProtection="1">
      <alignment horizontal="left" vertical="center" indent="1"/>
    </xf>
    <xf numFmtId="0" fontId="215" fillId="37" borderId="19" xfId="41" applyFont="1" applyFill="1" applyBorder="1" applyAlignment="1">
      <alignment horizontal="left" indent="1" shrinkToFit="1"/>
    </xf>
    <xf numFmtId="0" fontId="212" fillId="37" borderId="0" xfId="41" applyFont="1" applyFill="1" applyAlignment="1" applyProtection="1">
      <alignment horizontal="left" vertical="center"/>
    </xf>
    <xf numFmtId="14" fontId="215" fillId="37" borderId="0" xfId="41" applyNumberFormat="1" applyFont="1" applyFill="1" applyAlignment="1" applyProtection="1">
      <alignment horizontal="right" vertical="center"/>
    </xf>
    <xf numFmtId="0" fontId="215" fillId="37" borderId="28" xfId="41" applyFont="1" applyFill="1" applyBorder="1" applyAlignment="1" applyProtection="1">
      <alignment horizontal="left" vertical="center" indent="1"/>
    </xf>
    <xf numFmtId="0" fontId="215" fillId="37" borderId="19" xfId="41" applyFont="1" applyFill="1" applyBorder="1" applyAlignment="1" applyProtection="1">
      <alignment horizontal="left" vertical="center" indent="1"/>
    </xf>
    <xf numFmtId="0" fontId="215" fillId="37" borderId="0" xfId="41" applyFont="1" applyFill="1" applyBorder="1"/>
    <xf numFmtId="0" fontId="212" fillId="37" borderId="28" xfId="41" applyFont="1" applyFill="1" applyBorder="1" applyAlignment="1" applyProtection="1">
      <alignment horizontal="center" vertical="center"/>
    </xf>
    <xf numFmtId="0" fontId="212" fillId="37" borderId="0" xfId="41" applyFont="1" applyFill="1" applyAlignment="1" applyProtection="1">
      <alignment horizontal="left" vertical="center" indent="1"/>
    </xf>
    <xf numFmtId="14" fontId="212" fillId="37" borderId="0" xfId="41" applyNumberFormat="1" applyFont="1" applyFill="1" applyBorder="1" applyAlignment="1" applyProtection="1">
      <alignment horizontal="center" vertical="center"/>
    </xf>
    <xf numFmtId="0" fontId="211" fillId="37" borderId="0" xfId="41" applyFont="1" applyFill="1" applyBorder="1"/>
    <xf numFmtId="0" fontId="212" fillId="37" borderId="21" xfId="41" applyFont="1" applyFill="1" applyBorder="1" applyAlignment="1">
      <alignment horizontal="left" indent="1"/>
    </xf>
    <xf numFmtId="0" fontId="215" fillId="37" borderId="11" xfId="41" applyFont="1" applyFill="1" applyBorder="1"/>
    <xf numFmtId="0" fontId="217" fillId="37" borderId="10" xfId="41" applyFont="1" applyFill="1" applyBorder="1"/>
    <xf numFmtId="0" fontId="215" fillId="37" borderId="10" xfId="41" applyFont="1" applyFill="1" applyBorder="1"/>
    <xf numFmtId="0" fontId="212" fillId="37" borderId="10" xfId="41" applyFont="1" applyFill="1" applyBorder="1" applyAlignment="1">
      <alignment horizontal="left" indent="1"/>
    </xf>
    <xf numFmtId="0" fontId="212" fillId="37" borderId="10" xfId="41" applyFont="1" applyFill="1" applyBorder="1"/>
    <xf numFmtId="0" fontId="212" fillId="37" borderId="12" xfId="41" applyFont="1" applyFill="1" applyBorder="1" applyAlignment="1">
      <alignment horizontal="left" indent="1"/>
    </xf>
    <xf numFmtId="0" fontId="215" fillId="37" borderId="13" xfId="41" applyFont="1" applyFill="1" applyBorder="1"/>
    <xf numFmtId="0" fontId="212" fillId="37" borderId="13" xfId="41" applyFont="1" applyFill="1" applyBorder="1" applyAlignment="1">
      <alignment horizontal="center"/>
    </xf>
    <xf numFmtId="0" fontId="215" fillId="37" borderId="14" xfId="41" applyFont="1" applyFill="1" applyBorder="1"/>
    <xf numFmtId="0" fontId="216" fillId="37" borderId="10" xfId="41" applyFont="1" applyFill="1" applyBorder="1" applyAlignment="1">
      <alignment horizontal="centerContinuous" vertical="top"/>
    </xf>
    <xf numFmtId="0" fontId="216" fillId="37" borderId="0" xfId="41" applyFont="1" applyFill="1" applyBorder="1" applyAlignment="1">
      <alignment horizontal="centerContinuous" vertical="top"/>
    </xf>
    <xf numFmtId="0" fontId="216" fillId="37" borderId="282" xfId="41" applyFont="1" applyFill="1" applyBorder="1" applyAlignment="1">
      <alignment horizontal="centerContinuous" vertical="top"/>
    </xf>
    <xf numFmtId="0" fontId="211" fillId="37" borderId="177" xfId="41" applyFont="1" applyFill="1" applyBorder="1" applyAlignment="1">
      <alignment horizontal="centerContinuous" vertical="top"/>
    </xf>
    <xf numFmtId="0" fontId="211" fillId="37" borderId="178" xfId="41" applyFont="1" applyFill="1" applyBorder="1" applyAlignment="1">
      <alignment horizontal="centerContinuous" vertical="top"/>
    </xf>
    <xf numFmtId="0" fontId="215" fillId="37" borderId="234" xfId="41" applyFont="1" applyFill="1" applyBorder="1" applyAlignment="1">
      <alignment vertical="top"/>
    </xf>
    <xf numFmtId="0" fontId="215" fillId="37" borderId="183" xfId="41" applyFont="1" applyFill="1" applyBorder="1" applyAlignment="1">
      <alignment vertical="top"/>
    </xf>
    <xf numFmtId="169" fontId="214" fillId="37" borderId="0" xfId="41" applyNumberFormat="1" applyFont="1" applyFill="1" applyBorder="1" applyAlignment="1">
      <alignment horizontal="right" vertical="top"/>
    </xf>
    <xf numFmtId="0" fontId="215" fillId="37" borderId="179" xfId="41" applyFont="1" applyFill="1" applyBorder="1" applyAlignment="1">
      <alignment vertical="top"/>
    </xf>
    <xf numFmtId="0" fontId="215" fillId="37" borderId="34" xfId="41" applyFont="1" applyFill="1" applyBorder="1" applyAlignment="1">
      <alignment vertical="top"/>
    </xf>
    <xf numFmtId="0" fontId="215" fillId="37" borderId="180" xfId="41" applyFont="1" applyFill="1" applyBorder="1" applyAlignment="1">
      <alignment vertical="top"/>
    </xf>
    <xf numFmtId="0" fontId="215" fillId="37" borderId="181" xfId="41" applyFont="1" applyFill="1" applyBorder="1" applyAlignment="1">
      <alignment vertical="top"/>
    </xf>
    <xf numFmtId="0" fontId="212" fillId="37" borderId="12" xfId="41" applyFont="1" applyFill="1" applyBorder="1" applyAlignment="1">
      <alignment horizontal="left"/>
    </xf>
    <xf numFmtId="169" fontId="212" fillId="37" borderId="42" xfId="41" applyNumberFormat="1" applyFont="1" applyFill="1" applyBorder="1" applyAlignment="1">
      <alignment horizontal="right" vertical="top"/>
    </xf>
    <xf numFmtId="0" fontId="215" fillId="37" borderId="0" xfId="41" applyFont="1" applyFill="1" applyAlignment="1">
      <alignment horizontal="right"/>
    </xf>
    <xf numFmtId="0" fontId="214" fillId="37" borderId="0" xfId="41" applyFont="1" applyFill="1"/>
    <xf numFmtId="0" fontId="216" fillId="37" borderId="28" xfId="41" applyFont="1" applyFill="1" applyBorder="1" applyAlignment="1">
      <alignment horizontal="centerContinuous"/>
    </xf>
    <xf numFmtId="0" fontId="211" fillId="37" borderId="16" xfId="41" applyFont="1" applyFill="1" applyBorder="1" applyAlignment="1">
      <alignment horizontal="centerContinuous"/>
    </xf>
    <xf numFmtId="0" fontId="211" fillId="37" borderId="16" xfId="41" applyFont="1" applyFill="1" applyBorder="1" applyAlignment="1">
      <alignment horizontal="center"/>
    </xf>
    <xf numFmtId="0" fontId="211" fillId="37" borderId="19" xfId="41" applyFont="1" applyFill="1" applyBorder="1" applyAlignment="1">
      <alignment horizontal="center"/>
    </xf>
    <xf numFmtId="0" fontId="212" fillId="37" borderId="12" xfId="41" applyFont="1" applyFill="1" applyBorder="1" applyAlignment="1">
      <alignment horizontal="left" vertical="top" wrapText="1" indent="1"/>
    </xf>
    <xf numFmtId="9" fontId="212" fillId="37" borderId="14" xfId="41" applyNumberFormat="1" applyFont="1" applyFill="1" applyBorder="1" applyAlignment="1">
      <alignment horizontal="center" vertical="top" wrapText="1"/>
    </xf>
    <xf numFmtId="3" fontId="212" fillId="37" borderId="14" xfId="41" applyNumberFormat="1" applyFont="1" applyFill="1" applyBorder="1" applyAlignment="1">
      <alignment horizontal="center" vertical="top" wrapText="1"/>
    </xf>
    <xf numFmtId="0" fontId="212" fillId="37" borderId="12" xfId="41" applyFont="1" applyFill="1" applyBorder="1" applyAlignment="1">
      <alignment horizontal="left" vertical="top" indent="1"/>
    </xf>
    <xf numFmtId="0" fontId="215" fillId="37" borderId="13" xfId="41" applyFont="1" applyFill="1" applyBorder="1" applyAlignment="1">
      <alignment horizontal="center" vertical="top" wrapText="1"/>
    </xf>
    <xf numFmtId="170" fontId="212" fillId="37" borderId="14" xfId="41" applyNumberFormat="1" applyFont="1" applyFill="1" applyBorder="1" applyAlignment="1">
      <alignment horizontal="center" vertical="top" wrapText="1"/>
    </xf>
    <xf numFmtId="0" fontId="216" fillId="37" borderId="182" xfId="41" applyFont="1" applyFill="1" applyBorder="1" applyAlignment="1">
      <alignment horizontal="center" vertical="top" wrapText="1"/>
    </xf>
    <xf numFmtId="0" fontId="214" fillId="37" borderId="183" xfId="41" applyFont="1" applyFill="1" applyBorder="1" applyAlignment="1">
      <alignment horizontal="right" vertical="top" wrapText="1"/>
    </xf>
    <xf numFmtId="3" fontId="215" fillId="37" borderId="184" xfId="41" applyNumberFormat="1" applyFont="1" applyFill="1" applyBorder="1" applyAlignment="1">
      <alignment horizontal="right" vertical="top" wrapText="1"/>
    </xf>
    <xf numFmtId="3" fontId="215" fillId="37" borderId="279" xfId="41" applyNumberFormat="1" applyFont="1" applyFill="1" applyBorder="1" applyAlignment="1">
      <alignment horizontal="right" vertical="top" wrapText="1"/>
    </xf>
    <xf numFmtId="0" fontId="214" fillId="37" borderId="34" xfId="41" applyFont="1" applyFill="1" applyBorder="1" applyAlignment="1">
      <alignment horizontal="right" vertical="top" wrapText="1"/>
    </xf>
    <xf numFmtId="9" fontId="214" fillId="37" borderId="184" xfId="41" applyNumberFormat="1" applyFont="1" applyFill="1" applyBorder="1" applyAlignment="1">
      <alignment horizontal="right" vertical="top" wrapText="1"/>
    </xf>
    <xf numFmtId="9" fontId="214" fillId="37" borderId="279" xfId="41" applyNumberFormat="1" applyFont="1" applyFill="1" applyBorder="1" applyAlignment="1">
      <alignment horizontal="right" vertical="top" wrapText="1"/>
    </xf>
    <xf numFmtId="0" fontId="214" fillId="37" borderId="181" xfId="41" applyFont="1" applyFill="1" applyBorder="1" applyAlignment="1">
      <alignment horizontal="right" vertical="top" wrapText="1"/>
    </xf>
    <xf numFmtId="3" fontId="215" fillId="37" borderId="187" xfId="41" applyNumberFormat="1" applyFont="1" applyFill="1" applyBorder="1" applyAlignment="1">
      <alignment horizontal="right" vertical="top" wrapText="1"/>
    </xf>
    <xf numFmtId="3" fontId="215" fillId="37" borderId="280" xfId="41" applyNumberFormat="1" applyFont="1" applyFill="1" applyBorder="1" applyAlignment="1">
      <alignment horizontal="right" vertical="top" wrapText="1"/>
    </xf>
    <xf numFmtId="0" fontId="215" fillId="37" borderId="28" xfId="41" applyFont="1" applyFill="1" applyBorder="1" applyAlignment="1">
      <alignment vertical="top" wrapText="1"/>
    </xf>
    <xf numFmtId="168" fontId="215" fillId="37" borderId="16" xfId="41" applyNumberFormat="1" applyFont="1" applyFill="1" applyBorder="1" applyAlignment="1">
      <alignment vertical="top" wrapText="1"/>
    </xf>
    <xf numFmtId="168" fontId="212" fillId="37" borderId="19" xfId="41" applyNumberFormat="1" applyFont="1" applyFill="1" applyBorder="1" applyAlignment="1">
      <alignment vertical="top" wrapText="1"/>
    </xf>
    <xf numFmtId="0" fontId="215" fillId="37" borderId="28" xfId="41" applyFont="1" applyFill="1" applyBorder="1" applyAlignment="1">
      <alignment horizontal="centerContinuous" vertical="top" wrapText="1"/>
    </xf>
    <xf numFmtId="0" fontId="214" fillId="37" borderId="16" xfId="41" applyFont="1" applyFill="1" applyBorder="1" applyAlignment="1">
      <alignment horizontal="centerContinuous" vertical="top" wrapText="1"/>
    </xf>
    <xf numFmtId="168" fontId="215" fillId="37" borderId="16" xfId="41" applyNumberFormat="1" applyFont="1" applyFill="1" applyBorder="1" applyAlignment="1">
      <alignment horizontal="centerContinuous" vertical="top" wrapText="1"/>
    </xf>
    <xf numFmtId="0" fontId="215" fillId="37" borderId="16" xfId="41" applyFont="1" applyFill="1" applyBorder="1" applyAlignment="1">
      <alignment horizontal="right" vertical="top" wrapText="1"/>
    </xf>
    <xf numFmtId="0" fontId="215" fillId="37" borderId="0" xfId="41" applyFont="1" applyFill="1" applyBorder="1" applyAlignment="1">
      <alignment vertical="top" wrapText="1"/>
    </xf>
    <xf numFmtId="168" fontId="215" fillId="37" borderId="0" xfId="41" applyNumberFormat="1" applyFont="1" applyFill="1" applyBorder="1" applyAlignment="1">
      <alignment vertical="top" wrapText="1"/>
    </xf>
    <xf numFmtId="0" fontId="215" fillId="37" borderId="0" xfId="41" applyFont="1" applyFill="1" applyBorder="1" applyAlignment="1">
      <alignment horizontal="centerContinuous" vertical="top" wrapText="1"/>
    </xf>
    <xf numFmtId="0" fontId="214" fillId="37" borderId="0" xfId="41" applyFont="1" applyFill="1" applyBorder="1" applyAlignment="1">
      <alignment horizontal="centerContinuous" vertical="top" wrapText="1"/>
    </xf>
    <xf numFmtId="168" fontId="215" fillId="37" borderId="0" xfId="41" applyNumberFormat="1" applyFont="1" applyFill="1" applyBorder="1" applyAlignment="1">
      <alignment horizontal="centerContinuous" vertical="top" wrapText="1"/>
    </xf>
    <xf numFmtId="0" fontId="215" fillId="37" borderId="0" xfId="41" applyFont="1" applyFill="1" applyBorder="1" applyAlignment="1">
      <alignment horizontal="right" vertical="top" wrapText="1"/>
    </xf>
    <xf numFmtId="0" fontId="217" fillId="37" borderId="28" xfId="41" applyFont="1" applyFill="1" applyBorder="1" applyAlignment="1">
      <alignment horizontal="centerContinuous" vertical="top" wrapText="1"/>
    </xf>
    <xf numFmtId="0" fontId="214" fillId="37" borderId="19" xfId="41" applyFont="1" applyFill="1" applyBorder="1" applyAlignment="1">
      <alignment horizontal="centerContinuous"/>
    </xf>
    <xf numFmtId="0" fontId="217" fillId="37" borderId="42" xfId="41" applyFont="1" applyFill="1" applyBorder="1" applyAlignment="1">
      <alignment horizontal="centerContinuous" vertical="top" wrapText="1"/>
    </xf>
    <xf numFmtId="0" fontId="214" fillId="37" borderId="19" xfId="41" applyFont="1" applyFill="1" applyBorder="1" applyAlignment="1">
      <alignment horizontal="centerContinuous" vertical="top" wrapText="1"/>
    </xf>
    <xf numFmtId="0" fontId="214" fillId="37" borderId="0" xfId="41" applyFont="1" applyFill="1" applyBorder="1" applyAlignment="1">
      <alignment horizontal="right" vertical="top" wrapText="1"/>
    </xf>
    <xf numFmtId="0" fontId="215" fillId="37" borderId="10" xfId="41" quotePrefix="1" applyFont="1" applyFill="1" applyBorder="1"/>
    <xf numFmtId="0" fontId="212" fillId="37" borderId="0" xfId="41" applyFont="1" applyFill="1" applyBorder="1"/>
    <xf numFmtId="0" fontId="215" fillId="37" borderId="12" xfId="41" applyFont="1" applyFill="1" applyBorder="1"/>
    <xf numFmtId="0" fontId="216" fillId="37" borderId="13" xfId="41" applyFont="1" applyFill="1" applyBorder="1" applyAlignment="1">
      <alignment horizontal="centerContinuous"/>
    </xf>
    <xf numFmtId="0" fontId="216" fillId="37" borderId="189" xfId="41" applyFont="1" applyFill="1" applyBorder="1" applyAlignment="1">
      <alignment horizontal="center" vertical="center"/>
    </xf>
    <xf numFmtId="0" fontId="216" fillId="37" borderId="190" xfId="41" applyFont="1" applyFill="1" applyBorder="1" applyAlignment="1">
      <alignment horizontal="centerContinuous"/>
    </xf>
    <xf numFmtId="0" fontId="216" fillId="37" borderId="16" xfId="41" applyFont="1" applyFill="1" applyBorder="1" applyAlignment="1">
      <alignment horizontal="centerContinuous"/>
    </xf>
    <xf numFmtId="0" fontId="216" fillId="37" borderId="189" xfId="41" applyFont="1" applyFill="1" applyBorder="1" applyAlignment="1">
      <alignment horizontal="centerContinuous"/>
    </xf>
    <xf numFmtId="0" fontId="216" fillId="37" borderId="32" xfId="41" applyFont="1" applyFill="1" applyBorder="1" applyAlignment="1">
      <alignment horizontal="centerContinuous"/>
    </xf>
    <xf numFmtId="0" fontId="216" fillId="37" borderId="29" xfId="41" applyFont="1" applyFill="1" applyBorder="1" applyAlignment="1">
      <alignment horizontal="centerContinuous"/>
    </xf>
    <xf numFmtId="0" fontId="216" fillId="37" borderId="29" xfId="41" applyFont="1" applyFill="1" applyBorder="1" applyAlignment="1">
      <alignment horizontal="center"/>
    </xf>
    <xf numFmtId="0" fontId="216" fillId="37" borderId="13" xfId="41" applyFont="1" applyFill="1" applyBorder="1" applyAlignment="1">
      <alignment horizontal="center"/>
    </xf>
    <xf numFmtId="0" fontId="215" fillId="37" borderId="189" xfId="41" applyFont="1" applyFill="1" applyBorder="1" applyAlignment="1">
      <alignment horizontal="center"/>
    </xf>
    <xf numFmtId="0" fontId="216" fillId="37" borderId="189" xfId="41" applyFont="1" applyFill="1" applyBorder="1" applyAlignment="1">
      <alignment horizontal="center"/>
    </xf>
    <xf numFmtId="0" fontId="216" fillId="37" borderId="32" xfId="41" applyFont="1" applyFill="1" applyBorder="1" applyAlignment="1">
      <alignment horizontal="center"/>
    </xf>
    <xf numFmtId="0" fontId="216" fillId="37" borderId="190" xfId="41" applyFont="1" applyFill="1" applyBorder="1" applyAlignment="1">
      <alignment horizontal="center"/>
    </xf>
    <xf numFmtId="0" fontId="159" fillId="37" borderId="26" xfId="0" applyFont="1" applyFill="1" applyBorder="1" applyAlignment="1">
      <alignment vertical="center"/>
    </xf>
    <xf numFmtId="0" fontId="215" fillId="37" borderId="12" xfId="41" applyFont="1" applyFill="1" applyBorder="1" applyAlignment="1">
      <alignment vertical="center"/>
    </xf>
    <xf numFmtId="0" fontId="215" fillId="37" borderId="26" xfId="41" applyFont="1" applyFill="1" applyBorder="1" applyAlignment="1">
      <alignment vertical="center"/>
    </xf>
    <xf numFmtId="0" fontId="214" fillId="37" borderId="27" xfId="41" applyFont="1" applyFill="1" applyBorder="1" applyAlignment="1">
      <alignment horizontal="center" vertical="center"/>
    </xf>
    <xf numFmtId="0" fontId="215" fillId="37" borderId="27" xfId="41" applyFont="1" applyFill="1" applyBorder="1"/>
    <xf numFmtId="0" fontId="215" fillId="37" borderId="21" xfId="41" applyFont="1" applyFill="1" applyBorder="1"/>
    <xf numFmtId="0" fontId="215" fillId="37" borderId="20" xfId="41" applyFont="1" applyFill="1" applyBorder="1"/>
    <xf numFmtId="0" fontId="214" fillId="37" borderId="27" xfId="41" applyFont="1" applyFill="1" applyBorder="1" applyAlignment="1">
      <alignment horizontal="center"/>
    </xf>
    <xf numFmtId="0" fontId="214" fillId="37" borderId="31" xfId="41" applyFont="1" applyFill="1" applyBorder="1" applyAlignment="1">
      <alignment horizontal="center"/>
    </xf>
    <xf numFmtId="0" fontId="215" fillId="37" borderId="31" xfId="41" applyFont="1" applyFill="1" applyBorder="1"/>
    <xf numFmtId="0" fontId="214" fillId="37" borderId="26" xfId="41" applyFont="1" applyFill="1" applyBorder="1" applyAlignment="1">
      <alignment horizontal="center"/>
    </xf>
    <xf numFmtId="0" fontId="215" fillId="37" borderId="26" xfId="41" applyFont="1" applyFill="1" applyBorder="1"/>
    <xf numFmtId="0" fontId="215" fillId="37" borderId="15" xfId="41" applyFont="1" applyFill="1" applyBorder="1"/>
    <xf numFmtId="0" fontId="215" fillId="37" borderId="191" xfId="41" applyFont="1" applyFill="1" applyBorder="1"/>
    <xf numFmtId="0" fontId="212" fillId="37" borderId="191" xfId="41" applyFont="1" applyFill="1" applyBorder="1" applyAlignment="1">
      <alignment horizontal="center"/>
    </xf>
    <xf numFmtId="0" fontId="85" fillId="37" borderId="0" xfId="0" applyFont="1" applyFill="1" applyAlignment="1">
      <alignment vertical="center"/>
    </xf>
    <xf numFmtId="0" fontId="85" fillId="37" borderId="0" xfId="0" applyFont="1" applyFill="1" applyAlignment="1">
      <alignment horizontal="left" vertical="center"/>
    </xf>
    <xf numFmtId="0" fontId="73" fillId="37" borderId="0" xfId="0" applyFont="1" applyFill="1" applyAlignment="1">
      <alignment horizontal="left" vertical="center"/>
    </xf>
    <xf numFmtId="0" fontId="73" fillId="37" borderId="0" xfId="0" applyFont="1" applyFill="1" applyAlignment="1">
      <alignment vertical="center"/>
    </xf>
    <xf numFmtId="0" fontId="77" fillId="37" borderId="0" xfId="0" applyFont="1" applyFill="1" applyAlignment="1" applyProtection="1">
      <alignment horizontal="left" vertical="center"/>
    </xf>
    <xf numFmtId="0" fontId="129" fillId="37" borderId="0" xfId="0" applyFont="1" applyFill="1" applyAlignment="1">
      <alignment vertical="center"/>
    </xf>
    <xf numFmtId="0" fontId="27" fillId="37" borderId="0" xfId="0" applyFont="1" applyFill="1" applyBorder="1" applyAlignment="1">
      <alignment horizontal="left" vertical="center"/>
    </xf>
    <xf numFmtId="0" fontId="85" fillId="37" borderId="0" xfId="0" applyFont="1" applyFill="1" applyAlignment="1" applyProtection="1">
      <alignment horizontal="left" vertical="center"/>
    </xf>
    <xf numFmtId="0" fontId="129" fillId="37" borderId="0" xfId="0" applyFont="1" applyFill="1" applyBorder="1" applyAlignment="1">
      <alignment vertical="center"/>
    </xf>
    <xf numFmtId="0" fontId="130" fillId="37" borderId="0" xfId="0" applyFont="1" applyFill="1" applyBorder="1" applyAlignment="1" applyProtection="1">
      <alignment horizontal="left" vertical="center" wrapText="1"/>
      <protection locked="0"/>
    </xf>
    <xf numFmtId="0" fontId="85" fillId="37" borderId="0" xfId="0" applyFont="1" applyFill="1" applyBorder="1" applyAlignment="1">
      <alignment vertical="center"/>
    </xf>
    <xf numFmtId="0" fontId="85" fillId="37" borderId="0" xfId="0" applyFont="1" applyFill="1" applyBorder="1" applyAlignment="1">
      <alignment horizontal="left" vertical="center"/>
    </xf>
    <xf numFmtId="0" fontId="27" fillId="37" borderId="0" xfId="0" applyFont="1" applyFill="1" applyAlignment="1">
      <alignment horizontal="left" vertical="center"/>
    </xf>
    <xf numFmtId="0" fontId="129" fillId="37" borderId="0" xfId="0" applyFont="1" applyFill="1" applyAlignment="1">
      <alignment horizontal="left" vertical="center"/>
    </xf>
    <xf numFmtId="0" fontId="27" fillId="37" borderId="0" xfId="0" applyFont="1" applyFill="1" applyAlignment="1">
      <alignment vertical="center"/>
    </xf>
    <xf numFmtId="0" fontId="219" fillId="37" borderId="0" xfId="0" applyFont="1" applyFill="1" applyAlignment="1">
      <alignment vertical="center"/>
    </xf>
    <xf numFmtId="0" fontId="220" fillId="37" borderId="0" xfId="0" applyFont="1" applyFill="1" applyAlignment="1">
      <alignment vertical="center"/>
    </xf>
    <xf numFmtId="0" fontId="221" fillId="37" borderId="0" xfId="0" applyFont="1" applyFill="1" applyAlignment="1">
      <alignment vertical="center"/>
    </xf>
    <xf numFmtId="0" fontId="220" fillId="37" borderId="0" xfId="0" applyFont="1" applyFill="1" applyAlignment="1">
      <alignment horizontal="center" vertical="center"/>
    </xf>
    <xf numFmtId="0" fontId="219" fillId="37" borderId="0" xfId="0" applyFont="1" applyFill="1" applyAlignment="1">
      <alignment horizontal="center" vertical="center"/>
    </xf>
    <xf numFmtId="0" fontId="221" fillId="37" borderId="0" xfId="0" applyFont="1" applyFill="1" applyBorder="1" applyAlignment="1">
      <alignment horizontal="left" vertical="center"/>
    </xf>
    <xf numFmtId="0" fontId="221" fillId="37" borderId="0" xfId="0" applyFont="1" applyFill="1" applyBorder="1" applyAlignment="1">
      <alignment horizontal="center" vertical="center"/>
    </xf>
    <xf numFmtId="0" fontId="206" fillId="37" borderId="0" xfId="0" applyFont="1" applyFill="1" applyAlignment="1">
      <alignment vertical="center"/>
    </xf>
    <xf numFmtId="0" fontId="206" fillId="37" borderId="0" xfId="0" applyFont="1" applyFill="1" applyAlignment="1">
      <alignment horizontal="center" vertical="center"/>
    </xf>
    <xf numFmtId="0" fontId="222" fillId="37" borderId="0" xfId="0" applyFont="1" applyFill="1" applyBorder="1" applyAlignment="1">
      <alignment horizontal="right" vertical="center"/>
    </xf>
    <xf numFmtId="0" fontId="221" fillId="37" borderId="28" xfId="0" applyFont="1" applyFill="1" applyBorder="1" applyAlignment="1" applyProtection="1">
      <alignment horizontal="center" vertical="center"/>
    </xf>
    <xf numFmtId="0" fontId="221" fillId="37" borderId="42" xfId="0" applyFont="1" applyFill="1" applyBorder="1" applyAlignment="1" applyProtection="1">
      <alignment horizontal="center" vertical="center"/>
      <protection locked="0"/>
    </xf>
    <xf numFmtId="0" fontId="221" fillId="37" borderId="0" xfId="0" applyFont="1" applyFill="1" applyAlignment="1" applyProtection="1">
      <alignment horizontal="left" vertical="center"/>
    </xf>
    <xf numFmtId="0" fontId="222" fillId="37" borderId="0" xfId="0" applyFont="1" applyFill="1" applyAlignment="1" applyProtection="1">
      <alignment horizontal="right" vertical="center"/>
    </xf>
    <xf numFmtId="0" fontId="206" fillId="37" borderId="42" xfId="0" applyFont="1" applyFill="1" applyBorder="1" applyAlignment="1" applyProtection="1">
      <alignment horizontal="center" vertical="center"/>
    </xf>
    <xf numFmtId="0" fontId="220" fillId="37" borderId="28" xfId="0" applyFont="1" applyFill="1" applyBorder="1" applyAlignment="1">
      <alignment horizontal="left" vertical="center"/>
    </xf>
    <xf numFmtId="0" fontId="220" fillId="37" borderId="16" xfId="0" applyFont="1" applyFill="1" applyBorder="1" applyAlignment="1">
      <alignment horizontal="centerContinuous" vertical="center"/>
    </xf>
    <xf numFmtId="0" fontId="220" fillId="37" borderId="19" xfId="0" applyFont="1" applyFill="1" applyBorder="1" applyAlignment="1">
      <alignment horizontal="center" vertical="center"/>
    </xf>
    <xf numFmtId="0" fontId="220" fillId="37" borderId="21" xfId="0" applyFont="1" applyFill="1" applyBorder="1" applyAlignment="1">
      <alignment horizontal="centerContinuous" vertical="center"/>
    </xf>
    <xf numFmtId="0" fontId="220" fillId="37" borderId="15" xfId="0" applyFont="1" applyFill="1" applyBorder="1" applyAlignment="1">
      <alignment horizontal="centerContinuous" vertical="center"/>
    </xf>
    <xf numFmtId="0" fontId="220" fillId="37" borderId="20" xfId="0" applyFont="1" applyFill="1" applyBorder="1" applyAlignment="1">
      <alignment horizontal="center" vertical="center"/>
    </xf>
    <xf numFmtId="0" fontId="220" fillId="37" borderId="10" xfId="0" applyFont="1" applyFill="1" applyBorder="1" applyAlignment="1">
      <alignment horizontal="centerContinuous" vertical="center"/>
    </xf>
    <xf numFmtId="0" fontId="220" fillId="37" borderId="0" xfId="0" applyFont="1" applyFill="1" applyBorder="1" applyAlignment="1">
      <alignment horizontal="centerContinuous" vertical="center"/>
    </xf>
    <xf numFmtId="0" fontId="220" fillId="37" borderId="11" xfId="0" applyFont="1" applyFill="1" applyBorder="1" applyAlignment="1">
      <alignment horizontal="center" vertical="center"/>
    </xf>
    <xf numFmtId="0" fontId="220" fillId="37" borderId="10" xfId="0" applyFont="1" applyFill="1" applyBorder="1" applyAlignment="1" applyProtection="1">
      <alignment vertical="center"/>
    </xf>
    <xf numFmtId="0" fontId="219" fillId="37" borderId="0" xfId="0" applyFont="1" applyFill="1" applyBorder="1" applyAlignment="1" applyProtection="1">
      <alignment vertical="center"/>
    </xf>
    <xf numFmtId="0" fontId="219" fillId="37" borderId="11" xfId="0" applyFont="1" applyFill="1" applyBorder="1" applyAlignment="1" applyProtection="1">
      <alignment horizontal="center" vertical="center"/>
    </xf>
    <xf numFmtId="0" fontId="219" fillId="37" borderId="12" xfId="0" applyFont="1" applyFill="1" applyBorder="1" applyAlignment="1">
      <alignment vertical="center"/>
    </xf>
    <xf numFmtId="0" fontId="219" fillId="37" borderId="13" xfId="0" applyFont="1" applyFill="1" applyBorder="1" applyAlignment="1">
      <alignment vertical="center"/>
    </xf>
    <xf numFmtId="0" fontId="219" fillId="37" borderId="14" xfId="0" applyFont="1" applyFill="1" applyBorder="1" applyAlignment="1">
      <alignment horizontal="center" vertical="center"/>
    </xf>
    <xf numFmtId="0" fontId="220" fillId="37" borderId="21" xfId="0" applyFont="1" applyFill="1" applyBorder="1" applyAlignment="1">
      <alignment horizontal="left" vertical="center"/>
    </xf>
    <xf numFmtId="3" fontId="219" fillId="37" borderId="13" xfId="0" applyNumberFormat="1" applyFont="1" applyFill="1" applyBorder="1" applyAlignment="1" applyProtection="1">
      <alignment horizontal="left" vertical="center" wrapText="1"/>
      <protection locked="0"/>
    </xf>
    <xf numFmtId="0" fontId="219" fillId="37" borderId="154" xfId="0" applyFont="1" applyFill="1" applyBorder="1" applyAlignment="1">
      <alignment horizontal="center" vertical="center"/>
    </xf>
    <xf numFmtId="0" fontId="220" fillId="37" borderId="13" xfId="0" applyFont="1" applyFill="1" applyBorder="1" applyAlignment="1">
      <alignment horizontal="centerContinuous" vertical="center"/>
    </xf>
    <xf numFmtId="0" fontId="220" fillId="37" borderId="14" xfId="0" applyFont="1" applyFill="1" applyBorder="1" applyAlignment="1">
      <alignment horizontal="center" vertical="center"/>
    </xf>
    <xf numFmtId="0" fontId="219" fillId="37" borderId="152" xfId="0" applyFont="1" applyFill="1" applyBorder="1" applyAlignment="1" applyProtection="1">
      <alignment horizontal="centerContinuous" vertical="center"/>
    </xf>
    <xf numFmtId="0" fontId="219" fillId="37" borderId="42" xfId="0" applyFont="1" applyFill="1" applyBorder="1" applyAlignment="1" applyProtection="1">
      <alignment horizontal="centerContinuous" vertical="center"/>
    </xf>
    <xf numFmtId="0" fontId="219" fillId="37" borderId="28" xfId="0" applyFont="1" applyFill="1" applyBorder="1" applyAlignment="1" applyProtection="1">
      <alignment horizontal="centerContinuous" vertical="center"/>
    </xf>
    <xf numFmtId="0" fontId="219" fillId="37" borderId="152" xfId="0" applyFont="1" applyFill="1" applyBorder="1" applyAlignment="1">
      <alignment horizontal="centerContinuous" vertical="center"/>
    </xf>
    <xf numFmtId="0" fontId="219" fillId="37" borderId="31" xfId="0" applyFont="1" applyFill="1" applyBorder="1" applyAlignment="1">
      <alignment horizontal="center" vertical="center"/>
    </xf>
    <xf numFmtId="0" fontId="219" fillId="37" borderId="42" xfId="0" applyFont="1" applyFill="1" applyBorder="1" applyAlignment="1" applyProtection="1">
      <alignment horizontal="center" vertical="center" wrapText="1"/>
    </xf>
    <xf numFmtId="0" fontId="219" fillId="37" borderId="151" xfId="0" applyFont="1" applyFill="1" applyBorder="1" applyAlignment="1" applyProtection="1">
      <alignment horizontal="center" vertical="center" wrapText="1"/>
    </xf>
    <xf numFmtId="0" fontId="219" fillId="37" borderId="152" xfId="0" applyFont="1" applyFill="1" applyBorder="1" applyAlignment="1" applyProtection="1">
      <alignment horizontal="center" vertical="center" wrapText="1"/>
    </xf>
    <xf numFmtId="0" fontId="219" fillId="37" borderId="42" xfId="0" applyFont="1" applyFill="1" applyBorder="1" applyAlignment="1" applyProtection="1">
      <alignment horizontal="center" vertical="center"/>
    </xf>
    <xf numFmtId="0" fontId="219" fillId="37" borderId="28" xfId="0" applyFont="1" applyFill="1" applyBorder="1" applyAlignment="1" applyProtection="1">
      <alignment horizontal="center" vertical="center"/>
    </xf>
    <xf numFmtId="0" fontId="219" fillId="37" borderId="152" xfId="0" applyFont="1" applyFill="1" applyBorder="1" applyAlignment="1" applyProtection="1">
      <alignment horizontal="center" vertical="center"/>
    </xf>
    <xf numFmtId="166" fontId="219" fillId="37" borderId="42" xfId="0" applyNumberFormat="1" applyFont="1" applyFill="1" applyBorder="1" applyAlignment="1" applyProtection="1">
      <alignment horizontal="center" vertical="center"/>
      <protection locked="0"/>
    </xf>
    <xf numFmtId="166" fontId="219" fillId="37" borderId="28" xfId="0" applyNumberFormat="1" applyFont="1" applyFill="1" applyBorder="1" applyAlignment="1" applyProtection="1">
      <alignment horizontal="center" vertical="center" wrapText="1"/>
      <protection locked="0"/>
    </xf>
    <xf numFmtId="166" fontId="219" fillId="37" borderId="152" xfId="0" applyNumberFormat="1" applyFont="1" applyFill="1" applyBorder="1" applyAlignment="1" applyProtection="1">
      <alignment horizontal="center" vertical="center"/>
      <protection locked="0"/>
    </xf>
    <xf numFmtId="167" fontId="219" fillId="37" borderId="42" xfId="36" applyNumberFormat="1" applyFont="1" applyFill="1" applyBorder="1" applyAlignment="1" applyProtection="1">
      <alignment horizontal="center" vertical="center"/>
      <protection locked="0"/>
    </xf>
    <xf numFmtId="0" fontId="219" fillId="37" borderId="28" xfId="0" applyFont="1" applyFill="1" applyBorder="1" applyAlignment="1">
      <alignment vertical="center"/>
    </xf>
    <xf numFmtId="0" fontId="219" fillId="37" borderId="152" xfId="0" applyFont="1" applyFill="1" applyBorder="1" applyAlignment="1">
      <alignment vertical="center"/>
    </xf>
    <xf numFmtId="0" fontId="219" fillId="37" borderId="42" xfId="0" applyFont="1" applyFill="1" applyBorder="1" applyAlignment="1">
      <alignment horizontal="center" vertical="center"/>
    </xf>
    <xf numFmtId="0" fontId="220" fillId="37" borderId="15" xfId="0" applyFont="1" applyFill="1" applyBorder="1" applyAlignment="1">
      <alignment horizontal="center" vertical="center"/>
    </xf>
    <xf numFmtId="0" fontId="220" fillId="37" borderId="157" xfId="0" applyFont="1" applyFill="1" applyBorder="1" applyAlignment="1">
      <alignment horizontal="centerContinuous" vertical="center"/>
    </xf>
    <xf numFmtId="0" fontId="220" fillId="37" borderId="158" xfId="0" applyFont="1" applyFill="1" applyBorder="1" applyAlignment="1">
      <alignment horizontal="centerContinuous" vertical="center"/>
    </xf>
    <xf numFmtId="0" fontId="219" fillId="37" borderId="159" xfId="0" applyFont="1" applyFill="1" applyBorder="1" applyAlignment="1">
      <alignment horizontal="centerContinuous" vertical="center"/>
    </xf>
    <xf numFmtId="0" fontId="220" fillId="37" borderId="160" xfId="0" applyFont="1" applyFill="1" applyBorder="1" applyAlignment="1">
      <alignment horizontal="centerContinuous" vertical="center"/>
    </xf>
    <xf numFmtId="0" fontId="219" fillId="37" borderId="0" xfId="0" applyFont="1" applyFill="1" applyBorder="1" applyAlignment="1">
      <alignment horizontal="centerContinuous" vertical="center"/>
    </xf>
    <xf numFmtId="0" fontId="219" fillId="37" borderId="161" xfId="0" applyFont="1" applyFill="1" applyBorder="1" applyAlignment="1">
      <alignment horizontal="centerContinuous" vertical="center"/>
    </xf>
    <xf numFmtId="0" fontId="220" fillId="37" borderId="167" xfId="0" applyFont="1" applyFill="1" applyBorder="1" applyAlignment="1">
      <alignment horizontal="center" vertical="center"/>
    </xf>
    <xf numFmtId="0" fontId="220" fillId="37" borderId="293" xfId="0" applyFont="1" applyFill="1" applyBorder="1" applyAlignment="1">
      <alignment horizontal="center" vertical="center"/>
    </xf>
    <xf numFmtId="0" fontId="220" fillId="37" borderId="294" xfId="0" applyFont="1" applyFill="1" applyBorder="1" applyAlignment="1">
      <alignment horizontal="center" vertical="center"/>
    </xf>
    <xf numFmtId="0" fontId="219" fillId="37" borderId="160" xfId="0" applyFont="1" applyFill="1" applyBorder="1" applyAlignment="1">
      <alignment vertical="center"/>
    </xf>
    <xf numFmtId="0" fontId="219" fillId="37" borderId="0" xfId="0" applyFont="1" applyFill="1" applyBorder="1" applyAlignment="1">
      <alignment vertical="center"/>
    </xf>
    <xf numFmtId="169" fontId="219" fillId="37" borderId="161" xfId="0" applyNumberFormat="1" applyFont="1" applyFill="1" applyBorder="1" applyAlignment="1">
      <alignment vertical="center"/>
    </xf>
    <xf numFmtId="0" fontId="219" fillId="37" borderId="167" xfId="0" applyFont="1" applyFill="1" applyBorder="1" applyAlignment="1">
      <alignment horizontal="left" vertical="center"/>
    </xf>
    <xf numFmtId="0" fontId="219" fillId="37" borderId="160" xfId="0" applyFont="1" applyFill="1" applyBorder="1" applyAlignment="1">
      <alignment horizontal="left" vertical="center"/>
    </xf>
    <xf numFmtId="0" fontId="219" fillId="37" borderId="167" xfId="0" applyFont="1" applyFill="1" applyBorder="1" applyAlignment="1">
      <alignment horizontal="left" vertical="center" wrapText="1"/>
    </xf>
    <xf numFmtId="0" fontId="219" fillId="37" borderId="293" xfId="0" applyFont="1" applyFill="1" applyBorder="1" applyAlignment="1">
      <alignment vertical="center"/>
    </xf>
    <xf numFmtId="169" fontId="219" fillId="37" borderId="294" xfId="0" applyNumberFormat="1" applyFont="1" applyFill="1" applyBorder="1" applyAlignment="1">
      <alignment horizontal="center" vertical="center"/>
    </xf>
    <xf numFmtId="0" fontId="224" fillId="37" borderId="162" xfId="0" applyFont="1" applyFill="1" applyBorder="1" applyAlignment="1">
      <alignment horizontal="left" vertical="center"/>
    </xf>
    <xf numFmtId="0" fontId="219" fillId="37" borderId="153" xfId="0" applyFont="1" applyFill="1" applyBorder="1" applyAlignment="1">
      <alignment vertical="center"/>
    </xf>
    <xf numFmtId="169" fontId="220" fillId="37" borderId="163" xfId="0" applyNumberFormat="1" applyFont="1" applyFill="1" applyBorder="1" applyAlignment="1">
      <alignment vertical="center"/>
    </xf>
    <xf numFmtId="0" fontId="219" fillId="37" borderId="294" xfId="0" applyFont="1" applyFill="1" applyBorder="1" applyAlignment="1">
      <alignment horizontal="center" vertical="center"/>
    </xf>
    <xf numFmtId="0" fontId="219" fillId="37" borderId="298" xfId="0" applyFont="1" applyFill="1" applyBorder="1" applyAlignment="1">
      <alignment horizontal="left" vertical="center"/>
    </xf>
    <xf numFmtId="0" fontId="220" fillId="37" borderId="295" xfId="0" applyFont="1" applyFill="1" applyBorder="1" applyAlignment="1">
      <alignment horizontal="left" vertical="center" wrapText="1"/>
    </xf>
    <xf numFmtId="0" fontId="220" fillId="37" borderId="296" xfId="0" applyFont="1" applyFill="1" applyBorder="1" applyAlignment="1">
      <alignment horizontal="left" vertical="center" wrapText="1"/>
    </xf>
    <xf numFmtId="169" fontId="220" fillId="37" borderId="297" xfId="0" applyNumberFormat="1" applyFont="1" applyFill="1" applyBorder="1" applyAlignment="1">
      <alignment horizontal="center" vertical="center"/>
    </xf>
    <xf numFmtId="0" fontId="220" fillId="37" borderId="164" xfId="0" applyFont="1" applyFill="1" applyBorder="1" applyAlignment="1">
      <alignment horizontal="left" vertical="center"/>
    </xf>
    <xf numFmtId="0" fontId="219" fillId="37" borderId="165" xfId="0" applyFont="1" applyFill="1" applyBorder="1" applyAlignment="1">
      <alignment vertical="center"/>
    </xf>
    <xf numFmtId="169" fontId="220" fillId="37" borderId="166" xfId="0" applyNumberFormat="1" applyFont="1" applyFill="1" applyBorder="1" applyAlignment="1">
      <alignment vertical="center"/>
    </xf>
    <xf numFmtId="0" fontId="220" fillId="37" borderId="0" xfId="0" applyFont="1" applyFill="1" applyBorder="1" applyAlignment="1">
      <alignment horizontal="left" vertical="center"/>
    </xf>
    <xf numFmtId="169" fontId="220" fillId="37" borderId="0" xfId="0" applyNumberFormat="1" applyFont="1" applyFill="1" applyBorder="1" applyAlignment="1">
      <alignment vertical="center"/>
    </xf>
    <xf numFmtId="0" fontId="220" fillId="37" borderId="174" xfId="0" applyFont="1" applyFill="1" applyBorder="1" applyAlignment="1">
      <alignment vertical="center"/>
    </xf>
    <xf numFmtId="0" fontId="220" fillId="37" borderId="176" xfId="0" applyFont="1" applyFill="1" applyBorder="1" applyAlignment="1">
      <alignment vertical="center"/>
    </xf>
    <xf numFmtId="0" fontId="219" fillId="37" borderId="167" xfId="0" applyFont="1" applyFill="1" applyBorder="1" applyAlignment="1">
      <alignment vertical="center"/>
    </xf>
    <xf numFmtId="0" fontId="220" fillId="37" borderId="299" xfId="0" applyFont="1" applyFill="1" applyBorder="1" applyAlignment="1">
      <alignment horizontal="center" vertical="center"/>
    </xf>
    <xf numFmtId="0" fontId="220" fillId="37" borderId="300" xfId="0" applyFont="1" applyFill="1" applyBorder="1" applyAlignment="1">
      <alignment horizontal="center" vertical="center"/>
    </xf>
    <xf numFmtId="169" fontId="219" fillId="37" borderId="168" xfId="0" applyNumberFormat="1" applyFont="1" applyFill="1" applyBorder="1" applyAlignment="1">
      <alignment vertical="center"/>
    </xf>
    <xf numFmtId="0" fontId="204" fillId="37" borderId="167" xfId="0" applyFont="1" applyFill="1" applyBorder="1" applyAlignment="1">
      <alignment horizontal="left" vertical="center"/>
    </xf>
    <xf numFmtId="0" fontId="219" fillId="37" borderId="169" xfId="0" applyFont="1" applyFill="1" applyBorder="1" applyAlignment="1">
      <alignment horizontal="left" vertical="center"/>
    </xf>
    <xf numFmtId="169" fontId="219" fillId="37" borderId="173" xfId="0" applyNumberFormat="1" applyFont="1" applyFill="1" applyBorder="1" applyAlignment="1">
      <alignment vertical="center"/>
    </xf>
    <xf numFmtId="169" fontId="220" fillId="37" borderId="172" xfId="0" applyNumberFormat="1" applyFont="1" applyFill="1" applyBorder="1" applyAlignment="1">
      <alignment vertical="center"/>
    </xf>
    <xf numFmtId="169" fontId="220" fillId="37" borderId="172" xfId="0" applyNumberFormat="1" applyFont="1" applyFill="1" applyBorder="1" applyAlignment="1">
      <alignment horizontal="center" vertical="center"/>
    </xf>
    <xf numFmtId="0" fontId="219" fillId="37" borderId="0" xfId="0" applyFont="1" applyFill="1" applyBorder="1" applyAlignment="1">
      <alignment horizontal="center" vertical="center"/>
    </xf>
    <xf numFmtId="0" fontId="220" fillId="37" borderId="301" xfId="0" applyFont="1" applyFill="1" applyBorder="1" applyAlignment="1">
      <alignment horizontal="left" vertical="center"/>
    </xf>
    <xf numFmtId="0" fontId="219" fillId="37" borderId="276" xfId="0" applyFont="1" applyFill="1" applyBorder="1" applyAlignment="1">
      <alignment vertical="center"/>
    </xf>
    <xf numFmtId="0" fontId="220" fillId="37" borderId="302" xfId="0" applyFont="1" applyFill="1" applyBorder="1" applyAlignment="1">
      <alignment horizontal="centerContinuous" vertical="center"/>
    </xf>
    <xf numFmtId="0" fontId="220" fillId="37" borderId="28" xfId="0" applyFont="1" applyFill="1" applyBorder="1" applyAlignment="1">
      <alignment vertical="center"/>
    </xf>
    <xf numFmtId="0" fontId="220" fillId="37" borderId="155" xfId="0" applyFont="1" applyFill="1" applyBorder="1" applyAlignment="1">
      <alignment horizontal="center" vertical="center"/>
    </xf>
    <xf numFmtId="0" fontId="220" fillId="37" borderId="0" xfId="0" applyFont="1" applyFill="1" applyBorder="1" applyAlignment="1">
      <alignment horizontal="center" vertical="center"/>
    </xf>
    <xf numFmtId="0" fontId="225" fillId="37" borderId="303" xfId="0" applyFont="1" applyFill="1" applyBorder="1" applyAlignment="1">
      <alignment horizontal="center" vertical="center"/>
    </xf>
    <xf numFmtId="0" fontId="219" fillId="37" borderId="15" xfId="0" applyFont="1" applyFill="1" applyBorder="1" applyAlignment="1">
      <alignment vertical="center"/>
    </xf>
    <xf numFmtId="0" fontId="225" fillId="37" borderId="178" xfId="0" applyFont="1" applyFill="1" applyBorder="1" applyAlignment="1">
      <alignment horizontal="center" vertical="center"/>
    </xf>
    <xf numFmtId="0" fontId="225" fillId="37" borderId="304" xfId="0" applyFont="1" applyFill="1" applyBorder="1" applyAlignment="1">
      <alignment horizontal="center" vertical="center"/>
    </xf>
    <xf numFmtId="0" fontId="219" fillId="37" borderId="132" xfId="0" applyFont="1" applyFill="1" applyBorder="1" applyAlignment="1">
      <alignment vertical="center"/>
    </xf>
    <xf numFmtId="0" fontId="225" fillId="37" borderId="305" xfId="0" applyFont="1" applyFill="1" applyBorder="1" applyAlignment="1">
      <alignment horizontal="center" vertical="center"/>
    </xf>
    <xf numFmtId="0" fontId="219" fillId="37" borderId="13" xfId="0" applyFont="1" applyFill="1" applyBorder="1" applyAlignment="1">
      <alignment horizontal="center" vertical="center"/>
    </xf>
    <xf numFmtId="0" fontId="159" fillId="37" borderId="0" xfId="0" applyFont="1" applyFill="1"/>
    <xf numFmtId="0" fontId="210" fillId="37" borderId="0" xfId="0" applyFont="1" applyFill="1" applyBorder="1" applyAlignment="1">
      <alignment horizontal="left" vertical="center"/>
    </xf>
    <xf numFmtId="0" fontId="226" fillId="37" borderId="0" xfId="0" applyFont="1" applyFill="1" applyBorder="1" applyAlignment="1">
      <alignment horizontal="left" vertical="center"/>
    </xf>
    <xf numFmtId="0" fontId="227" fillId="37" borderId="0" xfId="0" applyFont="1" applyFill="1" applyAlignment="1" applyProtection="1">
      <alignment horizontal="left" vertical="center"/>
    </xf>
    <xf numFmtId="0" fontId="216" fillId="37" borderId="0" xfId="0" applyFont="1" applyFill="1" applyBorder="1" applyAlignment="1">
      <alignment horizontal="left" vertical="center"/>
    </xf>
    <xf numFmtId="0" fontId="228" fillId="37" borderId="0" xfId="0" applyFont="1" applyFill="1" applyBorder="1" applyAlignment="1">
      <alignment horizontal="right" vertical="center"/>
    </xf>
    <xf numFmtId="0" fontId="229" fillId="37" borderId="0" xfId="0" applyFont="1" applyFill="1" applyAlignment="1" applyProtection="1">
      <alignment horizontal="left" vertical="center"/>
    </xf>
    <xf numFmtId="0" fontId="230" fillId="37" borderId="28" xfId="0" applyFont="1" applyFill="1" applyBorder="1" applyAlignment="1" applyProtection="1">
      <alignment horizontal="center" vertical="center"/>
    </xf>
    <xf numFmtId="0" fontId="230" fillId="37" borderId="42" xfId="0" applyFont="1" applyFill="1" applyBorder="1" applyAlignment="1" applyProtection="1">
      <alignment horizontal="center" vertical="center"/>
      <protection locked="0"/>
    </xf>
    <xf numFmtId="0" fontId="216" fillId="37" borderId="0" xfId="0" applyFont="1" applyFill="1" applyAlignment="1" applyProtection="1">
      <alignment horizontal="left" vertical="center"/>
    </xf>
    <xf numFmtId="14" fontId="228" fillId="37" borderId="0" xfId="0" applyNumberFormat="1" applyFont="1" applyFill="1" applyAlignment="1" applyProtection="1">
      <alignment horizontal="right" vertical="center"/>
    </xf>
    <xf numFmtId="0" fontId="211" fillId="37" borderId="42" xfId="0" applyFont="1" applyFill="1" applyBorder="1" applyAlignment="1" applyProtection="1">
      <alignment horizontal="center" vertical="center"/>
    </xf>
    <xf numFmtId="0" fontId="159" fillId="37" borderId="0" xfId="0" applyFont="1" applyFill="1" applyBorder="1"/>
    <xf numFmtId="0" fontId="159" fillId="37" borderId="13" xfId="0" applyFont="1" applyFill="1" applyBorder="1"/>
    <xf numFmtId="0" fontId="210" fillId="37" borderId="28" xfId="0" applyFont="1" applyFill="1" applyBorder="1" applyAlignment="1">
      <alignment horizontal="centerContinuous"/>
    </xf>
    <xf numFmtId="0" fontId="231" fillId="37" borderId="16" xfId="0" applyFont="1" applyFill="1" applyBorder="1" applyAlignment="1">
      <alignment horizontal="centerContinuous"/>
    </xf>
    <xf numFmtId="0" fontId="231" fillId="37" borderId="17" xfId="0" applyFont="1" applyFill="1" applyBorder="1" applyAlignment="1">
      <alignment horizontal="centerContinuous"/>
    </xf>
    <xf numFmtId="0" fontId="231" fillId="37" borderId="18" xfId="0" applyFont="1" applyFill="1" applyBorder="1" applyAlignment="1">
      <alignment horizontal="centerContinuous"/>
    </xf>
    <xf numFmtId="0" fontId="231" fillId="37" borderId="19" xfId="0" applyFont="1" applyFill="1" applyBorder="1" applyAlignment="1">
      <alignment horizontal="centerContinuous"/>
    </xf>
    <xf numFmtId="0" fontId="232" fillId="37" borderId="21" xfId="0" quotePrefix="1" applyFont="1" applyFill="1" applyBorder="1"/>
    <xf numFmtId="0" fontId="159" fillId="37" borderId="15" xfId="0" applyFont="1" applyFill="1" applyBorder="1"/>
    <xf numFmtId="0" fontId="179" fillId="37" borderId="10" xfId="0" quotePrefix="1" applyFont="1" applyFill="1" applyBorder="1"/>
    <xf numFmtId="0" fontId="231" fillId="37" borderId="0" xfId="0" applyFont="1" applyFill="1" applyBorder="1"/>
    <xf numFmtId="0" fontId="210" fillId="37" borderId="22" xfId="0" applyFont="1" applyFill="1" applyBorder="1" applyAlignment="1">
      <alignment horizontal="centerContinuous"/>
    </xf>
    <xf numFmtId="0" fontId="210" fillId="37" borderId="23" xfId="0" applyFont="1" applyFill="1" applyBorder="1" applyAlignment="1">
      <alignment horizontal="centerContinuous"/>
    </xf>
    <xf numFmtId="0" fontId="210" fillId="37" borderId="24" xfId="0" applyFont="1" applyFill="1" applyBorder="1" applyAlignment="1">
      <alignment horizontal="centerContinuous"/>
    </xf>
    <xf numFmtId="0" fontId="210" fillId="37" borderId="25" xfId="0" applyFont="1" applyFill="1" applyBorder="1" applyAlignment="1">
      <alignment horizontal="centerContinuous"/>
    </xf>
    <xf numFmtId="0" fontId="231" fillId="37" borderId="13" xfId="0" applyFont="1" applyFill="1" applyBorder="1" applyAlignment="1">
      <alignment horizontal="left"/>
    </xf>
    <xf numFmtId="0" fontId="159" fillId="37" borderId="28" xfId="0" applyFont="1" applyFill="1" applyBorder="1" applyAlignment="1">
      <alignment horizontal="center" vertical="center" wrapText="1"/>
    </xf>
    <xf numFmtId="0" fontId="223" fillId="37" borderId="29" xfId="0" applyFont="1" applyFill="1" applyBorder="1" applyAlignment="1">
      <alignment horizontal="center" vertical="center" wrapText="1"/>
    </xf>
    <xf numFmtId="0" fontId="159" fillId="37" borderId="30" xfId="0" applyFont="1" applyFill="1" applyBorder="1" applyAlignment="1">
      <alignment horizontal="center" vertical="center" wrapText="1"/>
    </xf>
    <xf numFmtId="0" fontId="159" fillId="37" borderId="19" xfId="0" applyFont="1" applyFill="1" applyBorder="1" applyAlignment="1">
      <alignment horizontal="center" vertical="center" wrapText="1"/>
    </xf>
    <xf numFmtId="0" fontId="159" fillId="37" borderId="31" xfId="0" applyFont="1" applyFill="1" applyBorder="1"/>
    <xf numFmtId="0" fontId="159" fillId="37" borderId="27" xfId="0" applyFont="1" applyFill="1" applyBorder="1"/>
    <xf numFmtId="0" fontId="159" fillId="37" borderId="11" xfId="0" applyFont="1" applyFill="1" applyBorder="1"/>
    <xf numFmtId="0" fontId="179" fillId="37" borderId="10" xfId="0" applyFont="1" applyFill="1" applyBorder="1"/>
    <xf numFmtId="3" fontId="159" fillId="37" borderId="31" xfId="0" applyNumberFormat="1" applyFont="1" applyFill="1" applyBorder="1"/>
    <xf numFmtId="3" fontId="159" fillId="37" borderId="11" xfId="0" applyNumberFormat="1" applyFont="1" applyFill="1" applyBorder="1"/>
    <xf numFmtId="3" fontId="159" fillId="37" borderId="0" xfId="0" applyNumberFormat="1" applyFont="1" applyFill="1" applyBorder="1"/>
    <xf numFmtId="0" fontId="233" fillId="37" borderId="10" xfId="0" applyFont="1" applyFill="1" applyBorder="1"/>
    <xf numFmtId="0" fontId="213" fillId="37" borderId="26" xfId="0" applyFont="1" applyFill="1" applyBorder="1"/>
    <xf numFmtId="0" fontId="159" fillId="37" borderId="26" xfId="0" applyFont="1" applyFill="1" applyBorder="1"/>
    <xf numFmtId="3" fontId="159" fillId="37" borderId="14" xfId="0" applyNumberFormat="1" applyFont="1" applyFill="1" applyBorder="1"/>
    <xf numFmtId="3" fontId="159" fillId="37" borderId="26" xfId="0" applyNumberFormat="1" applyFont="1" applyFill="1" applyBorder="1"/>
    <xf numFmtId="0" fontId="159" fillId="37" borderId="14" xfId="0" applyFont="1" applyFill="1" applyBorder="1"/>
    <xf numFmtId="0" fontId="159" fillId="37" borderId="10" xfId="0" applyFont="1" applyFill="1" applyBorder="1"/>
    <xf numFmtId="0" fontId="159" fillId="37" borderId="20" xfId="0" applyFont="1" applyFill="1" applyBorder="1"/>
    <xf numFmtId="0" fontId="231" fillId="37" borderId="0" xfId="0" applyFont="1" applyFill="1" applyBorder="1" applyAlignment="1">
      <alignment horizontal="left"/>
    </xf>
    <xf numFmtId="0" fontId="159" fillId="37" borderId="12" xfId="0" applyFont="1" applyFill="1" applyBorder="1"/>
    <xf numFmtId="0" fontId="159" fillId="37" borderId="21" xfId="0" applyFont="1" applyFill="1" applyBorder="1"/>
    <xf numFmtId="0" fontId="159" fillId="37" borderId="15" xfId="0" applyFont="1" applyFill="1" applyBorder="1" applyAlignment="1">
      <alignment horizontal="center"/>
    </xf>
    <xf numFmtId="0" fontId="179" fillId="37" borderId="26" xfId="40" applyFont="1" applyFill="1" applyBorder="1" applyAlignment="1">
      <alignment horizontal="center" vertical="center"/>
    </xf>
    <xf numFmtId="0" fontId="159" fillId="37" borderId="28" xfId="40" applyFont="1" applyFill="1" applyBorder="1" applyAlignment="1">
      <alignment horizontal="centerContinuous" vertical="center"/>
    </xf>
    <xf numFmtId="0" fontId="159" fillId="37" borderId="19" xfId="40" applyFont="1" applyFill="1" applyBorder="1" applyAlignment="1">
      <alignment horizontal="centerContinuous"/>
    </xf>
    <xf numFmtId="0" fontId="159" fillId="37" borderId="13" xfId="0" applyFont="1" applyFill="1" applyBorder="1" applyAlignment="1">
      <alignment horizontal="center"/>
    </xf>
    <xf numFmtId="170" fontId="159" fillId="37" borderId="14" xfId="0" applyNumberFormat="1" applyFont="1" applyFill="1" applyBorder="1"/>
    <xf numFmtId="0" fontId="159" fillId="37" borderId="0" xfId="0" applyFont="1" applyFill="1" applyBorder="1" applyAlignment="1">
      <alignment horizontal="center"/>
    </xf>
    <xf numFmtId="0" fontId="207" fillId="37" borderId="49" xfId="0" applyFont="1" applyFill="1" applyBorder="1" applyAlignment="1">
      <alignment horizontal="center" vertical="center"/>
    </xf>
    <xf numFmtId="0" fontId="207" fillId="37" borderId="52" xfId="0" applyFont="1" applyFill="1" applyBorder="1" applyAlignment="1">
      <alignment horizontal="center" vertical="center"/>
    </xf>
    <xf numFmtId="0" fontId="212" fillId="37" borderId="50" xfId="0" applyFont="1" applyFill="1" applyBorder="1" applyAlignment="1">
      <alignment horizontal="center" vertical="center"/>
    </xf>
    <xf numFmtId="0" fontId="212" fillId="37" borderId="53" xfId="0" applyFont="1" applyFill="1" applyBorder="1" applyAlignment="1">
      <alignment horizontal="center" vertical="center"/>
    </xf>
    <xf numFmtId="0" fontId="212" fillId="37" borderId="51" xfId="0" applyFont="1" applyFill="1" applyBorder="1" applyAlignment="1">
      <alignment horizontal="center" vertical="center"/>
    </xf>
    <xf numFmtId="0" fontId="212" fillId="37" borderId="54" xfId="0" applyFont="1" applyFill="1" applyBorder="1" applyAlignment="1">
      <alignment horizontal="center" vertical="center"/>
    </xf>
    <xf numFmtId="0" fontId="234" fillId="37" borderId="0" xfId="0" applyFont="1" applyFill="1" applyBorder="1"/>
    <xf numFmtId="0" fontId="159" fillId="37" borderId="0" xfId="0" quotePrefix="1" applyFont="1" applyFill="1" applyBorder="1"/>
    <xf numFmtId="0" fontId="226" fillId="37" borderId="0" xfId="0" applyFont="1" applyFill="1"/>
    <xf numFmtId="0" fontId="215" fillId="37" borderId="0" xfId="0" applyFont="1" applyFill="1"/>
    <xf numFmtId="0" fontId="218" fillId="37" borderId="0" xfId="0" applyFont="1" applyFill="1" applyAlignment="1" applyProtection="1">
      <alignment horizontal="left" vertical="center"/>
    </xf>
    <xf numFmtId="0" fontId="215" fillId="37" borderId="0" xfId="0" applyFont="1" applyFill="1" applyAlignment="1">
      <alignment vertical="center"/>
    </xf>
    <xf numFmtId="0" fontId="212" fillId="37" borderId="0" xfId="0" applyFont="1" applyFill="1" applyAlignment="1" applyProtection="1">
      <alignment horizontal="left" vertical="center"/>
    </xf>
    <xf numFmtId="171" fontId="213" fillId="37" borderId="45" xfId="0" applyNumberFormat="1" applyFont="1" applyFill="1" applyBorder="1" applyAlignment="1" applyProtection="1">
      <alignment horizontal="left" vertical="center"/>
    </xf>
    <xf numFmtId="0" fontId="215" fillId="37" borderId="49" xfId="0" applyFont="1" applyFill="1" applyBorder="1" applyAlignment="1">
      <alignment horizontal="left" indent="1"/>
    </xf>
    <xf numFmtId="0" fontId="215" fillId="37" borderId="50" xfId="0" applyFont="1" applyFill="1" applyBorder="1" applyAlignment="1">
      <alignment horizontal="left" indent="1"/>
    </xf>
    <xf numFmtId="0" fontId="212" fillId="37" borderId="51" xfId="0" applyFont="1" applyFill="1" applyBorder="1"/>
    <xf numFmtId="0" fontId="215" fillId="37" borderId="52" xfId="0" applyFont="1" applyFill="1" applyBorder="1" applyAlignment="1">
      <alignment horizontal="left" indent="1"/>
    </xf>
    <xf numFmtId="0" fontId="212" fillId="37" borderId="54" xfId="0" applyFont="1" applyFill="1" applyBorder="1"/>
    <xf numFmtId="0" fontId="212" fillId="37" borderId="52" xfId="0" applyFont="1" applyFill="1" applyBorder="1" applyAlignment="1">
      <alignment horizontal="center" vertical="center"/>
    </xf>
    <xf numFmtId="0" fontId="236" fillId="37" borderId="53" xfId="0" applyFont="1" applyFill="1" applyBorder="1" applyAlignment="1">
      <alignment horizontal="center" vertical="center"/>
    </xf>
    <xf numFmtId="0" fontId="215" fillId="37" borderId="56" xfId="0" applyFont="1" applyFill="1" applyBorder="1" applyAlignment="1">
      <alignment horizontal="left" indent="1"/>
    </xf>
    <xf numFmtId="0" fontId="212" fillId="37" borderId="49" xfId="0" applyFont="1" applyFill="1" applyBorder="1" applyAlignment="1">
      <alignment horizontal="center" vertical="center"/>
    </xf>
    <xf numFmtId="0" fontId="236" fillId="37" borderId="51" xfId="0" applyFont="1" applyFill="1" applyBorder="1" applyAlignment="1">
      <alignment horizontal="center" vertical="center"/>
    </xf>
    <xf numFmtId="0" fontId="212" fillId="37" borderId="61" xfId="0" applyFont="1" applyFill="1" applyBorder="1"/>
    <xf numFmtId="0" fontId="212" fillId="37" borderId="58" xfId="0" applyFont="1" applyFill="1" applyBorder="1"/>
    <xf numFmtId="0" fontId="212" fillId="37" borderId="49" xfId="0" applyFont="1" applyFill="1" applyBorder="1" applyAlignment="1">
      <alignment horizontal="center"/>
    </xf>
    <xf numFmtId="0" fontId="214" fillId="37" borderId="51" xfId="0" applyFont="1" applyFill="1" applyBorder="1" applyAlignment="1">
      <alignment horizontal="center"/>
    </xf>
    <xf numFmtId="0" fontId="214" fillId="37" borderId="51" xfId="0" applyFont="1" applyFill="1" applyBorder="1" applyAlignment="1">
      <alignment horizontal="center" vertical="center"/>
    </xf>
    <xf numFmtId="0" fontId="212" fillId="37" borderId="49" xfId="0" applyFont="1" applyFill="1" applyBorder="1" applyAlignment="1">
      <alignment horizontal="center" wrapText="1"/>
    </xf>
    <xf numFmtId="9" fontId="214" fillId="37" borderId="51" xfId="44" applyFont="1" applyFill="1" applyBorder="1" applyAlignment="1">
      <alignment horizontal="center"/>
    </xf>
    <xf numFmtId="0" fontId="213" fillId="37" borderId="0" xfId="0" applyFont="1" applyFill="1" applyBorder="1" applyAlignment="1">
      <alignment horizontal="center"/>
    </xf>
    <xf numFmtId="0" fontId="212" fillId="37" borderId="0" xfId="0" applyFont="1" applyFill="1"/>
    <xf numFmtId="0" fontId="215" fillId="37" borderId="54" xfId="0" applyFont="1" applyFill="1" applyBorder="1" applyAlignment="1">
      <alignment horizontal="left" indent="1"/>
    </xf>
    <xf numFmtId="0" fontId="212" fillId="37" borderId="65" xfId="0" applyFont="1" applyFill="1" applyBorder="1" applyAlignment="1">
      <alignment horizontal="center"/>
    </xf>
    <xf numFmtId="0" fontId="212" fillId="37" borderId="70" xfId="0" applyFont="1" applyFill="1" applyBorder="1" applyAlignment="1">
      <alignment vertical="center"/>
    </xf>
    <xf numFmtId="0" fontId="212" fillId="37" borderId="74" xfId="0" applyFont="1" applyFill="1" applyBorder="1" applyAlignment="1">
      <alignment vertical="center"/>
    </xf>
    <xf numFmtId="0" fontId="212" fillId="37" borderId="76" xfId="0" applyFont="1" applyFill="1" applyBorder="1" applyAlignment="1">
      <alignment vertical="center"/>
    </xf>
    <xf numFmtId="0" fontId="237" fillId="0" borderId="10" xfId="41" applyFont="1" applyBorder="1"/>
    <xf numFmtId="3" fontId="41" fillId="40" borderId="58" xfId="0" applyNumberFormat="1" applyFont="1" applyFill="1" applyBorder="1" applyAlignment="1">
      <alignment horizontal="right" vertical="center"/>
    </xf>
    <xf numFmtId="3" fontId="41" fillId="40" borderId="49" xfId="0" applyNumberFormat="1" applyFont="1" applyFill="1" applyBorder="1" applyAlignment="1">
      <alignment horizontal="right" vertical="center"/>
    </xf>
    <xf numFmtId="3" fontId="41" fillId="40" borderId="51" xfId="0" applyNumberFormat="1" applyFont="1" applyFill="1" applyBorder="1" applyAlignment="1">
      <alignment horizontal="right" vertical="center"/>
    </xf>
    <xf numFmtId="0" fontId="52" fillId="34" borderId="0" xfId="41" applyFont="1" applyFill="1" applyBorder="1" applyAlignment="1">
      <alignment horizontal="center"/>
    </xf>
    <xf numFmtId="170" fontId="41" fillId="34" borderId="0" xfId="41" applyNumberFormat="1" applyFont="1" applyFill="1" applyBorder="1" applyAlignment="1">
      <alignment horizontal="center" vertical="top" wrapText="1"/>
    </xf>
    <xf numFmtId="0" fontId="54" fillId="34" borderId="0" xfId="41" applyFont="1" applyFill="1" applyBorder="1" applyAlignment="1">
      <alignment horizontal="center" vertical="top" wrapText="1"/>
    </xf>
    <xf numFmtId="3" fontId="44" fillId="34" borderId="0" xfId="41" applyNumberFormat="1" applyFont="1" applyFill="1" applyBorder="1" applyAlignment="1">
      <alignment horizontal="right" vertical="top" wrapText="1"/>
    </xf>
    <xf numFmtId="9" fontId="48" fillId="34" borderId="0" xfId="41" applyNumberFormat="1" applyFont="1" applyFill="1" applyBorder="1" applyAlignment="1">
      <alignment horizontal="right" vertical="top" wrapText="1"/>
    </xf>
    <xf numFmtId="168" fontId="46" fillId="34" borderId="0" xfId="41" applyNumberFormat="1" applyFont="1" applyFill="1" applyBorder="1" applyAlignment="1">
      <alignment vertical="top" wrapText="1"/>
    </xf>
    <xf numFmtId="0" fontId="44" fillId="34" borderId="0" xfId="41" applyFont="1" applyFill="1" applyBorder="1" applyAlignment="1">
      <alignment horizontal="right" vertical="top" wrapText="1"/>
    </xf>
    <xf numFmtId="0" fontId="135" fillId="34" borderId="0" xfId="41" applyFont="1" applyFill="1"/>
    <xf numFmtId="49" fontId="136" fillId="34" borderId="0" xfId="41" applyNumberFormat="1" applyFont="1" applyFill="1" applyAlignment="1">
      <alignment horizontal="right"/>
    </xf>
    <xf numFmtId="0" fontId="12" fillId="34" borderId="0" xfId="41" applyFont="1" applyFill="1" applyBorder="1" applyAlignment="1">
      <alignment horizontal="left" vertical="center"/>
    </xf>
    <xf numFmtId="0" fontId="57" fillId="34" borderId="0" xfId="41" applyFont="1" applyFill="1"/>
    <xf numFmtId="0" fontId="36" fillId="34" borderId="0" xfId="41" applyFont="1" applyFill="1"/>
    <xf numFmtId="0" fontId="57" fillId="34" borderId="0" xfId="41" applyFont="1" applyFill="1" applyBorder="1"/>
    <xf numFmtId="0" fontId="47" fillId="34" borderId="0" xfId="41" applyFont="1" applyFill="1" applyBorder="1" applyAlignment="1">
      <alignment horizontal="center"/>
    </xf>
    <xf numFmtId="0" fontId="46" fillId="34" borderId="0" xfId="41" applyFont="1" applyFill="1" applyBorder="1" applyAlignment="1">
      <alignment horizontal="center" vertical="center" wrapText="1"/>
    </xf>
    <xf numFmtId="0" fontId="139" fillId="34" borderId="0" xfId="41" applyFont="1" applyFill="1"/>
    <xf numFmtId="0" fontId="54" fillId="34" borderId="0" xfId="41" applyFont="1" applyFill="1" applyBorder="1" applyAlignment="1">
      <alignment horizontal="center"/>
    </xf>
    <xf numFmtId="0" fontId="44" fillId="34" borderId="0" xfId="41" applyFont="1" applyFill="1" applyBorder="1" applyAlignment="1">
      <alignment vertical="center"/>
    </xf>
    <xf numFmtId="0" fontId="44" fillId="34" borderId="0" xfId="41" applyFont="1" applyFill="1"/>
    <xf numFmtId="0" fontId="46" fillId="34" borderId="0" xfId="41" applyFont="1" applyFill="1" applyBorder="1" applyAlignment="1">
      <alignment horizontal="center"/>
    </xf>
    <xf numFmtId="0" fontId="11" fillId="25" borderId="0" xfId="0" applyFont="1" applyFill="1" applyBorder="1" applyAlignment="1">
      <alignment horizontal="left" vertical="center"/>
    </xf>
    <xf numFmtId="0" fontId="14" fillId="0" borderId="0" xfId="40" applyFont="1" applyBorder="1"/>
    <xf numFmtId="0" fontId="180" fillId="0" borderId="0" xfId="40" applyFont="1"/>
    <xf numFmtId="0" fontId="36" fillId="50" borderId="49" xfId="43" applyFont="1" applyFill="1" applyBorder="1" applyAlignment="1">
      <alignment horizontal="center"/>
    </xf>
    <xf numFmtId="0" fontId="36" fillId="50" borderId="50" xfId="43" applyFont="1" applyFill="1" applyBorder="1" applyAlignment="1">
      <alignment horizontal="center"/>
    </xf>
    <xf numFmtId="0" fontId="36" fillId="50" borderId="51" xfId="43" applyFont="1" applyFill="1" applyBorder="1" applyAlignment="1">
      <alignment horizontal="center"/>
    </xf>
    <xf numFmtId="169" fontId="44" fillId="40" borderId="179" xfId="41" applyNumberFormat="1" applyFont="1" applyFill="1" applyBorder="1" applyAlignment="1">
      <alignment vertical="top"/>
    </xf>
    <xf numFmtId="169" fontId="44" fillId="40" borderId="234" xfId="41" applyNumberFormat="1" applyFont="1" applyFill="1" applyBorder="1" applyAlignment="1">
      <alignment vertical="top"/>
    </xf>
    <xf numFmtId="169" fontId="44" fillId="40" borderId="185" xfId="41" applyNumberFormat="1" applyFont="1" applyFill="1" applyBorder="1" applyAlignment="1">
      <alignment vertical="top"/>
    </xf>
    <xf numFmtId="169" fontId="44" fillId="40" borderId="186" xfId="41" applyNumberFormat="1" applyFont="1" applyFill="1" applyBorder="1" applyAlignment="1">
      <alignment vertical="top"/>
    </xf>
    <xf numFmtId="169" fontId="44" fillId="40" borderId="180" xfId="41" applyNumberFormat="1" applyFont="1" applyFill="1" applyBorder="1" applyAlignment="1">
      <alignment vertical="top"/>
    </xf>
    <xf numFmtId="169" fontId="44" fillId="40" borderId="188" xfId="41" applyNumberFormat="1" applyFont="1" applyFill="1" applyBorder="1" applyAlignment="1">
      <alignment vertical="top"/>
    </xf>
    <xf numFmtId="169" fontId="46" fillId="27" borderId="28" xfId="41" applyNumberFormat="1" applyFont="1" applyFill="1" applyBorder="1" applyAlignment="1">
      <alignment vertical="top"/>
    </xf>
    <xf numFmtId="169" fontId="46" fillId="27" borderId="19" xfId="41" applyNumberFormat="1" applyFont="1" applyFill="1" applyBorder="1" applyAlignment="1">
      <alignment vertical="top"/>
    </xf>
    <xf numFmtId="0" fontId="239" fillId="0" borderId="0" xfId="0" applyFont="1" applyFill="1"/>
    <xf numFmtId="0" fontId="90" fillId="25" borderId="0" xfId="0" applyFont="1" applyFill="1" applyBorder="1" applyAlignment="1">
      <alignment horizontal="center" vertical="center" wrapText="1"/>
    </xf>
    <xf numFmtId="0" fontId="240" fillId="0" borderId="0" xfId="0" applyFont="1" applyFill="1"/>
    <xf numFmtId="172" fontId="239" fillId="0" borderId="0" xfId="0" applyNumberFormat="1" applyFont="1" applyFill="1"/>
    <xf numFmtId="0" fontId="37" fillId="0" borderId="0" xfId="41" applyFont="1" applyFill="1" applyBorder="1" applyAlignment="1" applyProtection="1">
      <alignment horizontal="center" vertical="center"/>
    </xf>
    <xf numFmtId="0" fontId="36" fillId="0" borderId="0" xfId="41" applyFont="1" applyBorder="1" applyAlignment="1" applyProtection="1">
      <alignment horizontal="left" vertical="center" indent="1"/>
    </xf>
    <xf numFmtId="0" fontId="212" fillId="37" borderId="0" xfId="41" applyFont="1" applyFill="1" applyBorder="1" applyAlignment="1" applyProtection="1">
      <alignment horizontal="center" vertical="center"/>
    </xf>
    <xf numFmtId="0" fontId="215" fillId="37" borderId="0" xfId="41" applyFont="1" applyFill="1" applyBorder="1" applyAlignment="1" applyProtection="1">
      <alignment horizontal="left" vertical="center" indent="1"/>
    </xf>
    <xf numFmtId="0" fontId="42" fillId="0" borderId="309" xfId="58" quotePrefix="1" applyFont="1" applyBorder="1" applyAlignment="1">
      <alignment horizontal="left" indent="1"/>
    </xf>
    <xf numFmtId="0" fontId="42" fillId="0" borderId="129" xfId="58" applyFont="1" applyBorder="1"/>
    <xf numFmtId="0" fontId="42" fillId="0" borderId="310" xfId="58" applyFont="1" applyBorder="1"/>
    <xf numFmtId="0" fontId="182" fillId="0" borderId="276" xfId="58" applyFont="1" applyBorder="1"/>
    <xf numFmtId="0" fontId="42" fillId="0" borderId="131" xfId="58" applyFont="1" applyBorder="1"/>
    <xf numFmtId="0" fontId="42" fillId="0" borderId="276" xfId="58" quotePrefix="1" applyFont="1" applyBorder="1" applyAlignment="1">
      <alignment horizontal="left" indent="1"/>
    </xf>
    <xf numFmtId="0" fontId="42" fillId="0" borderId="311" xfId="58" applyFont="1" applyBorder="1" applyAlignment="1">
      <alignment horizontal="left" indent="1"/>
    </xf>
    <xf numFmtId="0" fontId="42" fillId="0" borderId="132" xfId="58" applyFont="1" applyBorder="1"/>
    <xf numFmtId="0" fontId="183" fillId="0" borderId="132" xfId="58" applyFont="1" applyBorder="1"/>
    <xf numFmtId="0" fontId="185" fillId="0" borderId="132" xfId="146" applyFont="1" applyBorder="1" applyAlignment="1" applyProtection="1"/>
    <xf numFmtId="0" fontId="184" fillId="0" borderId="132" xfId="58" applyFont="1" applyBorder="1"/>
    <xf numFmtId="0" fontId="184" fillId="0" borderId="312" xfId="58" applyFont="1" applyBorder="1"/>
    <xf numFmtId="0" fontId="8" fillId="0" borderId="0" xfId="58" applyFont="1" applyBorder="1" applyAlignment="1">
      <alignment horizontal="left" indent="1"/>
    </xf>
    <xf numFmtId="0" fontId="115" fillId="0" borderId="0" xfId="58" applyFont="1" applyBorder="1" applyAlignment="1">
      <alignment horizontal="left" indent="2"/>
    </xf>
    <xf numFmtId="0" fontId="115" fillId="0" borderId="0" xfId="58" applyFont="1" applyBorder="1"/>
    <xf numFmtId="0" fontId="147" fillId="0" borderId="0" xfId="58" applyFont="1" applyBorder="1" applyAlignment="1">
      <alignment horizontal="left" indent="1"/>
    </xf>
    <xf numFmtId="0" fontId="115" fillId="0" borderId="0" xfId="58" applyFont="1" applyBorder="1" applyAlignment="1">
      <alignment horizontal="left" indent="3"/>
    </xf>
    <xf numFmtId="0" fontId="115" fillId="0" borderId="0" xfId="58" applyFont="1" applyBorder="1" applyAlignment="1">
      <alignment horizontal="left" indent="4"/>
    </xf>
    <xf numFmtId="0" fontId="148" fillId="0" borderId="0" xfId="58" applyFont="1" applyBorder="1" applyAlignment="1">
      <alignment horizontal="left" indent="6"/>
    </xf>
    <xf numFmtId="0" fontId="6" fillId="0" borderId="13" xfId="58" applyFont="1" applyBorder="1"/>
    <xf numFmtId="0" fontId="8" fillId="0" borderId="248" xfId="58" applyFont="1" applyBorder="1" applyAlignment="1">
      <alignment horizontal="center" vertical="center"/>
    </xf>
    <xf numFmtId="0" fontId="12" fillId="25" borderId="246" xfId="41" applyFont="1" applyFill="1" applyBorder="1" applyAlignment="1">
      <alignment horizontal="left" vertical="center"/>
    </xf>
    <xf numFmtId="0" fontId="12" fillId="25" borderId="247" xfId="41" applyFont="1" applyFill="1" applyBorder="1" applyAlignment="1">
      <alignment horizontal="left" vertical="center"/>
    </xf>
    <xf numFmtId="0" fontId="51" fillId="25" borderId="309" xfId="41" applyFont="1" applyFill="1" applyBorder="1" applyAlignment="1">
      <alignment horizontal="left" vertical="center"/>
    </xf>
    <xf numFmtId="0" fontId="51" fillId="25" borderId="129" xfId="41" applyFont="1" applyFill="1" applyBorder="1" applyAlignment="1">
      <alignment horizontal="left" vertical="center"/>
    </xf>
    <xf numFmtId="0" fontId="37" fillId="58" borderId="313" xfId="41" applyFont="1" applyFill="1" applyBorder="1" applyAlignment="1" applyProtection="1">
      <alignment horizontal="left" vertical="center" indent="1" shrinkToFit="1"/>
      <protection locked="0"/>
    </xf>
    <xf numFmtId="0" fontId="51" fillId="25" borderId="311" xfId="41" applyFont="1" applyFill="1" applyBorder="1" applyAlignment="1" applyProtection="1">
      <alignment horizontal="left" vertical="center"/>
    </xf>
    <xf numFmtId="0" fontId="51" fillId="25" borderId="132" xfId="41" applyFont="1" applyFill="1" applyBorder="1" applyAlignment="1" applyProtection="1">
      <alignment horizontal="left" vertical="center"/>
    </xf>
    <xf numFmtId="0" fontId="51" fillId="25" borderId="129" xfId="41" applyFont="1" applyFill="1" applyBorder="1" applyAlignment="1" applyProtection="1">
      <alignment horizontal="left" vertical="center"/>
    </xf>
    <xf numFmtId="0" fontId="51" fillId="25" borderId="311" xfId="41" applyFont="1" applyFill="1" applyBorder="1" applyAlignment="1">
      <alignment horizontal="left" vertical="center"/>
    </xf>
    <xf numFmtId="0" fontId="51" fillId="25" borderId="276" xfId="41" applyFont="1" applyFill="1" applyBorder="1" applyAlignment="1">
      <alignment horizontal="left" vertical="center"/>
    </xf>
    <xf numFmtId="0" fontId="51" fillId="35" borderId="0" xfId="41" applyFont="1" applyFill="1" applyBorder="1" applyAlignment="1" applyProtection="1">
      <alignment horizontal="left" vertical="center"/>
    </xf>
    <xf numFmtId="14" fontId="242" fillId="35" borderId="131" xfId="41" applyNumberFormat="1" applyFont="1" applyFill="1" applyBorder="1" applyAlignment="1" applyProtection="1">
      <alignment horizontal="center" vertical="center"/>
    </xf>
    <xf numFmtId="0" fontId="159" fillId="0" borderId="0" xfId="0" applyFont="1" applyAlignment="1"/>
    <xf numFmtId="0" fontId="54" fillId="25" borderId="314" xfId="41" applyFont="1" applyFill="1" applyBorder="1" applyAlignment="1">
      <alignment horizontal="centerContinuous"/>
    </xf>
    <xf numFmtId="0" fontId="54" fillId="25" borderId="315" xfId="41" applyFont="1" applyFill="1" applyBorder="1" applyAlignment="1">
      <alignment horizontal="center" vertical="center"/>
    </xf>
    <xf numFmtId="0" fontId="54" fillId="25" borderId="316" xfId="41" applyFont="1" applyFill="1" applyBorder="1" applyAlignment="1">
      <alignment horizontal="centerContinuous"/>
    </xf>
    <xf numFmtId="0" fontId="54" fillId="25" borderId="317" xfId="41" applyFont="1" applyFill="1" applyBorder="1" applyAlignment="1">
      <alignment horizontal="centerContinuous"/>
    </xf>
    <xf numFmtId="0" fontId="54" fillId="25" borderId="318" xfId="41" applyFont="1" applyFill="1" applyBorder="1" applyAlignment="1">
      <alignment horizontal="centerContinuous"/>
    </xf>
    <xf numFmtId="0" fontId="54" fillId="25" borderId="319" xfId="41" applyFont="1" applyFill="1" applyBorder="1" applyAlignment="1">
      <alignment horizontal="centerContinuous"/>
    </xf>
    <xf numFmtId="0" fontId="54" fillId="25" borderId="320" xfId="41" applyFont="1" applyFill="1" applyBorder="1" applyAlignment="1">
      <alignment horizontal="centerContinuous"/>
    </xf>
    <xf numFmtId="0" fontId="54" fillId="25" borderId="311" xfId="41" applyFont="1" applyFill="1" applyBorder="1" applyAlignment="1">
      <alignment horizontal="center"/>
    </xf>
    <xf numFmtId="0" fontId="121" fillId="25" borderId="321" xfId="41" applyFont="1" applyFill="1" applyBorder="1" applyAlignment="1">
      <alignment horizontal="center"/>
    </xf>
    <xf numFmtId="0" fontId="54" fillId="25" borderId="321" xfId="41" applyFont="1" applyFill="1" applyBorder="1" applyAlignment="1">
      <alignment horizontal="center"/>
    </xf>
    <xf numFmtId="0" fontId="54" fillId="25" borderId="322" xfId="41" applyFont="1" applyFill="1" applyBorder="1" applyAlignment="1">
      <alignment horizontal="centerContinuous"/>
    </xf>
    <xf numFmtId="0" fontId="54" fillId="25" borderId="323" xfId="41" applyFont="1" applyFill="1" applyBorder="1" applyAlignment="1">
      <alignment horizontal="center"/>
    </xf>
    <xf numFmtId="0" fontId="54" fillId="25" borderId="324" xfId="41" applyFont="1" applyFill="1" applyBorder="1" applyAlignment="1">
      <alignment horizontal="center"/>
    </xf>
    <xf numFmtId="0" fontId="44" fillId="0" borderId="191" xfId="41" applyFont="1" applyBorder="1" applyAlignment="1">
      <alignment horizontal="left" indent="1"/>
    </xf>
    <xf numFmtId="0" fontId="132" fillId="0" borderId="276" xfId="58" applyFont="1" applyBorder="1"/>
    <xf numFmtId="0" fontId="183" fillId="0" borderId="0" xfId="58" applyFont="1" applyBorder="1" applyAlignment="1">
      <alignment horizontal="left" indent="2"/>
    </xf>
    <xf numFmtId="0" fontId="133" fillId="0" borderId="0" xfId="58" applyFont="1" applyBorder="1" applyAlignment="1">
      <alignment horizontal="left" indent="2"/>
    </xf>
    <xf numFmtId="0" fontId="17" fillId="0" borderId="0" xfId="58" applyFont="1" applyBorder="1"/>
    <xf numFmtId="0" fontId="244" fillId="0" borderId="0" xfId="0" applyFont="1" applyAlignment="1"/>
    <xf numFmtId="0" fontId="244" fillId="0" borderId="0" xfId="0" applyFont="1"/>
    <xf numFmtId="0" fontId="183" fillId="0" borderId="0" xfId="58" quotePrefix="1" applyFont="1" applyBorder="1"/>
    <xf numFmtId="0" fontId="67" fillId="0" borderId="55" xfId="0" applyFont="1" applyFill="1" applyBorder="1" applyAlignment="1">
      <alignment horizontal="right" vertical="center"/>
    </xf>
    <xf numFmtId="0" fontId="48" fillId="0" borderId="325" xfId="41" applyFont="1" applyBorder="1" applyAlignment="1">
      <alignment horizontal="right" vertical="top" wrapText="1"/>
    </xf>
    <xf numFmtId="3" fontId="44" fillId="40" borderId="299" xfId="41" applyNumberFormat="1" applyFont="1" applyFill="1" applyBorder="1" applyAlignment="1">
      <alignment horizontal="right" vertical="top" wrapText="1"/>
    </xf>
    <xf numFmtId="3" fontId="44" fillId="40" borderId="326" xfId="41" applyNumberFormat="1" applyFont="1" applyFill="1" applyBorder="1" applyAlignment="1">
      <alignment horizontal="right" vertical="top" wrapText="1"/>
    </xf>
    <xf numFmtId="0" fontId="214" fillId="37" borderId="325" xfId="41" applyFont="1" applyFill="1" applyBorder="1" applyAlignment="1">
      <alignment horizontal="right" vertical="top" wrapText="1"/>
    </xf>
    <xf numFmtId="3" fontId="215" fillId="37" borderId="299" xfId="41" applyNumberFormat="1" applyFont="1" applyFill="1" applyBorder="1" applyAlignment="1">
      <alignment horizontal="right" vertical="top" wrapText="1"/>
    </xf>
    <xf numFmtId="3" fontId="215" fillId="37" borderId="326" xfId="41" applyNumberFormat="1" applyFont="1" applyFill="1" applyBorder="1" applyAlignment="1">
      <alignment horizontal="right" vertical="top" wrapText="1"/>
    </xf>
    <xf numFmtId="0" fontId="48" fillId="0" borderId="327" xfId="41" applyFont="1" applyBorder="1" applyAlignment="1">
      <alignment horizontal="left" vertical="top" wrapText="1" indent="1"/>
    </xf>
    <xf numFmtId="0" fontId="48" fillId="0" borderId="325" xfId="41" applyFont="1" applyBorder="1" applyAlignment="1">
      <alignment horizontal="left" vertical="top" wrapText="1" indent="1"/>
    </xf>
    <xf numFmtId="0" fontId="214" fillId="37" borderId="327" xfId="41" applyFont="1" applyFill="1" applyBorder="1" applyAlignment="1">
      <alignment horizontal="left" vertical="top" wrapText="1" indent="1"/>
    </xf>
    <xf numFmtId="0" fontId="214" fillId="37" borderId="325" xfId="41" applyFont="1" applyFill="1" applyBorder="1" applyAlignment="1">
      <alignment horizontal="left" vertical="top" wrapText="1" indent="1"/>
    </xf>
    <xf numFmtId="9" fontId="42" fillId="40" borderId="50" xfId="44" applyFont="1" applyFill="1" applyBorder="1" applyAlignment="1">
      <alignment horizontal="right" vertical="center"/>
    </xf>
    <xf numFmtId="9" fontId="42" fillId="40" borderId="53" xfId="44" applyFont="1" applyFill="1" applyBorder="1" applyAlignment="1">
      <alignment horizontal="right" vertical="center"/>
    </xf>
    <xf numFmtId="0" fontId="214" fillId="37" borderId="50" xfId="0" applyFont="1" applyFill="1" applyBorder="1" applyAlignment="1">
      <alignment horizontal="center"/>
    </xf>
    <xf numFmtId="0" fontId="48" fillId="0" borderId="50" xfId="0" applyFont="1" applyFill="1" applyBorder="1" applyAlignment="1">
      <alignment horizontal="center"/>
    </xf>
    <xf numFmtId="0" fontId="46" fillId="29" borderId="328" xfId="0" applyFont="1" applyFill="1" applyBorder="1" applyAlignment="1">
      <alignment vertical="center"/>
    </xf>
    <xf numFmtId="3" fontId="50" fillId="29" borderId="329" xfId="0" applyNumberFormat="1" applyFont="1" applyFill="1" applyBorder="1" applyAlignment="1">
      <alignment vertical="center"/>
    </xf>
    <xf numFmtId="0" fontId="212" fillId="37" borderId="330" xfId="0" applyFont="1" applyFill="1" applyBorder="1" applyAlignment="1">
      <alignment vertical="center"/>
    </xf>
    <xf numFmtId="173" fontId="69" fillId="27" borderId="38" xfId="0" applyNumberFormat="1" applyFont="1" applyFill="1" applyBorder="1" applyAlignment="1">
      <alignment vertical="center"/>
    </xf>
    <xf numFmtId="0" fontId="18" fillId="0" borderId="97" xfId="0" quotePrefix="1" applyFont="1" applyFill="1" applyBorder="1" applyAlignment="1">
      <alignment horizontal="center" vertical="center"/>
    </xf>
    <xf numFmtId="3" fontId="63" fillId="27" borderId="108" xfId="0" applyNumberFormat="1" applyFont="1" applyFill="1" applyBorder="1" applyAlignment="1">
      <alignment vertical="center"/>
    </xf>
    <xf numFmtId="3" fontId="63" fillId="27" borderId="97" xfId="0" applyNumberFormat="1" applyFont="1" applyFill="1" applyBorder="1" applyAlignment="1">
      <alignment vertical="center"/>
    </xf>
    <xf numFmtId="0" fontId="41" fillId="26" borderId="331" xfId="0" applyFont="1" applyFill="1" applyBorder="1" applyAlignment="1">
      <alignment horizontal="center" vertical="center"/>
    </xf>
    <xf numFmtId="0" fontId="8" fillId="41" borderId="0" xfId="0" applyFont="1" applyFill="1" applyAlignment="1">
      <alignment horizontal="left" vertical="center"/>
    </xf>
    <xf numFmtId="0" fontId="6" fillId="41" borderId="0" xfId="0" applyFont="1" applyFill="1" applyAlignment="1">
      <alignment vertical="center"/>
    </xf>
    <xf numFmtId="0" fontId="6" fillId="41" borderId="0" xfId="0" applyFont="1" applyFill="1"/>
    <xf numFmtId="0" fontId="245" fillId="41" borderId="0" xfId="0" applyFont="1" applyFill="1"/>
    <xf numFmtId="0" fontId="6" fillId="41" borderId="0" xfId="0" applyFont="1" applyFill="1" applyAlignment="1">
      <alignment horizontal="left"/>
    </xf>
    <xf numFmtId="0" fontId="8" fillId="43" borderId="0" xfId="0" applyFont="1" applyFill="1" applyAlignment="1">
      <alignment horizontal="left" vertical="center"/>
    </xf>
    <xf numFmtId="0" fontId="6" fillId="43" borderId="0" xfId="0" applyFont="1" applyFill="1" applyAlignment="1">
      <alignment vertical="center"/>
    </xf>
    <xf numFmtId="0" fontId="6" fillId="43" borderId="0" xfId="0" applyFont="1" applyFill="1"/>
    <xf numFmtId="0" fontId="245" fillId="43" borderId="0" xfId="0" applyFont="1" applyFill="1"/>
    <xf numFmtId="0" fontId="6" fillId="43" borderId="0" xfId="0" applyFont="1" applyFill="1" applyAlignment="1">
      <alignment horizontal="left"/>
    </xf>
    <xf numFmtId="0" fontId="0" fillId="41" borderId="0" xfId="0" applyFill="1" applyAlignment="1">
      <alignment vertical="center"/>
    </xf>
    <xf numFmtId="0" fontId="67" fillId="41" borderId="0" xfId="0" applyFont="1" applyFill="1" applyAlignment="1">
      <alignment vertical="center"/>
    </xf>
    <xf numFmtId="0" fontId="9" fillId="41" borderId="0" xfId="0" applyFont="1" applyFill="1" applyAlignment="1">
      <alignment vertical="center"/>
    </xf>
    <xf numFmtId="3" fontId="75" fillId="41" borderId="0" xfId="0" applyNumberFormat="1" applyFont="1" applyFill="1" applyAlignment="1">
      <alignment vertical="center"/>
    </xf>
    <xf numFmtId="3" fontId="9" fillId="41" borderId="0" xfId="0" applyNumberFormat="1" applyFont="1" applyFill="1" applyAlignment="1">
      <alignment vertical="center"/>
    </xf>
    <xf numFmtId="0" fontId="77" fillId="41" borderId="0" xfId="0" applyFont="1" applyFill="1" applyAlignment="1">
      <alignment vertical="center"/>
    </xf>
    <xf numFmtId="3" fontId="73" fillId="41" borderId="0" xfId="0" applyNumberFormat="1" applyFont="1" applyFill="1" applyAlignment="1">
      <alignment vertical="center"/>
    </xf>
    <xf numFmtId="0" fontId="0" fillId="41" borderId="0" xfId="0" applyFill="1" applyBorder="1" applyAlignment="1">
      <alignment vertical="center"/>
    </xf>
    <xf numFmtId="0" fontId="73" fillId="41" borderId="0" xfId="0" applyFont="1" applyFill="1" applyAlignment="1">
      <alignment vertical="center"/>
    </xf>
    <xf numFmtId="3" fontId="0" fillId="41" borderId="0" xfId="0" applyNumberFormat="1" applyFill="1" applyAlignment="1">
      <alignment vertical="center"/>
    </xf>
    <xf numFmtId="0" fontId="0" fillId="41" borderId="0" xfId="0" applyFill="1"/>
    <xf numFmtId="0" fontId="80" fillId="41" borderId="0" xfId="0" applyFont="1" applyFill="1" applyAlignment="1">
      <alignment vertical="center"/>
    </xf>
    <xf numFmtId="0" fontId="78" fillId="41" borderId="0" xfId="0" applyFont="1" applyFill="1" applyAlignment="1">
      <alignment vertical="center"/>
    </xf>
    <xf numFmtId="0" fontId="70" fillId="41" borderId="0" xfId="0" applyFont="1" applyFill="1" applyAlignment="1">
      <alignment vertical="center"/>
    </xf>
    <xf numFmtId="0" fontId="0" fillId="43" borderId="0" xfId="0" applyFill="1" applyAlignment="1">
      <alignment vertical="center"/>
    </xf>
    <xf numFmtId="0" fontId="67" fillId="43" borderId="0" xfId="0" applyFont="1" applyFill="1" applyAlignment="1">
      <alignment vertical="center"/>
    </xf>
    <xf numFmtId="0" fontId="9" fillId="43" borderId="0" xfId="0" applyFont="1" applyFill="1" applyAlignment="1">
      <alignment vertical="center"/>
    </xf>
    <xf numFmtId="3" fontId="75" fillId="43" borderId="0" xfId="0" applyNumberFormat="1" applyFont="1" applyFill="1" applyAlignment="1">
      <alignment vertical="center"/>
    </xf>
    <xf numFmtId="3" fontId="9" fillId="43" borderId="0" xfId="0" applyNumberFormat="1" applyFont="1" applyFill="1" applyAlignment="1">
      <alignment vertical="center"/>
    </xf>
    <xf numFmtId="0" fontId="77" fillId="43" borderId="0" xfId="0" applyFont="1" applyFill="1" applyAlignment="1">
      <alignment vertical="center"/>
    </xf>
    <xf numFmtId="3" fontId="73" fillId="43" borderId="0" xfId="0" applyNumberFormat="1" applyFont="1" applyFill="1" applyAlignment="1">
      <alignment vertical="center"/>
    </xf>
    <xf numFmtId="0" fontId="0" fillId="43" borderId="0" xfId="0" applyFill="1" applyBorder="1" applyAlignment="1">
      <alignment vertical="center"/>
    </xf>
    <xf numFmtId="0" fontId="73" fillId="43" borderId="0" xfId="0" applyFont="1" applyFill="1" applyAlignment="1">
      <alignment vertical="center"/>
    </xf>
    <xf numFmtId="3" fontId="0" fillId="43" borderId="0" xfId="0" applyNumberFormat="1" applyFill="1" applyAlignment="1">
      <alignment vertical="center"/>
    </xf>
    <xf numFmtId="0" fontId="0" fillId="43" borderId="0" xfId="0" applyFill="1"/>
    <xf numFmtId="0" fontId="80" fillId="43" borderId="0" xfId="0" applyFont="1" applyFill="1" applyAlignment="1">
      <alignment vertical="center"/>
    </xf>
    <xf numFmtId="0" fontId="78" fillId="43" borderId="0" xfId="0" applyFont="1" applyFill="1" applyAlignment="1">
      <alignment vertical="center"/>
    </xf>
    <xf numFmtId="0" fontId="70" fillId="43" borderId="0" xfId="0" applyFont="1" applyFill="1" applyAlignment="1">
      <alignment vertical="center"/>
    </xf>
    <xf numFmtId="169" fontId="46" fillId="27" borderId="0" xfId="41" applyNumberFormat="1" applyFont="1" applyFill="1" applyBorder="1" applyAlignment="1">
      <alignment horizontal="right" vertical="top"/>
    </xf>
    <xf numFmtId="169" fontId="161" fillId="25" borderId="0" xfId="41" applyNumberFormat="1" applyFont="1" applyFill="1" applyBorder="1" applyAlignment="1">
      <alignment horizontal="right" vertical="top"/>
    </xf>
    <xf numFmtId="0" fontId="46" fillId="0" borderId="0" xfId="41" applyFont="1" applyBorder="1" applyAlignment="1">
      <alignment horizontal="left"/>
    </xf>
    <xf numFmtId="0" fontId="212" fillId="37" borderId="0" xfId="41" applyFont="1" applyFill="1" applyBorder="1" applyAlignment="1">
      <alignment horizontal="left"/>
    </xf>
    <xf numFmtId="169" fontId="212" fillId="37" borderId="0" xfId="41" applyNumberFormat="1" applyFont="1" applyFill="1" applyBorder="1" applyAlignment="1">
      <alignment horizontal="right" vertical="top"/>
    </xf>
    <xf numFmtId="169" fontId="161" fillId="0" borderId="0" xfId="41" applyNumberFormat="1" applyFont="1" applyFill="1" applyBorder="1" applyAlignment="1">
      <alignment horizontal="right" vertical="top"/>
    </xf>
    <xf numFmtId="0" fontId="12" fillId="25" borderId="0" xfId="0" applyFont="1" applyFill="1" applyBorder="1" applyAlignment="1">
      <alignment horizontal="centerContinuous"/>
    </xf>
    <xf numFmtId="0" fontId="61" fillId="25" borderId="13" xfId="0" applyFont="1" applyFill="1" applyBorder="1" applyAlignment="1">
      <alignment horizontal="center" vertical="center" wrapText="1"/>
    </xf>
    <xf numFmtId="0" fontId="43" fillId="26" borderId="0" xfId="0" applyFont="1" applyFill="1" applyBorder="1" applyAlignment="1">
      <alignment horizontal="center" vertical="center"/>
    </xf>
    <xf numFmtId="0" fontId="41" fillId="26" borderId="0" xfId="0" applyFont="1" applyFill="1" applyBorder="1" applyAlignment="1">
      <alignment horizontal="center" vertical="center"/>
    </xf>
    <xf numFmtId="0" fontId="210" fillId="37" borderId="0" xfId="0" applyFont="1" applyFill="1" applyBorder="1" applyAlignment="1">
      <alignment horizontal="centerContinuous"/>
    </xf>
    <xf numFmtId="0" fontId="159" fillId="37" borderId="13" xfId="0" applyFont="1" applyFill="1" applyBorder="1" applyAlignment="1">
      <alignment horizontal="center" vertical="center" wrapText="1"/>
    </xf>
    <xf numFmtId="0" fontId="207" fillId="37" borderId="0" xfId="0" applyFont="1" applyFill="1" applyBorder="1" applyAlignment="1">
      <alignment horizontal="center" vertical="center"/>
    </xf>
    <xf numFmtId="0" fontId="212" fillId="37" borderId="0" xfId="0" applyFont="1" applyFill="1" applyBorder="1" applyAlignment="1">
      <alignment horizontal="center" vertical="center"/>
    </xf>
    <xf numFmtId="0" fontId="61" fillId="25" borderId="335" xfId="0" applyFont="1" applyFill="1" applyBorder="1" applyAlignment="1">
      <alignment horizontal="center" vertical="center" wrapText="1"/>
    </xf>
    <xf numFmtId="0" fontId="12" fillId="25" borderId="336" xfId="0" applyFont="1" applyFill="1" applyBorder="1" applyAlignment="1">
      <alignment horizontal="centerContinuous"/>
    </xf>
    <xf numFmtId="0" fontId="12" fillId="25" borderId="337" xfId="0" applyFont="1" applyFill="1" applyBorder="1" applyAlignment="1">
      <alignment horizontal="centerContinuous"/>
    </xf>
    <xf numFmtId="0" fontId="12" fillId="25" borderId="338" xfId="0" applyFont="1" applyFill="1" applyBorder="1" applyAlignment="1">
      <alignment horizontal="centerContinuous"/>
    </xf>
    <xf numFmtId="0" fontId="12" fillId="25" borderId="339" xfId="0" applyFont="1" applyFill="1" applyBorder="1" applyAlignment="1">
      <alignment horizontal="centerContinuous"/>
    </xf>
    <xf numFmtId="0" fontId="12" fillId="25" borderId="340" xfId="0" applyFont="1" applyFill="1" applyBorder="1" applyAlignment="1">
      <alignment horizontal="centerContinuous"/>
    </xf>
    <xf numFmtId="0" fontId="12" fillId="25" borderId="341" xfId="0" applyFont="1" applyFill="1" applyBorder="1" applyAlignment="1">
      <alignment horizontal="centerContinuous"/>
    </xf>
    <xf numFmtId="0" fontId="49" fillId="34" borderId="11" xfId="0" applyFont="1" applyFill="1" applyBorder="1" applyAlignment="1" applyProtection="1">
      <alignment horizontal="center" vertical="center"/>
    </xf>
    <xf numFmtId="0" fontId="73" fillId="0" borderId="11" xfId="0" applyFont="1" applyFill="1" applyBorder="1" applyAlignment="1" applyProtection="1">
      <alignment horizontal="center" vertical="center"/>
    </xf>
    <xf numFmtId="3" fontId="22" fillId="34" borderId="0" xfId="0" applyNumberFormat="1" applyFont="1" applyFill="1" applyBorder="1" applyAlignment="1"/>
    <xf numFmtId="0" fontId="36" fillId="0" borderId="0" xfId="58" applyFont="1"/>
    <xf numFmtId="0" fontId="247" fillId="0" borderId="342" xfId="101" applyNumberFormat="1" applyFont="1" applyFill="1" applyBorder="1" applyAlignment="1">
      <alignment horizontal="left" vertical="center"/>
    </xf>
    <xf numFmtId="0" fontId="247" fillId="0" borderId="0" xfId="101" applyNumberFormat="1" applyFont="1" applyFill="1" applyBorder="1" applyAlignment="1">
      <alignment horizontal="left" vertical="center"/>
    </xf>
    <xf numFmtId="0" fontId="249" fillId="36" borderId="344" xfId="101" applyNumberFormat="1" applyFont="1" applyFill="1" applyBorder="1" applyAlignment="1">
      <alignment horizontal="center" vertical="center"/>
    </xf>
    <xf numFmtId="0" fontId="249" fillId="36" borderId="345" xfId="101" applyNumberFormat="1" applyFont="1" applyFill="1" applyBorder="1" applyAlignment="1">
      <alignment horizontal="center" vertical="center"/>
    </xf>
    <xf numFmtId="180" fontId="249" fillId="36" borderId="345" xfId="101" applyNumberFormat="1" applyFont="1" applyFill="1" applyBorder="1" applyAlignment="1">
      <alignment horizontal="center" vertical="center" wrapText="1"/>
    </xf>
    <xf numFmtId="180" fontId="249" fillId="36" borderId="344" xfId="101" applyNumberFormat="1" applyFont="1" applyFill="1" applyBorder="1" applyAlignment="1">
      <alignment horizontal="center" vertical="center" wrapText="1"/>
    </xf>
    <xf numFmtId="180" fontId="249" fillId="36" borderId="344" xfId="101" applyNumberFormat="1" applyFont="1" applyFill="1" applyBorder="1" applyAlignment="1">
      <alignment horizontal="center" vertical="center"/>
    </xf>
    <xf numFmtId="49" fontId="36" fillId="0" borderId="0" xfId="102" applyNumberFormat="1" applyFont="1" applyBorder="1"/>
    <xf numFmtId="49" fontId="36" fillId="0" borderId="0" xfId="58" applyNumberFormat="1" applyFont="1" applyBorder="1"/>
    <xf numFmtId="0" fontId="36" fillId="0" borderId="0" xfId="58" applyFont="1" applyBorder="1" applyAlignment="1">
      <alignment horizontal="center"/>
    </xf>
    <xf numFmtId="181" fontId="36" fillId="0" borderId="0" xfId="102" applyFont="1" applyFill="1" applyBorder="1"/>
    <xf numFmtId="0" fontId="47" fillId="26" borderId="16" xfId="41" applyFont="1" applyFill="1" applyBorder="1" applyAlignment="1">
      <alignment horizontal="center"/>
    </xf>
    <xf numFmtId="0" fontId="46" fillId="0" borderId="42" xfId="41" applyFont="1" applyBorder="1" applyAlignment="1">
      <alignment vertical="center" wrapText="1"/>
    </xf>
    <xf numFmtId="0" fontId="37" fillId="58" borderId="353" xfId="41" applyFont="1" applyFill="1" applyBorder="1" applyAlignment="1" applyProtection="1">
      <alignment vertical="center" shrinkToFit="1"/>
      <protection locked="0"/>
    </xf>
    <xf numFmtId="0" fontId="44" fillId="34" borderId="13" xfId="41" applyFont="1" applyFill="1" applyBorder="1"/>
    <xf numFmtId="0" fontId="46" fillId="0" borderId="10" xfId="41" applyFont="1" applyBorder="1" applyAlignment="1">
      <alignment horizontal="center" vertical="center" wrapText="1"/>
    </xf>
    <xf numFmtId="170" fontId="41" fillId="28" borderId="13" xfId="41" applyNumberFormat="1" applyFont="1" applyFill="1" applyBorder="1" applyAlignment="1">
      <alignment horizontal="center" vertical="top" wrapText="1"/>
    </xf>
    <xf numFmtId="0" fontId="54" fillId="25" borderId="15" xfId="41" applyFont="1" applyFill="1" applyBorder="1" applyAlignment="1">
      <alignment horizontal="center" vertical="top" wrapText="1"/>
    </xf>
    <xf numFmtId="3" fontId="44" fillId="40" borderId="0" xfId="41" applyNumberFormat="1" applyFont="1" applyFill="1" applyBorder="1" applyAlignment="1">
      <alignment horizontal="right" vertical="top" wrapText="1"/>
    </xf>
    <xf numFmtId="9" fontId="48" fillId="40" borderId="0" xfId="41" applyNumberFormat="1" applyFont="1" applyFill="1" applyBorder="1" applyAlignment="1">
      <alignment horizontal="right" vertical="top" wrapText="1"/>
    </xf>
    <xf numFmtId="3" fontId="44" fillId="40" borderId="13" xfId="41" applyNumberFormat="1" applyFont="1" applyFill="1" applyBorder="1" applyAlignment="1">
      <alignment horizontal="right" vertical="top" wrapText="1"/>
    </xf>
    <xf numFmtId="168" fontId="46" fillId="48" borderId="16" xfId="41" applyNumberFormat="1" applyFont="1" applyFill="1" applyBorder="1" applyAlignment="1">
      <alignment vertical="top" wrapText="1"/>
    </xf>
    <xf numFmtId="0" fontId="37" fillId="58" borderId="28" xfId="41" applyFont="1" applyFill="1" applyBorder="1" applyAlignment="1" applyProtection="1">
      <alignment vertical="center" shrinkToFit="1"/>
      <protection locked="0"/>
    </xf>
    <xf numFmtId="0" fontId="46" fillId="0" borderId="0" xfId="41" applyFont="1" applyBorder="1" applyAlignment="1">
      <alignment horizontal="center"/>
    </xf>
    <xf numFmtId="0" fontId="46" fillId="53" borderId="0" xfId="41" applyFont="1" applyFill="1" applyBorder="1" applyAlignment="1">
      <alignment horizontal="center"/>
    </xf>
    <xf numFmtId="49" fontId="36" fillId="0" borderId="347" xfId="102" applyNumberFormat="1" applyFont="1" applyBorder="1" applyAlignment="1">
      <alignment wrapText="1"/>
    </xf>
    <xf numFmtId="0" fontId="36" fillId="0" borderId="347" xfId="102" applyNumberFormat="1" applyFont="1" applyBorder="1" applyAlignment="1">
      <alignment horizontal="center" wrapText="1"/>
    </xf>
    <xf numFmtId="0" fontId="36" fillId="0" borderId="348" xfId="102" applyNumberFormat="1" applyFont="1" applyFill="1" applyBorder="1" applyAlignment="1">
      <alignment horizontal="center" wrapText="1"/>
    </xf>
    <xf numFmtId="181" fontId="36" fillId="0" borderId="346" xfId="102" applyFont="1" applyFill="1" applyBorder="1" applyAlignment="1">
      <alignment wrapText="1"/>
    </xf>
    <xf numFmtId="49" fontId="36" fillId="0" borderId="346" xfId="102" applyNumberFormat="1" applyFont="1" applyBorder="1" applyAlignment="1">
      <alignment wrapText="1"/>
    </xf>
    <xf numFmtId="49" fontId="36" fillId="0" borderId="349" xfId="102" applyNumberFormat="1" applyFont="1" applyFill="1" applyBorder="1" applyAlignment="1">
      <alignment wrapText="1"/>
    </xf>
    <xf numFmtId="49" fontId="36" fillId="0" borderId="350" xfId="102" applyNumberFormat="1" applyFont="1" applyBorder="1" applyAlignment="1">
      <alignment wrapText="1"/>
    </xf>
    <xf numFmtId="49" fontId="36" fillId="0" borderId="347" xfId="102" applyNumberFormat="1" applyFont="1" applyFill="1" applyBorder="1" applyAlignment="1">
      <alignment wrapText="1"/>
    </xf>
    <xf numFmtId="49" fontId="36" fillId="0" borderId="347" xfId="58" applyNumberFormat="1" applyFont="1" applyBorder="1" applyAlignment="1">
      <alignment wrapText="1"/>
    </xf>
    <xf numFmtId="0" fontId="36" fillId="0" borderId="347" xfId="58" applyNumberFormat="1" applyFont="1" applyBorder="1" applyAlignment="1">
      <alignment horizontal="center" wrapText="1"/>
    </xf>
    <xf numFmtId="0" fontId="36" fillId="0" borderId="351" xfId="58" applyNumberFormat="1" applyFont="1" applyBorder="1" applyAlignment="1">
      <alignment horizontal="center" wrapText="1"/>
    </xf>
    <xf numFmtId="49" fontId="36" fillId="0" borderId="350" xfId="58" applyNumberFormat="1" applyFont="1" applyBorder="1" applyAlignment="1">
      <alignment wrapText="1"/>
    </xf>
    <xf numFmtId="49" fontId="37" fillId="0" borderId="347" xfId="58" applyNumberFormat="1" applyFont="1" applyBorder="1" applyAlignment="1">
      <alignment wrapText="1"/>
    </xf>
    <xf numFmtId="49" fontId="36" fillId="0" borderId="352" xfId="58" applyNumberFormat="1" applyFont="1" applyBorder="1" applyAlignment="1">
      <alignment wrapText="1"/>
    </xf>
    <xf numFmtId="0" fontId="36" fillId="0" borderId="347" xfId="58" applyFont="1" applyBorder="1" applyAlignment="1">
      <alignment horizontal="center" wrapText="1"/>
    </xf>
    <xf numFmtId="0" fontId="36" fillId="0" borderId="351" xfId="58" applyFont="1" applyBorder="1" applyAlignment="1">
      <alignment horizontal="center" wrapText="1"/>
    </xf>
    <xf numFmtId="0" fontId="41" fillId="40" borderId="50" xfId="0" applyNumberFormat="1" applyFont="1" applyFill="1" applyBorder="1" applyAlignment="1">
      <alignment horizontal="right" vertical="center"/>
    </xf>
    <xf numFmtId="3" fontId="41" fillId="40" borderId="50" xfId="44" applyNumberFormat="1" applyFont="1" applyFill="1" applyBorder="1" applyAlignment="1">
      <alignment horizontal="right" vertical="center"/>
    </xf>
    <xf numFmtId="3" fontId="41" fillId="40" borderId="53" xfId="44" applyNumberFormat="1" applyFont="1" applyFill="1" applyBorder="1" applyAlignment="1">
      <alignment horizontal="right" vertical="center"/>
    </xf>
    <xf numFmtId="0" fontId="41" fillId="48" borderId="44" xfId="0" applyFont="1" applyFill="1" applyBorder="1" applyAlignment="1">
      <alignment horizontal="center"/>
    </xf>
    <xf numFmtId="0" fontId="41" fillId="48" borderId="47" xfId="0" applyFont="1" applyFill="1" applyBorder="1" applyAlignment="1">
      <alignment horizontal="center"/>
    </xf>
    <xf numFmtId="0" fontId="38" fillId="48" borderId="46" xfId="0" applyFont="1" applyFill="1" applyBorder="1" applyAlignment="1">
      <alignment horizontal="center"/>
    </xf>
    <xf numFmtId="0" fontId="38" fillId="48" borderId="48" xfId="0" applyFont="1" applyFill="1" applyBorder="1" applyAlignment="1">
      <alignment horizontal="center"/>
    </xf>
    <xf numFmtId="0" fontId="161" fillId="25" borderId="247" xfId="41" applyFont="1" applyFill="1" applyBorder="1" applyAlignment="1">
      <alignment horizontal="left" vertical="center"/>
    </xf>
    <xf numFmtId="0" fontId="46" fillId="0" borderId="191" xfId="41" applyFont="1" applyBorder="1" applyAlignment="1" applyProtection="1">
      <alignment horizontal="center" vertical="center"/>
      <protection locked="0"/>
    </xf>
    <xf numFmtId="0" fontId="44" fillId="34" borderId="12" xfId="41" applyFont="1" applyFill="1" applyBorder="1" applyAlignment="1" applyProtection="1">
      <alignment horizontal="center" vertical="center"/>
      <protection locked="0"/>
    </xf>
    <xf numFmtId="0" fontId="44" fillId="0" borderId="12" xfId="41" applyFont="1" applyBorder="1" applyAlignment="1" applyProtection="1">
      <alignment horizontal="center" vertical="center"/>
      <protection locked="0"/>
    </xf>
    <xf numFmtId="0" fontId="44" fillId="0" borderId="26" xfId="41" applyFont="1" applyBorder="1" applyAlignment="1" applyProtection="1">
      <alignment horizontal="center" vertical="center"/>
      <protection locked="0"/>
    </xf>
    <xf numFmtId="0" fontId="44" fillId="0" borderId="27" xfId="41" applyFont="1" applyBorder="1" applyAlignment="1" applyProtection="1">
      <alignment horizontal="center"/>
      <protection locked="0"/>
    </xf>
    <xf numFmtId="0" fontId="44" fillId="0" borderId="21" xfId="41" applyFont="1" applyBorder="1" applyAlignment="1" applyProtection="1">
      <alignment horizontal="center"/>
      <protection locked="0"/>
    </xf>
    <xf numFmtId="0" fontId="44" fillId="0" borderId="20" xfId="41" applyFont="1" applyBorder="1" applyAlignment="1" applyProtection="1">
      <alignment horizontal="center"/>
      <protection locked="0"/>
    </xf>
    <xf numFmtId="0" fontId="44" fillId="0" borderId="21" xfId="41" applyFont="1" applyBorder="1" applyProtection="1">
      <protection locked="0"/>
    </xf>
    <xf numFmtId="0" fontId="44" fillId="0" borderId="27" xfId="41" applyFont="1" applyBorder="1" applyProtection="1">
      <protection locked="0"/>
    </xf>
    <xf numFmtId="0" fontId="44" fillId="0" borderId="20" xfId="41" applyFont="1" applyBorder="1" applyProtection="1">
      <protection locked="0"/>
    </xf>
    <xf numFmtId="0" fontId="44" fillId="0" borderId="10" xfId="41" applyFont="1" applyBorder="1" applyProtection="1">
      <protection locked="0"/>
    </xf>
    <xf numFmtId="0" fontId="44" fillId="0" borderId="31" xfId="41" applyFont="1" applyBorder="1" applyProtection="1">
      <protection locked="0"/>
    </xf>
    <xf numFmtId="0" fontId="44" fillId="0" borderId="11" xfId="41" applyFont="1" applyBorder="1" applyProtection="1">
      <protection locked="0"/>
    </xf>
    <xf numFmtId="0" fontId="44" fillId="0" borderId="12" xfId="41" applyFont="1" applyBorder="1" applyProtection="1">
      <protection locked="0"/>
    </xf>
    <xf numFmtId="0" fontId="44" fillId="0" borderId="26" xfId="41" applyFont="1" applyBorder="1" applyProtection="1">
      <protection locked="0"/>
    </xf>
    <xf numFmtId="0" fontId="44" fillId="0" borderId="14" xfId="41" applyFont="1" applyBorder="1" applyProtection="1">
      <protection locked="0"/>
    </xf>
    <xf numFmtId="0" fontId="46" fillId="34" borderId="191" xfId="41" applyFont="1" applyFill="1" applyBorder="1" applyAlignment="1" applyProtection="1">
      <alignment horizontal="center"/>
      <protection locked="0"/>
    </xf>
    <xf numFmtId="0" fontId="46" fillId="0" borderId="191" xfId="41" applyFont="1" applyBorder="1" applyAlignment="1" applyProtection="1">
      <alignment horizontal="center"/>
      <protection locked="0"/>
    </xf>
    <xf numFmtId="0" fontId="6" fillId="41" borderId="0" xfId="0" applyFont="1" applyFill="1" applyAlignment="1">
      <alignment wrapText="1"/>
    </xf>
    <xf numFmtId="0" fontId="6" fillId="43" borderId="0" xfId="0" applyFont="1" applyFill="1" applyAlignment="1">
      <alignment wrapText="1"/>
    </xf>
    <xf numFmtId="0" fontId="6" fillId="41" borderId="0" xfId="0" applyFont="1" applyFill="1" applyAlignment="1">
      <alignment vertical="center" wrapText="1"/>
    </xf>
    <xf numFmtId="169" fontId="127" fillId="28" borderId="359" xfId="0" applyNumberFormat="1" applyFont="1" applyFill="1" applyBorder="1" applyAlignment="1">
      <alignment vertical="center"/>
    </xf>
    <xf numFmtId="0" fontId="27" fillId="26" borderId="363" xfId="0" applyFont="1" applyFill="1" applyBorder="1" applyAlignment="1">
      <alignment horizontal="centerContinuous" vertical="center"/>
    </xf>
    <xf numFmtId="0" fontId="85" fillId="0" borderId="27" xfId="0" applyFont="1" applyBorder="1" applyAlignment="1" applyProtection="1">
      <alignment horizontal="center" vertical="center" wrapText="1"/>
    </xf>
    <xf numFmtId="0" fontId="27" fillId="26" borderId="10" xfId="0" applyFont="1" applyFill="1" applyBorder="1" applyAlignment="1">
      <alignment horizontal="left" vertical="center"/>
    </xf>
    <xf numFmtId="0" fontId="253" fillId="0" borderId="152" xfId="0" applyFont="1" applyBorder="1" applyAlignment="1">
      <alignment horizontal="centerContinuous" vertical="center" wrapText="1"/>
    </xf>
    <xf numFmtId="0" fontId="127" fillId="0" borderId="31" xfId="0" applyFont="1" applyBorder="1" applyAlignment="1">
      <alignment horizontal="centerContinuous" vertical="center"/>
    </xf>
    <xf numFmtId="0" fontId="11" fillId="25" borderId="21" xfId="0" applyFont="1" applyFill="1" applyBorder="1" applyAlignment="1">
      <alignment horizontal="left" vertical="center"/>
    </xf>
    <xf numFmtId="0" fontId="11" fillId="25" borderId="15" xfId="0" applyFont="1" applyFill="1" applyBorder="1" applyAlignment="1">
      <alignment horizontal="left" vertical="center"/>
    </xf>
    <xf numFmtId="0" fontId="11" fillId="25" borderId="12" xfId="0" applyFont="1" applyFill="1" applyBorder="1" applyAlignment="1" applyProtection="1">
      <alignment horizontal="left" vertical="center"/>
    </xf>
    <xf numFmtId="0" fontId="11" fillId="25" borderId="13" xfId="0" applyFont="1" applyFill="1" applyBorder="1" applyAlignment="1" applyProtection="1">
      <alignment horizontal="left" vertical="center"/>
    </xf>
    <xf numFmtId="0" fontId="57" fillId="34" borderId="0" xfId="41" applyFont="1" applyFill="1" applyAlignment="1">
      <alignment vertical="center"/>
    </xf>
    <xf numFmtId="0" fontId="36" fillId="34" borderId="0" xfId="41" applyFont="1" applyFill="1" applyAlignment="1">
      <alignment vertical="center"/>
    </xf>
    <xf numFmtId="0" fontId="161" fillId="25" borderId="309" xfId="41" applyFont="1" applyFill="1" applyBorder="1" applyAlignment="1">
      <alignment horizontal="left" vertical="center"/>
    </xf>
    <xf numFmtId="0" fontId="161" fillId="25" borderId="246" xfId="41" applyFont="1" applyFill="1" applyBorder="1" applyAlignment="1">
      <alignment horizontal="left" vertical="center"/>
    </xf>
    <xf numFmtId="0" fontId="36" fillId="34" borderId="0" xfId="41" applyFont="1" applyFill="1" applyBorder="1" applyAlignment="1">
      <alignment vertical="center"/>
    </xf>
    <xf numFmtId="0" fontId="242" fillId="25" borderId="0" xfId="41" applyFont="1" applyFill="1" applyBorder="1" applyAlignment="1" applyProtection="1">
      <alignment horizontal="left" vertical="center"/>
    </xf>
    <xf numFmtId="14" fontId="254" fillId="58" borderId="14" xfId="41" applyNumberFormat="1" applyFont="1" applyFill="1" applyBorder="1" applyAlignment="1" applyProtection="1">
      <alignment horizontal="centerContinuous" vertical="center"/>
    </xf>
    <xf numFmtId="14" fontId="77" fillId="58" borderId="13" xfId="0" applyNumberFormat="1" applyFont="1" applyFill="1" applyBorder="1" applyAlignment="1" applyProtection="1">
      <alignment horizontal="centerContinuous" vertical="center"/>
    </xf>
    <xf numFmtId="14" fontId="77" fillId="58" borderId="15" xfId="0" applyNumberFormat="1" applyFont="1" applyFill="1" applyBorder="1" applyAlignment="1" applyProtection="1">
      <alignment horizontal="centerContinuous" vertical="center"/>
    </xf>
    <xf numFmtId="14" fontId="254" fillId="58" borderId="20" xfId="41" applyNumberFormat="1" applyFont="1" applyFill="1" applyBorder="1" applyAlignment="1" applyProtection="1">
      <alignment horizontal="centerContinuous" vertical="center"/>
    </xf>
    <xf numFmtId="0" fontId="255" fillId="0" borderId="0" xfId="0" applyFont="1" applyAlignment="1">
      <alignment horizontal="center" vertical="center"/>
    </xf>
    <xf numFmtId="0" fontId="77" fillId="58" borderId="28" xfId="0" applyFont="1" applyFill="1" applyBorder="1" applyAlignment="1" applyProtection="1">
      <alignment horizontal="center" vertical="center"/>
    </xf>
    <xf numFmtId="0" fontId="73" fillId="58" borderId="42" xfId="0" applyFont="1" applyFill="1" applyBorder="1" applyAlignment="1" applyProtection="1">
      <alignment horizontal="center" vertical="center"/>
    </xf>
    <xf numFmtId="0" fontId="8" fillId="34" borderId="235" xfId="0" applyFont="1" applyFill="1" applyBorder="1" applyAlignment="1">
      <alignment horizontal="center" vertical="center"/>
    </xf>
    <xf numFmtId="0" fontId="8" fillId="34" borderId="360" xfId="0" applyFont="1" applyFill="1" applyBorder="1" applyAlignment="1">
      <alignment horizontal="center" vertical="center"/>
    </xf>
    <xf numFmtId="0" fontId="128" fillId="25" borderId="12" xfId="0" applyFont="1" applyFill="1" applyBorder="1" applyAlignment="1">
      <alignment vertical="center"/>
    </xf>
    <xf numFmtId="0" fontId="32" fillId="25" borderId="367" xfId="0" applyFont="1" applyFill="1" applyBorder="1" applyAlignment="1">
      <alignment horizontal="center" vertical="center"/>
    </xf>
    <xf numFmtId="0" fontId="32" fillId="25" borderId="368" xfId="0" applyFont="1" applyFill="1" applyBorder="1" applyAlignment="1">
      <alignment horizontal="center" vertical="center"/>
    </xf>
    <xf numFmtId="169" fontId="127" fillId="40" borderId="371" xfId="0" applyNumberFormat="1" applyFont="1" applyFill="1" applyBorder="1" applyAlignment="1">
      <alignment vertical="center"/>
    </xf>
    <xf numFmtId="169" fontId="85" fillId="40" borderId="370" xfId="0" applyNumberFormat="1" applyFont="1" applyFill="1" applyBorder="1" applyAlignment="1" applyProtection="1">
      <alignment vertical="center"/>
    </xf>
    <xf numFmtId="169" fontId="127" fillId="40" borderId="372" xfId="0" applyNumberFormat="1" applyFont="1" applyFill="1" applyBorder="1" applyAlignment="1">
      <alignment vertical="center"/>
    </xf>
    <xf numFmtId="0" fontId="127" fillId="34" borderId="42" xfId="0" applyFont="1" applyFill="1" applyBorder="1" applyAlignment="1" applyProtection="1">
      <alignment horizontal="center" vertical="center"/>
      <protection locked="0"/>
    </xf>
    <xf numFmtId="0" fontId="127" fillId="34" borderId="28" xfId="0" applyFont="1" applyFill="1" applyBorder="1" applyAlignment="1" applyProtection="1">
      <alignment horizontal="center" vertical="center"/>
      <protection locked="0"/>
    </xf>
    <xf numFmtId="0" fontId="127" fillId="34" borderId="152" xfId="0" applyFont="1" applyFill="1" applyBorder="1" applyAlignment="1" applyProtection="1">
      <alignment horizontal="center" vertical="center"/>
      <protection locked="0"/>
    </xf>
    <xf numFmtId="0" fontId="127" fillId="34" borderId="154" xfId="0" applyFont="1" applyFill="1" applyBorder="1" applyAlignment="1" applyProtection="1">
      <alignment vertical="center"/>
      <protection locked="0"/>
    </xf>
    <xf numFmtId="0" fontId="73" fillId="0" borderId="42" xfId="0" applyFont="1" applyBorder="1" applyAlignment="1" applyProtection="1">
      <alignment horizontal="center" vertical="center"/>
      <protection locked="0"/>
    </xf>
    <xf numFmtId="169" fontId="85" fillId="34" borderId="369" xfId="0" applyNumberFormat="1" applyFont="1" applyFill="1" applyBorder="1" applyAlignment="1" applyProtection="1">
      <alignment vertical="center"/>
      <protection locked="0"/>
    </xf>
    <xf numFmtId="169" fontId="85" fillId="34" borderId="370" xfId="0" applyNumberFormat="1" applyFont="1" applyFill="1" applyBorder="1" applyAlignment="1" applyProtection="1">
      <alignment vertical="center"/>
      <protection locked="0"/>
    </xf>
    <xf numFmtId="0" fontId="127" fillId="34" borderId="358" xfId="0" applyFont="1" applyFill="1" applyBorder="1" applyAlignment="1" applyProtection="1">
      <alignment horizontal="center" vertical="center"/>
      <protection locked="0"/>
    </xf>
    <xf numFmtId="0" fontId="127" fillId="34" borderId="168" xfId="0" applyFont="1" applyFill="1" applyBorder="1" applyAlignment="1" applyProtection="1">
      <alignment horizontal="center" vertical="center"/>
      <protection locked="0"/>
    </xf>
    <xf numFmtId="169" fontId="85" fillId="34" borderId="358" xfId="0" applyNumberFormat="1" applyFont="1" applyFill="1" applyBorder="1" applyAlignment="1" applyProtection="1">
      <alignment vertical="center"/>
      <protection locked="0"/>
    </xf>
    <xf numFmtId="169" fontId="85" fillId="34" borderId="168" xfId="0" applyNumberFormat="1" applyFont="1" applyFill="1" applyBorder="1" applyAlignment="1" applyProtection="1">
      <alignment vertical="center"/>
      <protection locked="0"/>
    </xf>
    <xf numFmtId="0" fontId="85" fillId="34" borderId="358" xfId="0" applyFont="1" applyFill="1" applyBorder="1" applyAlignment="1" applyProtection="1">
      <alignment vertical="center"/>
      <protection locked="0"/>
    </xf>
    <xf numFmtId="0" fontId="85" fillId="34" borderId="168" xfId="0" applyFont="1" applyFill="1" applyBorder="1" applyAlignment="1" applyProtection="1">
      <alignment vertical="center"/>
      <protection locked="0"/>
    </xf>
    <xf numFmtId="169" fontId="85" fillId="34" borderId="373" xfId="0" applyNumberFormat="1" applyFont="1" applyFill="1" applyBorder="1" applyAlignment="1" applyProtection="1">
      <alignment vertical="center"/>
      <protection locked="0"/>
    </xf>
    <xf numFmtId="169" fontId="85" fillId="34" borderId="365" xfId="0" applyNumberFormat="1" applyFont="1" applyFill="1" applyBorder="1" applyAlignment="1" applyProtection="1">
      <alignment vertical="center"/>
      <protection locked="0"/>
    </xf>
    <xf numFmtId="169" fontId="85" fillId="34" borderId="161" xfId="0" applyNumberFormat="1" applyFont="1" applyFill="1" applyBorder="1" applyAlignment="1" applyProtection="1">
      <alignment vertical="center"/>
      <protection locked="0"/>
    </xf>
    <xf numFmtId="169" fontId="85" fillId="34" borderId="364" xfId="0" applyNumberFormat="1" applyFont="1" applyFill="1" applyBorder="1" applyAlignment="1" applyProtection="1">
      <alignment vertical="center"/>
      <protection locked="0"/>
    </xf>
    <xf numFmtId="169" fontId="85" fillId="34" borderId="366" xfId="0" applyNumberFormat="1" applyFont="1" applyFill="1" applyBorder="1" applyAlignment="1" applyProtection="1">
      <alignment vertical="center"/>
      <protection locked="0"/>
    </xf>
    <xf numFmtId="0" fontId="133" fillId="0" borderId="27" xfId="0" applyFont="1" applyBorder="1" applyAlignment="1" applyProtection="1">
      <alignment vertical="center"/>
      <protection locked="0"/>
    </xf>
    <xf numFmtId="0" fontId="133" fillId="0" borderId="31" xfId="0" applyFont="1" applyBorder="1" applyAlignment="1" applyProtection="1">
      <alignment vertical="center"/>
      <protection locked="0"/>
    </xf>
    <xf numFmtId="0" fontId="133" fillId="0" borderId="26" xfId="0" applyFont="1" applyBorder="1" applyAlignment="1" applyProtection="1">
      <alignment vertical="center"/>
      <protection locked="0"/>
    </xf>
    <xf numFmtId="0" fontId="36" fillId="0" borderId="47" xfId="0" applyFont="1" applyFill="1" applyBorder="1" applyAlignment="1">
      <alignment horizontal="left" indent="1"/>
    </xf>
    <xf numFmtId="0" fontId="36" fillId="0" borderId="48" xfId="0" applyFont="1" applyFill="1" applyBorder="1" applyAlignment="1">
      <alignment horizontal="left" indent="1"/>
    </xf>
    <xf numFmtId="172" fontId="41" fillId="27" borderId="52" xfId="0" applyNumberFormat="1" applyFont="1" applyFill="1" applyBorder="1" applyAlignment="1" applyProtection="1">
      <alignment horizontal="center" vertical="center" wrapText="1"/>
    </xf>
    <xf numFmtId="3" fontId="42" fillId="34" borderId="49" xfId="0" applyNumberFormat="1" applyFont="1" applyFill="1" applyBorder="1" applyAlignment="1" applyProtection="1">
      <alignment horizontal="right" vertical="center"/>
      <protection locked="0"/>
    </xf>
    <xf numFmtId="3" fontId="42" fillId="34" borderId="50" xfId="0" applyNumberFormat="1" applyFont="1" applyFill="1" applyBorder="1" applyAlignment="1" applyProtection="1">
      <alignment horizontal="right" vertical="center"/>
      <protection locked="0"/>
    </xf>
    <xf numFmtId="3" fontId="42" fillId="37" borderId="50" xfId="0" applyNumberFormat="1" applyFont="1" applyFill="1" applyBorder="1" applyAlignment="1" applyProtection="1">
      <alignment horizontal="right" vertical="center"/>
      <protection locked="0"/>
    </xf>
    <xf numFmtId="3" fontId="42" fillId="34" borderId="53" xfId="0" applyNumberFormat="1" applyFont="1" applyFill="1" applyBorder="1" applyAlignment="1" applyProtection="1">
      <alignment horizontal="right" vertical="center"/>
      <protection locked="0"/>
    </xf>
    <xf numFmtId="169" fontId="36" fillId="34" borderId="50" xfId="0" applyNumberFormat="1" applyFont="1" applyFill="1" applyBorder="1" applyAlignment="1" applyProtection="1">
      <alignment horizontal="right" vertical="center"/>
      <protection locked="0"/>
    </xf>
    <xf numFmtId="169" fontId="42" fillId="37" borderId="49" xfId="0" applyNumberFormat="1" applyFont="1" applyFill="1" applyBorder="1" applyAlignment="1" applyProtection="1">
      <alignment horizontal="right" vertical="center"/>
      <protection locked="0"/>
    </xf>
    <xf numFmtId="3" fontId="44" fillId="21" borderId="49" xfId="0" applyNumberFormat="1" applyFont="1" applyFill="1" applyBorder="1" applyAlignment="1" applyProtection="1">
      <alignment horizontal="right" vertical="center"/>
      <protection locked="0"/>
    </xf>
    <xf numFmtId="3" fontId="42" fillId="37" borderId="51" xfId="0" applyNumberFormat="1" applyFont="1" applyFill="1" applyBorder="1" applyAlignment="1" applyProtection="1">
      <alignment horizontal="right" vertical="center"/>
      <protection locked="0"/>
    </xf>
    <xf numFmtId="3" fontId="44" fillId="21" borderId="51" xfId="0" applyNumberFormat="1" applyFont="1" applyFill="1" applyBorder="1" applyAlignment="1" applyProtection="1">
      <alignment horizontal="right" vertical="center"/>
      <protection locked="0"/>
    </xf>
    <xf numFmtId="0" fontId="85" fillId="59" borderId="4" xfId="0" applyFont="1" applyFill="1" applyBorder="1" applyAlignment="1">
      <alignment horizontal="center" vertical="center"/>
    </xf>
    <xf numFmtId="172" fontId="67" fillId="59" borderId="127" xfId="44" applyNumberFormat="1" applyFont="1" applyFill="1" applyBorder="1" applyAlignment="1">
      <alignment horizontal="center" vertical="center"/>
    </xf>
    <xf numFmtId="10" fontId="68" fillId="59" borderId="0" xfId="0" applyNumberFormat="1" applyFont="1" applyFill="1" applyAlignment="1" applyProtection="1">
      <alignment horizontal="center" vertical="center"/>
      <protection locked="0"/>
    </xf>
    <xf numFmtId="3" fontId="63" fillId="59" borderId="78" xfId="0" applyNumberFormat="1" applyFont="1" applyFill="1" applyBorder="1" applyAlignment="1" applyProtection="1">
      <alignment vertical="center"/>
      <protection locked="0"/>
    </xf>
    <xf numFmtId="3" fontId="63" fillId="59" borderId="37" xfId="0" applyNumberFormat="1" applyFont="1" applyFill="1" applyBorder="1" applyAlignment="1" applyProtection="1">
      <alignment vertical="center"/>
      <protection locked="0"/>
    </xf>
    <xf numFmtId="3" fontId="63" fillId="59" borderId="38" xfId="0" applyNumberFormat="1" applyFont="1" applyFill="1" applyBorder="1" applyAlignment="1" applyProtection="1">
      <alignment vertical="center"/>
      <protection locked="0"/>
    </xf>
    <xf numFmtId="3" fontId="63" fillId="59" borderId="104" xfId="0" applyNumberFormat="1" applyFont="1" applyFill="1" applyBorder="1" applyAlignment="1" applyProtection="1">
      <alignment vertical="center"/>
      <protection locked="0"/>
    </xf>
    <xf numFmtId="0" fontId="77" fillId="59" borderId="33" xfId="0" applyFont="1" applyFill="1" applyBorder="1" applyAlignment="1" applyProtection="1">
      <alignment horizontal="center" vertical="center"/>
      <protection locked="0"/>
    </xf>
    <xf numFmtId="172" fontId="67" fillId="59" borderId="233" xfId="44" applyNumberFormat="1" applyFont="1" applyFill="1" applyBorder="1" applyAlignment="1">
      <alignment horizontal="center" vertical="center"/>
    </xf>
    <xf numFmtId="0" fontId="67" fillId="47" borderId="197" xfId="3" applyFont="1" applyFill="1" applyBorder="1" applyAlignment="1">
      <alignment horizontal="center" vertical="center"/>
    </xf>
    <xf numFmtId="0" fontId="67" fillId="47" borderId="0" xfId="3" applyFont="1" applyFill="1" applyBorder="1" applyAlignment="1">
      <alignment horizontal="center" vertical="center"/>
    </xf>
    <xf numFmtId="0" fontId="67" fillId="47" borderId="214" xfId="3" applyFont="1" applyFill="1" applyBorder="1" applyAlignment="1">
      <alignment horizontal="center" vertical="center"/>
    </xf>
    <xf numFmtId="0" fontId="6" fillId="0" borderId="199" xfId="3" applyFont="1" applyFill="1" applyBorder="1" applyAlignment="1" applyProtection="1">
      <alignment horizontal="left" vertical="center"/>
      <protection locked="0"/>
    </xf>
    <xf numFmtId="40" fontId="127" fillId="31" borderId="197" xfId="3" applyNumberFormat="1" applyFont="1" applyFill="1" applyBorder="1" applyAlignment="1">
      <alignment horizontal="right" vertical="center"/>
    </xf>
    <xf numFmtId="40" fontId="8" fillId="31" borderId="197" xfId="3" applyNumberFormat="1" applyFont="1" applyFill="1" applyBorder="1" applyAlignment="1">
      <alignment horizontal="right" vertical="center"/>
    </xf>
    <xf numFmtId="40" fontId="8" fillId="48" borderId="207" xfId="3" applyNumberFormat="1" applyFont="1" applyFill="1" applyBorder="1" applyAlignment="1">
      <alignment horizontal="right" vertical="center"/>
    </xf>
    <xf numFmtId="40" fontId="8" fillId="48" borderId="130" xfId="3" applyNumberFormat="1" applyFont="1" applyFill="1" applyBorder="1" applyAlignment="1">
      <alignment horizontal="right" vertical="center"/>
    </xf>
    <xf numFmtId="40" fontId="115" fillId="50" borderId="63" xfId="3" applyNumberFormat="1" applyFont="1" applyFill="1" applyBorder="1" applyAlignment="1">
      <alignment vertical="center"/>
    </xf>
    <xf numFmtId="169" fontId="115" fillId="50" borderId="0" xfId="3" applyNumberFormat="1" applyFont="1" applyFill="1" applyBorder="1" applyAlignment="1">
      <alignment horizontal="center" vertical="center"/>
    </xf>
    <xf numFmtId="40" fontId="115" fillId="50" borderId="199" xfId="3" applyNumberFormat="1" applyFont="1" applyFill="1" applyBorder="1" applyAlignment="1">
      <alignment horizontal="right" vertical="center"/>
    </xf>
    <xf numFmtId="0" fontId="115" fillId="50" borderId="34" xfId="3" applyNumberFormat="1" applyFont="1" applyFill="1" applyBorder="1" applyAlignment="1">
      <alignment horizontal="center" vertical="center"/>
    </xf>
    <xf numFmtId="40" fontId="115" fillId="50" borderId="213" xfId="3" applyNumberFormat="1" applyFont="1" applyFill="1" applyBorder="1" applyAlignment="1">
      <alignment vertical="center"/>
    </xf>
    <xf numFmtId="169" fontId="115" fillId="50" borderId="214" xfId="3" applyNumberFormat="1" applyFont="1" applyFill="1" applyBorder="1" applyAlignment="1">
      <alignment horizontal="center" vertical="center"/>
    </xf>
    <xf numFmtId="40" fontId="115" fillId="50" borderId="209" xfId="3" applyNumberFormat="1" applyFont="1" applyFill="1" applyBorder="1" applyAlignment="1">
      <alignment vertical="center"/>
    </xf>
    <xf numFmtId="0" fontId="115" fillId="50" borderId="258" xfId="3" applyNumberFormat="1" applyFont="1" applyFill="1" applyBorder="1" applyAlignment="1">
      <alignment horizontal="center" vertical="center"/>
    </xf>
    <xf numFmtId="182" fontId="67" fillId="32" borderId="129" xfId="3" applyNumberFormat="1" applyFont="1" applyFill="1" applyBorder="1" applyAlignment="1">
      <alignment horizontal="center" vertical="center"/>
    </xf>
    <xf numFmtId="182" fontId="67" fillId="32" borderId="259" xfId="3" applyNumberFormat="1" applyFont="1" applyFill="1" applyBorder="1" applyAlignment="1">
      <alignment horizontal="center" vertical="center"/>
    </xf>
    <xf numFmtId="40" fontId="115" fillId="50" borderId="374" xfId="3" applyNumberFormat="1" applyFont="1" applyFill="1" applyBorder="1" applyAlignment="1">
      <alignment horizontal="right" vertical="center"/>
    </xf>
    <xf numFmtId="169" fontId="115" fillId="50" borderId="35" xfId="3" applyNumberFormat="1" applyFont="1" applyFill="1" applyBorder="1" applyAlignment="1">
      <alignment horizontal="center" vertical="center"/>
    </xf>
    <xf numFmtId="40" fontId="115" fillId="50" borderId="376" xfId="3" applyNumberFormat="1" applyFont="1" applyFill="1" applyBorder="1" applyAlignment="1">
      <alignment horizontal="right" vertical="center"/>
    </xf>
    <xf numFmtId="169" fontId="115" fillId="50" borderId="377" xfId="3" applyNumberFormat="1" applyFont="1" applyFill="1" applyBorder="1" applyAlignment="1">
      <alignment horizontal="center" vertical="center"/>
    </xf>
    <xf numFmtId="0" fontId="8" fillId="41" borderId="199" xfId="3" applyFont="1" applyFill="1" applyBorder="1" applyAlignment="1">
      <alignment horizontal="center" vertical="center" wrapText="1"/>
    </xf>
    <xf numFmtId="40" fontId="8" fillId="41" borderId="34" xfId="3" applyNumberFormat="1" applyFont="1" applyFill="1" applyBorder="1" applyAlignment="1">
      <alignment horizontal="right" vertical="center" wrapText="1"/>
    </xf>
    <xf numFmtId="0" fontId="8" fillId="41" borderId="34" xfId="3" applyFont="1" applyFill="1" applyBorder="1" applyAlignment="1">
      <alignment horizontal="center" vertical="center" wrapText="1"/>
    </xf>
    <xf numFmtId="0" fontId="8" fillId="41" borderId="200" xfId="3" applyFont="1" applyFill="1" applyBorder="1" applyAlignment="1">
      <alignment horizontal="left" vertical="center" wrapText="1"/>
    </xf>
    <xf numFmtId="0" fontId="163" fillId="0" borderId="0" xfId="3" applyFont="1" applyAlignment="1">
      <alignment vertical="center" wrapText="1"/>
    </xf>
    <xf numFmtId="0" fontId="147" fillId="41" borderId="34" xfId="3" applyFont="1" applyFill="1" applyBorder="1" applyAlignment="1">
      <alignment horizontal="center" vertical="center" wrapText="1"/>
    </xf>
    <xf numFmtId="40" fontId="115" fillId="60" borderId="201" xfId="3" applyNumberFormat="1" applyFont="1" applyFill="1" applyBorder="1" applyAlignment="1">
      <alignment vertical="center"/>
    </xf>
    <xf numFmtId="169" fontId="115" fillId="60" borderId="202" xfId="3" applyNumberFormat="1" applyFont="1" applyFill="1" applyBorder="1" applyAlignment="1">
      <alignment horizontal="center" vertical="center"/>
    </xf>
    <xf numFmtId="40" fontId="115" fillId="60" borderId="216" xfId="3" applyNumberFormat="1" applyFont="1" applyFill="1" applyBorder="1" applyAlignment="1">
      <alignment vertical="center"/>
    </xf>
    <xf numFmtId="169" fontId="115" fillId="60" borderId="205" xfId="3" applyNumberFormat="1" applyFont="1" applyFill="1" applyBorder="1" applyAlignment="1">
      <alignment horizontal="center" vertical="center"/>
    </xf>
    <xf numFmtId="0" fontId="11" fillId="33" borderId="197" xfId="3" applyFont="1" applyFill="1" applyBorder="1" applyAlignment="1">
      <alignment horizontal="center" vertical="center"/>
    </xf>
    <xf numFmtId="0" fontId="67" fillId="0" borderId="0" xfId="3" applyFont="1" applyFill="1" applyBorder="1" applyAlignment="1">
      <alignment horizontal="right" vertical="center" wrapText="1"/>
    </xf>
    <xf numFmtId="0" fontId="8" fillId="0" borderId="0" xfId="3" applyFont="1" applyFill="1" applyBorder="1" applyAlignment="1">
      <alignment horizontal="left" vertical="center" wrapText="1"/>
    </xf>
    <xf numFmtId="0" fontId="127" fillId="42" borderId="197" xfId="3" applyFont="1" applyFill="1" applyBorder="1" applyAlignment="1">
      <alignment horizontal="center" vertical="center"/>
    </xf>
    <xf numFmtId="0" fontId="8" fillId="42" borderId="197" xfId="3" applyFont="1" applyFill="1" applyBorder="1" applyAlignment="1">
      <alignment horizontal="center" vertical="center"/>
    </xf>
    <xf numFmtId="0" fontId="8" fillId="45" borderId="207" xfId="3" applyFont="1" applyFill="1" applyBorder="1" applyAlignment="1">
      <alignment horizontal="center" vertical="center"/>
    </xf>
    <xf numFmtId="0" fontId="8" fillId="48" borderId="207" xfId="3" applyFont="1" applyFill="1" applyBorder="1" applyAlignment="1">
      <alignment horizontal="center" vertical="center"/>
    </xf>
    <xf numFmtId="0" fontId="16" fillId="50" borderId="63" xfId="3" applyFont="1" applyFill="1" applyBorder="1" applyAlignment="1" applyProtection="1">
      <alignment horizontal="left" vertical="center"/>
      <protection locked="0"/>
    </xf>
    <xf numFmtId="0" fontId="0" fillId="50" borderId="63" xfId="3" applyFont="1" applyFill="1" applyBorder="1" applyAlignment="1" applyProtection="1">
      <alignment horizontal="left" vertical="center"/>
      <protection locked="0"/>
    </xf>
    <xf numFmtId="0" fontId="115" fillId="50" borderId="199" xfId="3" applyFont="1" applyFill="1" applyBorder="1" applyAlignment="1" applyProtection="1">
      <alignment horizontal="left" vertical="center"/>
      <protection locked="0"/>
    </xf>
    <xf numFmtId="182" fontId="67" fillId="32" borderId="63" xfId="3" applyNumberFormat="1" applyFont="1" applyFill="1" applyBorder="1" applyAlignment="1">
      <alignment horizontal="center" vertical="center"/>
    </xf>
    <xf numFmtId="182" fontId="67" fillId="32" borderId="0" xfId="3" applyNumberFormat="1" applyFont="1" applyFill="1" applyBorder="1" applyAlignment="1">
      <alignment horizontal="center" vertical="center"/>
    </xf>
    <xf numFmtId="182" fontId="67" fillId="32" borderId="213" xfId="3" applyNumberFormat="1" applyFont="1" applyFill="1" applyBorder="1" applyAlignment="1">
      <alignment horizontal="center" vertical="center"/>
    </xf>
    <xf numFmtId="182" fontId="67" fillId="32" borderId="214" xfId="3" applyNumberFormat="1" applyFont="1" applyFill="1" applyBorder="1" applyAlignment="1">
      <alignment horizontal="center" vertical="center"/>
    </xf>
    <xf numFmtId="182" fontId="8" fillId="32" borderId="259" xfId="3" applyNumberFormat="1" applyFont="1" applyFill="1" applyBorder="1" applyAlignment="1">
      <alignment horizontal="center" vertical="center"/>
    </xf>
    <xf numFmtId="182" fontId="8" fillId="32" borderId="63" xfId="3" applyNumberFormat="1" applyFont="1" applyFill="1" applyBorder="1" applyAlignment="1">
      <alignment horizontal="center" vertical="center"/>
    </xf>
    <xf numFmtId="0" fontId="147" fillId="31" borderId="197" xfId="3" applyFont="1" applyFill="1" applyBorder="1" applyAlignment="1">
      <alignment horizontal="center" vertical="center" wrapText="1"/>
    </xf>
    <xf numFmtId="182" fontId="257" fillId="47" borderId="63" xfId="3" applyNumberFormat="1" applyFont="1" applyFill="1" applyBorder="1" applyAlignment="1">
      <alignment horizontal="right" vertical="center"/>
    </xf>
    <xf numFmtId="0" fontId="0" fillId="47" borderId="0" xfId="0" applyFill="1" applyBorder="1" applyAlignment="1">
      <alignment vertical="center"/>
    </xf>
    <xf numFmtId="0" fontId="0" fillId="47" borderId="63" xfId="0" applyFill="1" applyBorder="1" applyAlignment="1">
      <alignment vertical="center"/>
    </xf>
    <xf numFmtId="0" fontId="0" fillId="47" borderId="213" xfId="0" applyFill="1" applyBorder="1" applyAlignment="1">
      <alignment vertical="center"/>
    </xf>
    <xf numFmtId="0" fontId="0" fillId="47" borderId="214" xfId="0" applyFill="1" applyBorder="1" applyAlignment="1">
      <alignment vertical="center"/>
    </xf>
    <xf numFmtId="182" fontId="67" fillId="32" borderId="309" xfId="3" applyNumberFormat="1" applyFont="1" applyFill="1" applyBorder="1" applyAlignment="1">
      <alignment horizontal="center" vertical="center"/>
    </xf>
    <xf numFmtId="182" fontId="67" fillId="32" borderId="262" xfId="3" applyNumberFormat="1" applyFont="1" applyFill="1" applyBorder="1" applyAlignment="1">
      <alignment horizontal="center" vertical="center"/>
    </xf>
    <xf numFmtId="0" fontId="11" fillId="0" borderId="0" xfId="3" applyFont="1" applyFill="1" applyBorder="1" applyAlignment="1">
      <alignment horizontal="center" vertical="center"/>
    </xf>
    <xf numFmtId="0" fontId="145" fillId="0" borderId="252" xfId="3" applyFont="1" applyFill="1" applyBorder="1" applyAlignment="1">
      <alignment horizontal="center" vertical="center"/>
    </xf>
    <xf numFmtId="0" fontId="145" fillId="60" borderId="253" xfId="3" applyFont="1" applyFill="1" applyBorder="1" applyAlignment="1">
      <alignment horizontal="center" vertical="center"/>
    </xf>
    <xf numFmtId="0" fontId="9" fillId="60" borderId="254" xfId="3" applyFont="1" applyFill="1" applyBorder="1" applyAlignment="1">
      <alignment horizontal="center" vertical="center"/>
    </xf>
    <xf numFmtId="0" fontId="178" fillId="0" borderId="0" xfId="39" applyFont="1" applyFill="1" applyBorder="1" applyAlignment="1">
      <alignment horizontal="left" vertical="center"/>
    </xf>
    <xf numFmtId="0" fontId="146" fillId="46" borderId="257" xfId="3" applyFont="1" applyFill="1" applyBorder="1" applyAlignment="1">
      <alignment horizontal="center" vertical="center" wrapText="1"/>
    </xf>
    <xf numFmtId="0" fontId="146" fillId="46" borderId="219" xfId="3" applyFont="1" applyFill="1" applyBorder="1" applyAlignment="1">
      <alignment horizontal="center" vertical="center" wrapText="1"/>
    </xf>
    <xf numFmtId="0" fontId="8" fillId="46" borderId="217" xfId="3" applyFont="1" applyFill="1" applyBorder="1" applyAlignment="1">
      <alignment horizontal="center" vertical="center" wrapText="1"/>
    </xf>
    <xf numFmtId="182" fontId="67" fillId="32" borderId="309" xfId="3" applyNumberFormat="1" applyFont="1" applyFill="1" applyBorder="1" applyAlignment="1">
      <alignment horizontal="center" vertical="center"/>
    </xf>
    <xf numFmtId="182" fontId="67" fillId="32" borderId="129" xfId="3" applyNumberFormat="1" applyFont="1" applyFill="1" applyBorder="1" applyAlignment="1">
      <alignment horizontal="center" vertical="center"/>
    </xf>
    <xf numFmtId="40" fontId="8" fillId="45" borderId="207" xfId="3" applyNumberFormat="1" applyFont="1" applyFill="1" applyBorder="1" applyAlignment="1">
      <alignment horizontal="right" vertical="center"/>
    </xf>
    <xf numFmtId="169" fontId="115" fillId="50" borderId="35" xfId="3" applyNumberFormat="1" applyFont="1" applyFill="1" applyBorder="1" applyAlignment="1">
      <alignment horizontal="center" vertical="center"/>
    </xf>
    <xf numFmtId="40" fontId="8" fillId="50" borderId="207" xfId="3" applyNumberFormat="1" applyFont="1" applyFill="1" applyBorder="1" applyAlignment="1">
      <alignment horizontal="right" vertical="center"/>
    </xf>
    <xf numFmtId="40" fontId="8" fillId="31" borderId="197" xfId="3" applyNumberFormat="1" applyFont="1" applyFill="1" applyBorder="1" applyAlignment="1">
      <alignment horizontal="right" vertical="center"/>
    </xf>
    <xf numFmtId="40" fontId="8" fillId="41" borderId="130" xfId="3" applyNumberFormat="1" applyFont="1" applyFill="1" applyBorder="1" applyAlignment="1">
      <alignment horizontal="right" vertical="center"/>
    </xf>
    <xf numFmtId="40" fontId="8" fillId="41" borderId="34" xfId="3" applyNumberFormat="1" applyFont="1" applyFill="1" applyBorder="1" applyAlignment="1">
      <alignment horizontal="right" vertical="center"/>
    </xf>
    <xf numFmtId="182" fontId="67" fillId="32" borderId="262" xfId="3" applyNumberFormat="1" applyFont="1" applyFill="1" applyBorder="1" applyAlignment="1">
      <alignment horizontal="center" vertical="center"/>
    </xf>
    <xf numFmtId="40" fontId="8" fillId="48" borderId="130" xfId="3" applyNumberFormat="1" applyFont="1" applyFill="1" applyBorder="1" applyAlignment="1">
      <alignment horizontal="right" vertical="center"/>
    </xf>
    <xf numFmtId="40" fontId="8" fillId="48" borderId="207" xfId="3" applyNumberFormat="1" applyFont="1" applyFill="1" applyBorder="1" applyAlignment="1">
      <alignment horizontal="right" vertical="center"/>
    </xf>
    <xf numFmtId="0" fontId="67" fillId="47" borderId="197" xfId="3" applyFont="1" applyFill="1" applyBorder="1" applyAlignment="1">
      <alignment horizontal="center" vertical="center"/>
    </xf>
    <xf numFmtId="0" fontId="67" fillId="47" borderId="0" xfId="3" applyFont="1" applyFill="1" applyBorder="1" applyAlignment="1">
      <alignment horizontal="center" vertical="center"/>
    </xf>
    <xf numFmtId="0" fontId="67" fillId="47" borderId="214" xfId="3" applyFont="1" applyFill="1" applyBorder="1" applyAlignment="1">
      <alignment horizontal="center" vertical="center"/>
    </xf>
    <xf numFmtId="0" fontId="67" fillId="0" borderId="0" xfId="3" applyFont="1" applyFill="1" applyBorder="1" applyAlignment="1">
      <alignment horizontal="left" vertical="center"/>
    </xf>
    <xf numFmtId="40" fontId="127" fillId="42" borderId="197" xfId="3" applyNumberFormat="1" applyFont="1" applyFill="1" applyBorder="1" applyAlignment="1">
      <alignment horizontal="right" vertical="center"/>
    </xf>
    <xf numFmtId="0" fontId="163" fillId="41" borderId="0" xfId="3" applyFont="1" applyFill="1" applyAlignment="1">
      <alignment vertical="center"/>
    </xf>
    <xf numFmtId="0" fontId="6" fillId="0" borderId="379" xfId="3" applyFont="1" applyFill="1" applyBorder="1" applyAlignment="1" applyProtection="1">
      <alignment horizontal="left" vertical="center"/>
      <protection locked="0"/>
    </xf>
    <xf numFmtId="40" fontId="115" fillId="0" borderId="380" xfId="3" applyNumberFormat="1" applyFont="1" applyFill="1" applyBorder="1" applyAlignment="1">
      <alignment vertical="center"/>
    </xf>
    <xf numFmtId="0" fontId="115" fillId="0" borderId="381" xfId="3" applyNumberFormat="1" applyFont="1" applyFill="1" applyBorder="1" applyAlignment="1">
      <alignment horizontal="center" vertical="center"/>
    </xf>
    <xf numFmtId="169" fontId="115" fillId="0" borderId="381" xfId="3" applyNumberFormat="1" applyFont="1" applyFill="1" applyBorder="1" applyAlignment="1">
      <alignment horizontal="center" vertical="center"/>
    </xf>
    <xf numFmtId="0" fontId="8" fillId="41" borderId="206" xfId="3" applyFont="1" applyFill="1" applyBorder="1" applyAlignment="1">
      <alignment horizontal="center" vertical="center"/>
    </xf>
    <xf numFmtId="0" fontId="8" fillId="41" borderId="207" xfId="3" applyFont="1" applyFill="1" applyBorder="1" applyAlignment="1">
      <alignment horizontal="center" vertical="center"/>
    </xf>
    <xf numFmtId="0" fontId="8" fillId="41" borderId="207" xfId="3" applyFont="1" applyFill="1" applyBorder="1" applyAlignment="1">
      <alignment horizontal="left" vertical="center"/>
    </xf>
    <xf numFmtId="0" fontId="6" fillId="0" borderId="213" xfId="3" applyFont="1" applyFill="1" applyBorder="1" applyAlignment="1" applyProtection="1">
      <alignment horizontal="left" vertical="center"/>
      <protection locked="0"/>
    </xf>
    <xf numFmtId="40" fontId="8" fillId="41" borderId="207" xfId="3" applyNumberFormat="1" applyFont="1" applyFill="1" applyBorder="1" applyAlignment="1">
      <alignment horizontal="right" vertical="center"/>
    </xf>
    <xf numFmtId="40" fontId="115" fillId="0" borderId="199" xfId="3" applyNumberFormat="1" applyFont="1" applyFill="1" applyBorder="1" applyAlignment="1">
      <alignment horizontal="right" vertical="center"/>
    </xf>
    <xf numFmtId="40" fontId="8" fillId="45" borderId="383" xfId="3" applyNumberFormat="1" applyFont="1" applyFill="1" applyBorder="1" applyAlignment="1">
      <alignment horizontal="right" vertical="center"/>
    </xf>
    <xf numFmtId="0" fontId="8" fillId="45" borderId="206" xfId="3" applyFont="1" applyFill="1" applyBorder="1" applyAlignment="1">
      <alignment horizontal="left" vertical="center"/>
    </xf>
    <xf numFmtId="0" fontId="127" fillId="42" borderId="193" xfId="3" applyFont="1" applyFill="1" applyBorder="1" applyAlignment="1">
      <alignment horizontal="center" vertical="center" wrapText="1"/>
    </xf>
    <xf numFmtId="0" fontId="127" fillId="54" borderId="193" xfId="3" applyFont="1" applyFill="1" applyBorder="1" applyAlignment="1">
      <alignment horizontal="center" vertical="center"/>
    </xf>
    <xf numFmtId="0" fontId="147" fillId="55" borderId="199" xfId="3" applyFont="1" applyFill="1" applyBorder="1" applyAlignment="1" applyProtection="1">
      <alignment horizontal="left" vertical="center"/>
      <protection locked="0"/>
    </xf>
    <xf numFmtId="40" fontId="115" fillId="0" borderId="36" xfId="3" applyNumberFormat="1" applyFont="1" applyFill="1" applyBorder="1" applyAlignment="1">
      <alignment vertical="center"/>
    </xf>
    <xf numFmtId="40" fontId="115" fillId="0" borderId="384" xfId="3" applyNumberFormat="1" applyFont="1" applyFill="1" applyBorder="1" applyAlignment="1">
      <alignment vertical="center"/>
    </xf>
    <xf numFmtId="40" fontId="115" fillId="0" borderId="385" xfId="3" applyNumberFormat="1" applyFont="1" applyFill="1" applyBorder="1" applyAlignment="1">
      <alignment vertical="center"/>
    </xf>
    <xf numFmtId="178" fontId="164" fillId="47" borderId="260" xfId="42" applyNumberFormat="1" applyFont="1" applyFill="1" applyBorder="1" applyAlignment="1">
      <alignment vertical="center" wrapText="1"/>
    </xf>
    <xf numFmtId="178" fontId="164" fillId="47" borderId="212" xfId="42" applyNumberFormat="1" applyFont="1" applyFill="1" applyBorder="1" applyAlignment="1">
      <alignment vertical="center" wrapText="1"/>
    </xf>
    <xf numFmtId="178" fontId="164" fillId="47" borderId="215" xfId="42" applyNumberFormat="1" applyFont="1" applyFill="1" applyBorder="1" applyAlignment="1">
      <alignment vertical="center" wrapText="1"/>
    </xf>
    <xf numFmtId="169" fontId="147" fillId="55" borderId="34" xfId="3" applyNumberFormat="1" applyFont="1" applyFill="1" applyBorder="1" applyAlignment="1">
      <alignment horizontal="center" vertical="center"/>
    </xf>
    <xf numFmtId="40" fontId="147" fillId="48" borderId="207" xfId="3" applyNumberFormat="1" applyFont="1" applyFill="1" applyBorder="1" applyAlignment="1">
      <alignment horizontal="center" vertical="center" wrapText="1"/>
    </xf>
    <xf numFmtId="0" fontId="9" fillId="60" borderId="215" xfId="3" applyFont="1" applyFill="1" applyBorder="1" applyAlignment="1">
      <alignment horizontal="center" vertical="center"/>
    </xf>
    <xf numFmtId="0" fontId="73" fillId="0" borderId="0" xfId="3" applyFont="1" applyFill="1" applyBorder="1" applyAlignment="1">
      <alignment vertical="center"/>
    </xf>
    <xf numFmtId="0" fontId="16" fillId="0" borderId="0" xfId="3" applyFont="1" applyFill="1" applyBorder="1" applyAlignment="1">
      <alignment vertical="center"/>
    </xf>
    <xf numFmtId="0" fontId="32" fillId="0" borderId="0" xfId="3" applyFont="1" applyFill="1" applyBorder="1" applyAlignment="1">
      <alignment horizontal="center" vertical="center" textRotation="90"/>
    </xf>
    <xf numFmtId="0" fontId="67" fillId="0" borderId="0" xfId="3" applyFont="1" applyFill="1" applyBorder="1" applyAlignment="1">
      <alignment horizontal="right" vertical="center"/>
    </xf>
    <xf numFmtId="0" fontId="8" fillId="0" borderId="0" xfId="3" applyFont="1" applyFill="1" applyBorder="1" applyAlignment="1">
      <alignment vertical="center"/>
    </xf>
    <xf numFmtId="0" fontId="8" fillId="0" borderId="0" xfId="3" applyFont="1" applyFill="1" applyBorder="1" applyAlignment="1">
      <alignment horizontal="center" vertical="center"/>
    </xf>
    <xf numFmtId="0" fontId="8" fillId="0" borderId="0" xfId="3" applyFont="1" applyFill="1" applyBorder="1" applyAlignment="1">
      <alignment horizontal="left" vertical="center"/>
    </xf>
    <xf numFmtId="0" fontId="164" fillId="41" borderId="14" xfId="40" applyFont="1" applyFill="1" applyBorder="1" applyAlignment="1">
      <alignment horizontal="right" vertical="top" wrapText="1"/>
    </xf>
    <xf numFmtId="0" fontId="127" fillId="62" borderId="206" xfId="3" applyFont="1" applyFill="1" applyBorder="1" applyAlignment="1">
      <alignment horizontal="center" vertical="center"/>
    </xf>
    <xf numFmtId="183" fontId="22" fillId="0" borderId="0" xfId="40" applyNumberFormat="1" applyFont="1" applyBorder="1"/>
    <xf numFmtId="183" fontId="8" fillId="0" borderId="0" xfId="40" applyNumberFormat="1" applyFont="1" applyBorder="1" applyAlignment="1">
      <alignment horizontal="right" vertical="center"/>
    </xf>
    <xf numFmtId="183" fontId="22" fillId="0" borderId="0" xfId="40" applyNumberFormat="1" applyFont="1"/>
    <xf numFmtId="183" fontId="22" fillId="0" borderId="13" xfId="40" applyNumberFormat="1" applyFont="1" applyBorder="1"/>
    <xf numFmtId="183" fontId="22" fillId="0" borderId="15" xfId="40" applyNumberFormat="1" applyFont="1" applyBorder="1"/>
    <xf numFmtId="183" fontId="16" fillId="0" borderId="0" xfId="40" applyNumberFormat="1" applyBorder="1"/>
    <xf numFmtId="183" fontId="16" fillId="0" borderId="0" xfId="40" applyNumberFormat="1"/>
    <xf numFmtId="0" fontId="8" fillId="41" borderId="19" xfId="40" applyNumberFormat="1" applyFont="1" applyFill="1" applyBorder="1" applyAlignment="1">
      <alignment horizontal="center" vertical="top" wrapText="1"/>
    </xf>
    <xf numFmtId="0" fontId="12" fillId="35" borderId="0" xfId="40" applyFont="1" applyFill="1" applyBorder="1" applyAlignment="1">
      <alignment vertical="center"/>
    </xf>
    <xf numFmtId="0" fontId="16" fillId="0" borderId="0" xfId="40" applyFill="1" applyAlignment="1"/>
    <xf numFmtId="183" fontId="205" fillId="0" borderId="0" xfId="40" applyNumberFormat="1" applyFont="1" applyFill="1" applyAlignment="1" applyProtection="1">
      <alignment horizontal="left" vertical="center"/>
    </xf>
    <xf numFmtId="0" fontId="7" fillId="0" borderId="0" xfId="40" applyFont="1" applyFill="1" applyAlignment="1" applyProtection="1">
      <alignment horizontal="left" vertical="center"/>
    </xf>
    <xf numFmtId="0" fontId="23" fillId="0" borderId="0" xfId="40" applyFont="1" applyFill="1" applyAlignment="1" applyProtection="1">
      <alignment horizontal="left" vertical="center"/>
    </xf>
    <xf numFmtId="183" fontId="95" fillId="0" borderId="0" xfId="40" applyNumberFormat="1" applyFont="1" applyFill="1" applyBorder="1" applyAlignment="1">
      <alignment horizontal="right" vertical="center"/>
    </xf>
    <xf numFmtId="183" fontId="95" fillId="0" borderId="0" xfId="40" applyNumberFormat="1" applyFont="1" applyFill="1" applyAlignment="1" applyProtection="1">
      <alignment horizontal="right" vertical="center"/>
    </xf>
    <xf numFmtId="0" fontId="54" fillId="25" borderId="0" xfId="40" applyNumberFormat="1" applyFont="1" applyFill="1" applyBorder="1" applyAlignment="1">
      <alignment horizontal="center" vertical="center"/>
    </xf>
    <xf numFmtId="169" fontId="16" fillId="0" borderId="0" xfId="40" applyNumberFormat="1" applyFont="1" applyBorder="1"/>
    <xf numFmtId="169" fontId="16" fillId="0" borderId="0" xfId="40" applyNumberFormat="1" applyFont="1"/>
    <xf numFmtId="169" fontId="16" fillId="0" borderId="14" xfId="40" applyNumberFormat="1" applyFont="1" applyBorder="1"/>
    <xf numFmtId="169" fontId="8" fillId="41" borderId="19" xfId="40" applyNumberFormat="1" applyFont="1" applyFill="1" applyBorder="1" applyAlignment="1">
      <alignment horizontal="center" vertical="top" wrapText="1"/>
    </xf>
    <xf numFmtId="169" fontId="8" fillId="41" borderId="32" xfId="40" applyNumberFormat="1" applyFont="1" applyFill="1" applyBorder="1" applyAlignment="1">
      <alignment horizontal="center" vertical="top" wrapText="1"/>
    </xf>
    <xf numFmtId="169" fontId="16" fillId="0" borderId="11" xfId="40" applyNumberFormat="1" applyFont="1" applyBorder="1"/>
    <xf numFmtId="169" fontId="54" fillId="25" borderId="11" xfId="40" applyNumberFormat="1" applyFont="1" applyFill="1" applyBorder="1" applyAlignment="1">
      <alignment horizontal="center" vertical="center"/>
    </xf>
    <xf numFmtId="3" fontId="8" fillId="30" borderId="196" xfId="3" applyNumberFormat="1" applyFont="1" applyFill="1" applyBorder="1" applyAlignment="1">
      <alignment horizontal="center" vertical="center" wrapText="1"/>
    </xf>
    <xf numFmtId="3" fontId="127" fillId="31" borderId="198" xfId="3" applyNumberFormat="1" applyFont="1" applyFill="1" applyBorder="1" applyAlignment="1">
      <alignment horizontal="right" vertical="center"/>
    </xf>
    <xf numFmtId="3" fontId="8" fillId="41" borderId="200" xfId="3" applyNumberFormat="1" applyFont="1" applyFill="1" applyBorder="1" applyAlignment="1">
      <alignment horizontal="right" vertical="center" wrapText="1"/>
    </xf>
    <xf numFmtId="3" fontId="115" fillId="30" borderId="203" xfId="3" applyNumberFormat="1" applyFont="1" applyFill="1" applyBorder="1" applyAlignment="1">
      <alignment vertical="center"/>
    </xf>
    <xf numFmtId="3" fontId="115" fillId="30" borderId="382" xfId="3" applyNumberFormat="1" applyFont="1" applyFill="1" applyBorder="1" applyAlignment="1">
      <alignment vertical="center"/>
    </xf>
    <xf numFmtId="3" fontId="8" fillId="41" borderId="208" xfId="3" applyNumberFormat="1" applyFont="1" applyFill="1" applyBorder="1" applyAlignment="1">
      <alignment horizontal="right" vertical="center"/>
    </xf>
    <xf numFmtId="3" fontId="115" fillId="30" borderId="204" xfId="3" applyNumberFormat="1" applyFont="1" applyFill="1" applyBorder="1" applyAlignment="1">
      <alignment vertical="center"/>
    </xf>
    <xf numFmtId="3" fontId="115" fillId="50" borderId="212" xfId="3" applyNumberFormat="1" applyFont="1" applyFill="1" applyBorder="1" applyAlignment="1">
      <alignment horizontal="right" vertical="center"/>
    </xf>
    <xf numFmtId="3" fontId="115" fillId="50" borderId="215" xfId="3" applyNumberFormat="1" applyFont="1" applyFill="1" applyBorder="1" applyAlignment="1">
      <alignment horizontal="right" vertical="center"/>
    </xf>
    <xf numFmtId="3" fontId="67" fillId="47" borderId="260" xfId="0" applyNumberFormat="1" applyFont="1" applyFill="1" applyBorder="1" applyAlignment="1">
      <alignment horizontal="center" vertical="center"/>
    </xf>
    <xf numFmtId="3" fontId="67" fillId="47" borderId="263" xfId="0" applyNumberFormat="1" applyFont="1" applyFill="1" applyBorder="1" applyAlignment="1">
      <alignment horizontal="center" vertical="center"/>
    </xf>
    <xf numFmtId="3" fontId="8" fillId="48" borderId="208" xfId="3" applyNumberFormat="1" applyFont="1" applyFill="1" applyBorder="1" applyAlignment="1">
      <alignment horizontal="right" vertical="center"/>
    </xf>
    <xf numFmtId="3" fontId="115" fillId="30" borderId="203" xfId="3" applyNumberFormat="1" applyFont="1" applyFill="1" applyBorder="1" applyAlignment="1">
      <alignment horizontal="right" vertical="center"/>
    </xf>
    <xf numFmtId="3" fontId="115" fillId="30" borderId="204" xfId="3" applyNumberFormat="1" applyFont="1" applyFill="1" applyBorder="1" applyAlignment="1">
      <alignment horizontal="right" vertical="center"/>
    </xf>
    <xf numFmtId="3" fontId="16" fillId="0" borderId="0" xfId="3" applyNumberFormat="1" applyFont="1" applyAlignment="1">
      <alignment vertical="center"/>
    </xf>
    <xf numFmtId="3" fontId="115" fillId="50" borderId="200" xfId="3" applyNumberFormat="1" applyFont="1" applyFill="1" applyBorder="1" applyAlignment="1">
      <alignment horizontal="right" vertical="center"/>
    </xf>
    <xf numFmtId="3" fontId="115" fillId="50" borderId="211" xfId="3" applyNumberFormat="1" applyFont="1" applyFill="1" applyBorder="1" applyAlignment="1">
      <alignment vertical="center"/>
    </xf>
    <xf numFmtId="3" fontId="8" fillId="45" borderId="207" xfId="3" applyNumberFormat="1" applyFont="1" applyFill="1" applyBorder="1" applyAlignment="1">
      <alignment horizontal="right" vertical="center"/>
    </xf>
    <xf numFmtId="3" fontId="147" fillId="55" borderId="200" xfId="3" applyNumberFormat="1" applyFont="1" applyFill="1" applyBorder="1" applyAlignment="1">
      <alignment horizontal="center" vertical="center"/>
    </xf>
    <xf numFmtId="3" fontId="115" fillId="30" borderId="200" xfId="3" applyNumberFormat="1" applyFont="1" applyFill="1" applyBorder="1" applyAlignment="1">
      <alignment horizontal="right" vertical="center"/>
    </xf>
    <xf numFmtId="3" fontId="67" fillId="32" borderId="212" xfId="3" applyNumberFormat="1" applyFont="1" applyFill="1" applyBorder="1" applyAlignment="1">
      <alignment horizontal="center" vertical="center"/>
    </xf>
    <xf numFmtId="3" fontId="67" fillId="32" borderId="215" xfId="3" applyNumberFormat="1" applyFont="1" applyFill="1" applyBorder="1" applyAlignment="1">
      <alignment horizontal="center" vertical="center"/>
    </xf>
    <xf numFmtId="3" fontId="8" fillId="48" borderId="207" xfId="3" applyNumberFormat="1" applyFont="1" applyFill="1" applyBorder="1" applyAlignment="1">
      <alignment horizontal="right" vertical="center"/>
    </xf>
    <xf numFmtId="3" fontId="115" fillId="60" borderId="203" xfId="3" applyNumberFormat="1" applyFont="1" applyFill="1" applyBorder="1" applyAlignment="1">
      <alignment horizontal="right" vertical="center"/>
    </xf>
    <xf numFmtId="3" fontId="115" fillId="60" borderId="204" xfId="3" applyNumberFormat="1" applyFont="1" applyFill="1" applyBorder="1" applyAlignment="1">
      <alignment horizontal="right" vertical="center"/>
    </xf>
    <xf numFmtId="3" fontId="115" fillId="50" borderId="375" xfId="3" applyNumberFormat="1" applyFont="1" applyFill="1" applyBorder="1" applyAlignment="1">
      <alignment horizontal="right" vertical="center"/>
    </xf>
    <xf numFmtId="3" fontId="115" fillId="50" borderId="378" xfId="3" applyNumberFormat="1" applyFont="1" applyFill="1" applyBorder="1" applyAlignment="1">
      <alignment horizontal="right" vertical="center"/>
    </xf>
    <xf numFmtId="3" fontId="8" fillId="45" borderId="208" xfId="3" applyNumberFormat="1" applyFont="1" applyFill="1" applyBorder="1" applyAlignment="1">
      <alignment horizontal="right" vertical="center"/>
    </xf>
    <xf numFmtId="3" fontId="67" fillId="32" borderId="260" xfId="3" applyNumberFormat="1" applyFont="1" applyFill="1" applyBorder="1" applyAlignment="1">
      <alignment horizontal="center" vertical="center"/>
    </xf>
    <xf numFmtId="3" fontId="0" fillId="47" borderId="212" xfId="0" applyNumberFormat="1" applyFill="1" applyBorder="1" applyAlignment="1">
      <alignment vertical="center"/>
    </xf>
    <xf numFmtId="3" fontId="0" fillId="47" borderId="215" xfId="0" applyNumberFormat="1" applyFill="1" applyBorder="1" applyAlignment="1">
      <alignment vertical="center"/>
    </xf>
    <xf numFmtId="3" fontId="178" fillId="0" borderId="0" xfId="39" applyNumberFormat="1" applyFont="1" applyFill="1" applyBorder="1" applyAlignment="1">
      <alignment horizontal="left" vertical="center"/>
    </xf>
    <xf numFmtId="3" fontId="67" fillId="0" borderId="0" xfId="3" applyNumberFormat="1" applyFont="1" applyFill="1" applyBorder="1" applyAlignment="1">
      <alignment horizontal="left" vertical="center"/>
    </xf>
    <xf numFmtId="3" fontId="8" fillId="0" borderId="0" xfId="3" applyNumberFormat="1" applyFont="1" applyFill="1" applyBorder="1" applyAlignment="1">
      <alignment horizontal="center" vertical="center"/>
    </xf>
    <xf numFmtId="0" fontId="19" fillId="0" borderId="28" xfId="40" applyFont="1" applyFill="1" applyBorder="1"/>
    <xf numFmtId="0" fontId="19" fillId="0" borderId="16" xfId="40" applyFont="1" applyFill="1" applyBorder="1"/>
    <xf numFmtId="0" fontId="22" fillId="0" borderId="19" xfId="40" applyFont="1" applyFill="1" applyBorder="1"/>
    <xf numFmtId="183" fontId="22" fillId="0" borderId="42" xfId="40" applyNumberFormat="1" applyFont="1" applyFill="1" applyBorder="1"/>
    <xf numFmtId="0" fontId="67" fillId="40" borderId="0" xfId="40" applyFont="1" applyFill="1" applyAlignment="1"/>
    <xf numFmtId="0" fontId="37" fillId="40" borderId="0" xfId="40" applyFont="1" applyFill="1" applyBorder="1" applyAlignment="1">
      <alignment horizontal="left" vertical="center"/>
    </xf>
    <xf numFmtId="0" fontId="37" fillId="40" borderId="42" xfId="40" applyFont="1" applyFill="1" applyBorder="1" applyAlignment="1" applyProtection="1">
      <alignment horizontal="center" vertical="center"/>
      <protection locked="0"/>
    </xf>
    <xf numFmtId="0" fontId="37" fillId="40" borderId="42" xfId="40" applyFont="1" applyFill="1" applyBorder="1" applyAlignment="1" applyProtection="1">
      <alignment horizontal="center" vertical="center"/>
    </xf>
    <xf numFmtId="0" fontId="19" fillId="48" borderId="10" xfId="40" applyFont="1" applyFill="1" applyBorder="1"/>
    <xf numFmtId="0" fontId="19" fillId="48" borderId="0" xfId="40" applyFont="1" applyFill="1" applyBorder="1"/>
    <xf numFmtId="0" fontId="22" fillId="48" borderId="131" xfId="40" applyFont="1" applyFill="1" applyBorder="1"/>
    <xf numFmtId="169" fontId="22" fillId="48" borderId="11" xfId="40" applyNumberFormat="1" applyFont="1" applyFill="1" applyBorder="1"/>
    <xf numFmtId="0" fontId="19" fillId="40" borderId="10" xfId="40" applyFont="1" applyFill="1" applyBorder="1"/>
    <xf numFmtId="0" fontId="19" fillId="40" borderId="0" xfId="40" applyFont="1" applyFill="1" applyBorder="1"/>
    <xf numFmtId="0" fontId="22" fillId="40" borderId="11" xfId="40" applyFont="1" applyFill="1" applyBorder="1"/>
    <xf numFmtId="169" fontId="22" fillId="40" borderId="31" xfId="40" applyNumberFormat="1" applyFont="1" applyFill="1" applyBorder="1"/>
    <xf numFmtId="0" fontId="22" fillId="40" borderId="131" xfId="40" applyFont="1" applyFill="1" applyBorder="1"/>
    <xf numFmtId="0" fontId="19" fillId="40" borderId="21" xfId="40" applyFont="1" applyFill="1" applyBorder="1"/>
    <xf numFmtId="0" fontId="19" fillId="40" borderId="15" xfId="40" applyFont="1" applyFill="1" applyBorder="1"/>
    <xf numFmtId="0" fontId="22" fillId="40" borderId="20" xfId="40" applyFont="1" applyFill="1" applyBorder="1"/>
    <xf numFmtId="169" fontId="22" fillId="40" borderId="27" xfId="40" applyNumberFormat="1" applyFont="1" applyFill="1" applyBorder="1"/>
    <xf numFmtId="0" fontId="34" fillId="48" borderId="10" xfId="40" applyFont="1" applyFill="1" applyBorder="1"/>
    <xf numFmtId="0" fontId="34" fillId="48" borderId="0" xfId="40" applyFont="1" applyFill="1" applyBorder="1"/>
    <xf numFmtId="0" fontId="14" fillId="48" borderId="11" xfId="40" applyFont="1" applyFill="1" applyBorder="1"/>
    <xf numFmtId="169" fontId="14" fillId="48" borderId="31" xfId="40" applyNumberFormat="1" applyFont="1" applyFill="1" applyBorder="1"/>
    <xf numFmtId="0" fontId="19" fillId="48" borderId="28" xfId="40" applyFont="1" applyFill="1" applyBorder="1"/>
    <xf numFmtId="0" fontId="19" fillId="48" borderId="16" xfId="40" applyFont="1" applyFill="1" applyBorder="1"/>
    <xf numFmtId="0" fontId="22" fillId="48" borderId="19" xfId="40" applyFont="1" applyFill="1" applyBorder="1"/>
    <xf numFmtId="169" fontId="22" fillId="48" borderId="42" xfId="40" applyNumberFormat="1" applyFont="1" applyFill="1" applyBorder="1"/>
    <xf numFmtId="183" fontId="10" fillId="0" borderId="42" xfId="40" applyNumberFormat="1" applyFont="1" applyFill="1" applyBorder="1"/>
    <xf numFmtId="0" fontId="22" fillId="40" borderId="0" xfId="40" applyFont="1" applyFill="1" applyBorder="1"/>
    <xf numFmtId="3" fontId="8" fillId="41" borderId="200" xfId="0" applyNumberFormat="1" applyFont="1" applyFill="1" applyBorder="1" applyAlignment="1"/>
    <xf numFmtId="3" fontId="8" fillId="41" borderId="200" xfId="0" applyNumberFormat="1" applyFont="1" applyFill="1" applyBorder="1"/>
    <xf numFmtId="3" fontId="8" fillId="41" borderId="220" xfId="3" applyNumberFormat="1" applyFont="1" applyFill="1" applyBorder="1" applyAlignment="1">
      <alignment horizontal="right" vertical="center"/>
    </xf>
    <xf numFmtId="0" fontId="8" fillId="0" borderId="0" xfId="3" applyFont="1" applyAlignment="1">
      <alignment vertical="center"/>
    </xf>
    <xf numFmtId="3" fontId="127" fillId="62" borderId="208" xfId="3" applyNumberFormat="1" applyFont="1" applyFill="1" applyBorder="1" applyAlignment="1">
      <alignment horizontal="right" vertical="center"/>
    </xf>
    <xf numFmtId="0" fontId="8" fillId="61" borderId="199" xfId="3" applyFont="1" applyFill="1" applyBorder="1" applyAlignment="1" applyProtection="1">
      <alignment horizontal="left" vertical="center"/>
      <protection locked="0"/>
    </xf>
    <xf numFmtId="0" fontId="8" fillId="50" borderId="63" xfId="3" applyFont="1" applyFill="1" applyBorder="1" applyAlignment="1" applyProtection="1">
      <alignment horizontal="left" vertical="center"/>
      <protection locked="0"/>
    </xf>
    <xf numFmtId="0" fontId="127" fillId="54" borderId="218" xfId="3" applyFont="1" applyFill="1" applyBorder="1" applyAlignment="1">
      <alignment horizontal="center" vertical="center" textRotation="90"/>
    </xf>
    <xf numFmtId="0" fontId="127" fillId="54" borderId="197" xfId="3" applyFont="1" applyFill="1" applyBorder="1" applyAlignment="1">
      <alignment horizontal="center" vertical="center"/>
    </xf>
    <xf numFmtId="0" fontId="127" fillId="54" borderId="197" xfId="3" applyFont="1" applyFill="1" applyBorder="1" applyAlignment="1">
      <alignment horizontal="left" vertical="center"/>
    </xf>
    <xf numFmtId="40" fontId="127" fillId="54" borderId="197" xfId="3" applyNumberFormat="1" applyFont="1" applyFill="1" applyBorder="1" applyAlignment="1">
      <alignment horizontal="right" vertical="center"/>
    </xf>
    <xf numFmtId="3" fontId="127" fillId="54" borderId="197" xfId="3" applyNumberFormat="1" applyFont="1" applyFill="1" applyBorder="1" applyAlignment="1">
      <alignment horizontal="right" vertical="center"/>
    </xf>
    <xf numFmtId="0" fontId="127" fillId="54" borderId="198" xfId="3" applyFont="1" applyFill="1" applyBorder="1" applyAlignment="1">
      <alignment horizontal="left" vertical="center"/>
    </xf>
    <xf numFmtId="0" fontId="85" fillId="0" borderId="0" xfId="3" applyFont="1" applyAlignment="1">
      <alignment vertical="center"/>
    </xf>
    <xf numFmtId="40" fontId="8" fillId="50" borderId="63" xfId="3" applyNumberFormat="1" applyFont="1" applyFill="1" applyBorder="1" applyAlignment="1">
      <alignment vertical="center"/>
    </xf>
    <xf numFmtId="169" fontId="8" fillId="50" borderId="0" xfId="3" applyNumberFormat="1" applyFont="1" applyFill="1" applyBorder="1" applyAlignment="1">
      <alignment horizontal="center" vertical="center"/>
    </xf>
    <xf numFmtId="3" fontId="8" fillId="50" borderId="212" xfId="3" applyNumberFormat="1" applyFont="1" applyFill="1" applyBorder="1" applyAlignment="1">
      <alignment horizontal="right" vertical="center"/>
    </xf>
    <xf numFmtId="40" fontId="8" fillId="50" borderId="199" xfId="3" applyNumberFormat="1" applyFont="1" applyFill="1" applyBorder="1" applyAlignment="1">
      <alignment horizontal="right" vertical="center"/>
    </xf>
    <xf numFmtId="0" fontId="8" fillId="50" borderId="34" xfId="3" applyNumberFormat="1" applyFont="1" applyFill="1" applyBorder="1" applyAlignment="1">
      <alignment horizontal="center" vertical="center"/>
    </xf>
    <xf numFmtId="3" fontId="8" fillId="50" borderId="200" xfId="3" applyNumberFormat="1" applyFont="1" applyFill="1" applyBorder="1" applyAlignment="1">
      <alignment horizontal="right" vertical="center"/>
    </xf>
    <xf numFmtId="40" fontId="8" fillId="61" borderId="201" xfId="3" applyNumberFormat="1" applyFont="1" applyFill="1" applyBorder="1" applyAlignment="1">
      <alignment horizontal="right" vertical="center"/>
    </xf>
    <xf numFmtId="0" fontId="8" fillId="61" borderId="202" xfId="3" applyNumberFormat="1" applyFont="1" applyFill="1" applyBorder="1" applyAlignment="1">
      <alignment horizontal="center" vertical="center"/>
    </xf>
    <xf numFmtId="3" fontId="8" fillId="61" borderId="203" xfId="3" applyNumberFormat="1" applyFont="1" applyFill="1" applyBorder="1" applyAlignment="1">
      <alignment vertical="center"/>
    </xf>
    <xf numFmtId="0" fontId="8" fillId="0" borderId="200" xfId="3" applyFont="1" applyBorder="1" applyAlignment="1">
      <alignment horizontal="left" vertical="center" wrapText="1"/>
    </xf>
    <xf numFmtId="0" fontId="147" fillId="50" borderId="199" xfId="3" applyFont="1" applyFill="1" applyBorder="1" applyAlignment="1" applyProtection="1">
      <alignment horizontal="left" vertical="center"/>
      <protection locked="0"/>
    </xf>
    <xf numFmtId="40" fontId="147" fillId="55" borderId="199" xfId="3" applyNumberFormat="1" applyFont="1" applyFill="1" applyBorder="1" applyAlignment="1">
      <alignment horizontal="center" vertical="center"/>
    </xf>
    <xf numFmtId="40" fontId="147" fillId="50" borderId="374" xfId="3" applyNumberFormat="1" applyFont="1" applyFill="1" applyBorder="1" applyAlignment="1">
      <alignment horizontal="center" vertical="center"/>
    </xf>
    <xf numFmtId="0" fontId="147" fillId="55" borderId="200" xfId="3" applyFont="1" applyFill="1" applyBorder="1" applyAlignment="1">
      <alignment horizontal="left" vertical="center" wrapText="1"/>
    </xf>
    <xf numFmtId="40" fontId="147" fillId="55" borderId="201" xfId="3" applyNumberFormat="1" applyFont="1" applyFill="1" applyBorder="1" applyAlignment="1">
      <alignment horizontal="center" vertical="center"/>
    </xf>
    <xf numFmtId="0" fontId="8" fillId="45" borderId="208" xfId="3" applyFont="1" applyFill="1" applyBorder="1" applyAlignment="1">
      <alignment horizontal="left" vertical="center" wrapText="1"/>
    </xf>
    <xf numFmtId="0" fontId="127" fillId="62" borderId="197" xfId="3" applyFont="1" applyFill="1" applyBorder="1" applyAlignment="1">
      <alignment horizontal="center" vertical="center"/>
    </xf>
    <xf numFmtId="40" fontId="127" fillId="62" borderId="197" xfId="3" applyNumberFormat="1" applyFont="1" applyFill="1" applyBorder="1" applyAlignment="1">
      <alignment horizontal="right" vertical="center"/>
    </xf>
    <xf numFmtId="40" fontId="127" fillId="62" borderId="207" xfId="3" applyNumberFormat="1" applyFont="1" applyFill="1" applyBorder="1" applyAlignment="1">
      <alignment horizontal="right" vertical="center"/>
    </xf>
    <xf numFmtId="0" fontId="127" fillId="62" borderId="208" xfId="3" applyFont="1" applyFill="1" applyBorder="1" applyAlignment="1">
      <alignment horizontal="left" vertical="center" wrapText="1"/>
    </xf>
    <xf numFmtId="0" fontId="259" fillId="0" borderId="0" xfId="3" applyFont="1" applyAlignment="1">
      <alignment vertical="center"/>
    </xf>
    <xf numFmtId="183" fontId="22" fillId="48" borderId="42" xfId="40" applyNumberFormat="1" applyFont="1" applyFill="1" applyBorder="1"/>
    <xf numFmtId="0" fontId="261" fillId="0" borderId="309" xfId="58" applyFont="1" applyBorder="1"/>
    <xf numFmtId="0" fontId="261" fillId="0" borderId="129" xfId="58" applyFont="1" applyBorder="1"/>
    <xf numFmtId="0" fontId="261" fillId="0" borderId="310" xfId="58" applyFont="1" applyBorder="1"/>
    <xf numFmtId="0" fontId="261" fillId="0" borderId="0" xfId="58" applyFont="1"/>
    <xf numFmtId="0" fontId="262" fillId="0" borderId="276" xfId="58" applyFont="1" applyBorder="1" applyAlignment="1">
      <alignment horizontal="center"/>
    </xf>
    <xf numFmtId="0" fontId="261" fillId="0" borderId="131" xfId="58" applyFont="1" applyBorder="1"/>
    <xf numFmtId="0" fontId="263" fillId="0" borderId="0" xfId="58" applyFont="1" applyBorder="1"/>
    <xf numFmtId="0" fontId="261" fillId="0" borderId="0" xfId="58" applyFont="1" applyBorder="1"/>
    <xf numFmtId="0" fontId="261" fillId="0" borderId="191" xfId="58" applyFont="1" applyBorder="1"/>
    <xf numFmtId="0" fontId="262" fillId="0" borderId="0" xfId="58" applyFont="1" applyBorder="1" applyAlignment="1">
      <alignment horizontal="center"/>
    </xf>
    <xf numFmtId="0" fontId="261" fillId="0" borderId="312" xfId="58" applyFont="1" applyBorder="1"/>
    <xf numFmtId="3" fontId="261" fillId="45" borderId="251" xfId="58" applyNumberFormat="1" applyFont="1" applyFill="1" applyBorder="1" applyProtection="1">
      <protection locked="0"/>
    </xf>
    <xf numFmtId="3" fontId="261" fillId="63" borderId="251" xfId="58" applyNumberFormat="1" applyFont="1" applyFill="1" applyBorder="1"/>
    <xf numFmtId="0" fontId="261" fillId="0" borderId="276" xfId="58" applyFont="1" applyBorder="1"/>
    <xf numFmtId="3" fontId="261" fillId="45" borderId="386" xfId="58" applyNumberFormat="1" applyFont="1" applyFill="1" applyBorder="1"/>
    <xf numFmtId="3" fontId="261" fillId="63" borderId="386" xfId="58" applyNumberFormat="1" applyFont="1" applyFill="1" applyBorder="1"/>
    <xf numFmtId="0" fontId="261" fillId="45" borderId="0" xfId="58" applyFont="1" applyFill="1" applyBorder="1" applyProtection="1">
      <protection locked="0"/>
    </xf>
    <xf numFmtId="184" fontId="261" fillId="45" borderId="131" xfId="58" applyNumberFormat="1" applyFont="1" applyFill="1" applyBorder="1"/>
    <xf numFmtId="172" fontId="261" fillId="45" borderId="0" xfId="58" applyNumberFormat="1" applyFont="1" applyFill="1" applyBorder="1" applyProtection="1">
      <protection locked="0"/>
    </xf>
    <xf numFmtId="172" fontId="262" fillId="45" borderId="131" xfId="58" applyNumberFormat="1" applyFont="1" applyFill="1" applyBorder="1"/>
    <xf numFmtId="0" fontId="261" fillId="21" borderId="0" xfId="58" applyFont="1" applyFill="1" applyBorder="1"/>
    <xf numFmtId="172" fontId="261" fillId="45" borderId="131" xfId="58" applyNumberFormat="1" applyFont="1" applyFill="1" applyBorder="1"/>
    <xf numFmtId="172" fontId="261" fillId="45" borderId="0" xfId="58" applyNumberFormat="1" applyFont="1" applyFill="1" applyBorder="1"/>
    <xf numFmtId="0" fontId="261" fillId="0" borderId="311" xfId="58" applyFont="1" applyBorder="1"/>
    <xf numFmtId="172" fontId="261" fillId="45" borderId="132" xfId="58" applyNumberFormat="1" applyFont="1" applyFill="1" applyBorder="1"/>
    <xf numFmtId="0" fontId="261" fillId="0" borderId="132" xfId="58" applyFont="1" applyBorder="1"/>
    <xf numFmtId="172" fontId="261" fillId="45" borderId="312" xfId="58" applyNumberFormat="1" applyFont="1" applyFill="1" applyBorder="1"/>
    <xf numFmtId="0" fontId="261" fillId="0" borderId="132" xfId="58" applyFont="1" applyBorder="1" applyAlignment="1">
      <alignment horizontal="right"/>
    </xf>
    <xf numFmtId="0" fontId="261" fillId="0" borderId="251" xfId="58" applyFont="1" applyBorder="1"/>
    <xf numFmtId="0" fontId="261" fillId="0" borderId="387" xfId="58" applyFont="1" applyBorder="1"/>
    <xf numFmtId="3" fontId="261" fillId="0" borderId="191" xfId="58" applyNumberFormat="1" applyFont="1" applyBorder="1"/>
    <xf numFmtId="0" fontId="261" fillId="0" borderId="386" xfId="58" applyFont="1" applyBorder="1"/>
    <xf numFmtId="172" fontId="261" fillId="0" borderId="191" xfId="58" applyNumberFormat="1" applyFont="1" applyBorder="1"/>
    <xf numFmtId="3" fontId="261" fillId="45" borderId="191" xfId="58" applyNumberFormat="1" applyFont="1" applyFill="1" applyBorder="1"/>
    <xf numFmtId="0" fontId="262" fillId="45" borderId="0" xfId="58" applyFont="1" applyFill="1" applyBorder="1"/>
    <xf numFmtId="0" fontId="261" fillId="0" borderId="276" xfId="58" applyFont="1" applyBorder="1" applyAlignment="1"/>
    <xf numFmtId="0" fontId="261" fillId="0" borderId="247" xfId="58" applyFont="1" applyBorder="1"/>
    <xf numFmtId="3" fontId="261" fillId="0" borderId="0" xfId="58" applyNumberFormat="1" applyFont="1" applyBorder="1"/>
    <xf numFmtId="172" fontId="262" fillId="45" borderId="0" xfId="58" applyNumberFormat="1" applyFont="1" applyFill="1" applyBorder="1"/>
    <xf numFmtId="172" fontId="261" fillId="0" borderId="0" xfId="58" applyNumberFormat="1" applyFont="1" applyBorder="1"/>
    <xf numFmtId="172" fontId="261" fillId="0" borderId="129" xfId="58" applyNumberFormat="1" applyFont="1" applyBorder="1"/>
    <xf numFmtId="0" fontId="261" fillId="0" borderId="276" xfId="58" quotePrefix="1" applyFont="1" applyBorder="1"/>
    <xf numFmtId="3" fontId="261" fillId="0" borderId="191" xfId="58" applyNumberFormat="1" applyFont="1" applyFill="1" applyBorder="1" applyProtection="1">
      <protection locked="0"/>
    </xf>
    <xf numFmtId="3" fontId="261" fillId="0" borderId="129" xfId="58" applyNumberFormat="1" applyFont="1" applyBorder="1"/>
    <xf numFmtId="3" fontId="261" fillId="0" borderId="310" xfId="58" applyNumberFormat="1" applyFont="1" applyBorder="1"/>
    <xf numFmtId="3" fontId="261" fillId="0" borderId="132" xfId="58" applyNumberFormat="1" applyFont="1" applyBorder="1"/>
    <xf numFmtId="3" fontId="261" fillId="0" borderId="312" xfId="58" applyNumberFormat="1" applyFont="1" applyBorder="1"/>
    <xf numFmtId="0" fontId="261" fillId="0" borderId="0" xfId="58" applyFont="1" applyFill="1" applyBorder="1"/>
    <xf numFmtId="0" fontId="261" fillId="0" borderId="0" xfId="58" applyFont="1" applyBorder="1" applyAlignment="1">
      <alignment horizontal="right"/>
    </xf>
    <xf numFmtId="0" fontId="261" fillId="0" borderId="0" xfId="58" applyFont="1" applyBorder="1" applyAlignment="1">
      <alignment horizontal="center"/>
    </xf>
    <xf numFmtId="0" fontId="261" fillId="0" borderId="0" xfId="58" applyFont="1" applyBorder="1" applyAlignment="1"/>
    <xf numFmtId="0" fontId="6" fillId="0" borderId="0" xfId="58" applyAlignment="1">
      <alignment wrapText="1"/>
    </xf>
    <xf numFmtId="0" fontId="252" fillId="0" borderId="0" xfId="58" applyFont="1" applyAlignment="1">
      <alignment horizontal="left" vertical="top"/>
    </xf>
    <xf numFmtId="0" fontId="252" fillId="0" borderId="0" xfId="58" applyFont="1" applyAlignment="1">
      <alignment horizontal="left" vertical="top" wrapText="1"/>
    </xf>
    <xf numFmtId="0" fontId="251" fillId="38" borderId="0" xfId="58" applyFont="1" applyFill="1" applyAlignment="1">
      <alignment wrapText="1"/>
    </xf>
    <xf numFmtId="0" fontId="6" fillId="0" borderId="0" xfId="58" applyAlignment="1">
      <alignment horizontal="left" vertical="top" wrapText="1"/>
    </xf>
    <xf numFmtId="0" fontId="6" fillId="0" borderId="191" xfId="58" applyBorder="1" applyAlignment="1">
      <alignment horizontal="left" vertical="top" wrapText="1"/>
    </xf>
    <xf numFmtId="0" fontId="17" fillId="0" borderId="191" xfId="58" applyFont="1" applyBorder="1" applyAlignment="1">
      <alignment horizontal="left" vertical="top" wrapText="1"/>
    </xf>
    <xf numFmtId="0" fontId="6" fillId="64" borderId="256" xfId="58" applyFill="1" applyBorder="1" applyAlignment="1">
      <alignment horizontal="left" vertical="top" wrapText="1"/>
    </xf>
    <xf numFmtId="0" fontId="6" fillId="64" borderId="256" xfId="58" quotePrefix="1" applyFill="1" applyBorder="1" applyAlignment="1">
      <alignment horizontal="left" vertical="top" wrapText="1"/>
    </xf>
    <xf numFmtId="0" fontId="6" fillId="64" borderId="192" xfId="58" applyFill="1" applyBorder="1" applyAlignment="1">
      <alignment horizontal="left" vertical="top" wrapText="1"/>
    </xf>
    <xf numFmtId="0" fontId="17" fillId="64" borderId="386" xfId="58" applyFont="1" applyFill="1" applyBorder="1" applyAlignment="1">
      <alignment horizontal="left" vertical="top" wrapText="1"/>
    </xf>
    <xf numFmtId="0" fontId="17" fillId="64" borderId="386" xfId="58" quotePrefix="1" applyFont="1" applyFill="1" applyBorder="1" applyAlignment="1">
      <alignment horizontal="left" vertical="top" wrapText="1"/>
    </xf>
    <xf numFmtId="0" fontId="17" fillId="64" borderId="388" xfId="58" applyFont="1" applyFill="1" applyBorder="1" applyAlignment="1">
      <alignment horizontal="left" vertical="top" wrapText="1"/>
    </xf>
    <xf numFmtId="0" fontId="6" fillId="0" borderId="261" xfId="58" applyBorder="1" applyAlignment="1">
      <alignment horizontal="left" vertical="top" wrapText="1"/>
    </xf>
    <xf numFmtId="0" fontId="17" fillId="0" borderId="261" xfId="58" applyFont="1" applyBorder="1" applyAlignment="1">
      <alignment horizontal="left" vertical="top" wrapText="1"/>
    </xf>
    <xf numFmtId="0" fontId="6" fillId="64" borderId="191" xfId="58" applyFill="1" applyBorder="1" applyAlignment="1">
      <alignment horizontal="left" vertical="top" wrapText="1"/>
    </xf>
    <xf numFmtId="0" fontId="6" fillId="64" borderId="261" xfId="58" applyFill="1" applyBorder="1" applyAlignment="1">
      <alignment horizontal="left" vertical="top" wrapText="1"/>
    </xf>
    <xf numFmtId="0" fontId="17" fillId="64" borderId="191" xfId="58" applyFont="1" applyFill="1" applyBorder="1" applyAlignment="1">
      <alignment horizontal="left" vertical="top" wrapText="1"/>
    </xf>
    <xf numFmtId="0" fontId="17" fillId="64" borderId="261" xfId="58" applyFont="1" applyFill="1" applyBorder="1" applyAlignment="1">
      <alignment horizontal="left" vertical="top" wrapText="1"/>
    </xf>
    <xf numFmtId="0" fontId="17" fillId="64" borderId="251" xfId="58" applyFont="1" applyFill="1" applyBorder="1" applyAlignment="1">
      <alignment horizontal="left" vertical="top" wrapText="1"/>
    </xf>
    <xf numFmtId="0" fontId="17" fillId="64" borderId="249" xfId="58" applyFont="1" applyFill="1" applyBorder="1" applyAlignment="1">
      <alignment horizontal="left" vertical="top" wrapText="1"/>
    </xf>
    <xf numFmtId="0" fontId="6" fillId="0" borderId="251" xfId="58" applyBorder="1" applyAlignment="1">
      <alignment horizontal="left" vertical="top" wrapText="1"/>
    </xf>
    <xf numFmtId="0" fontId="6" fillId="0" borderId="249" xfId="58" applyBorder="1" applyAlignment="1">
      <alignment horizontal="left" vertical="top" wrapText="1"/>
    </xf>
    <xf numFmtId="0" fontId="6" fillId="0" borderId="195" xfId="58" applyBorder="1" applyAlignment="1">
      <alignment horizontal="left" vertical="top" wrapText="1"/>
    </xf>
    <xf numFmtId="0" fontId="17" fillId="0" borderId="195" xfId="58" applyFont="1" applyBorder="1" applyAlignment="1">
      <alignment horizontal="left" vertical="top" wrapText="1"/>
    </xf>
    <xf numFmtId="0" fontId="17" fillId="0" borderId="196" xfId="58" applyFont="1" applyBorder="1" applyAlignment="1">
      <alignment horizontal="left" vertical="top" wrapText="1"/>
    </xf>
    <xf numFmtId="0" fontId="36" fillId="0" borderId="0" xfId="41" applyFont="1" applyFill="1" applyAlignment="1">
      <alignment vertical="center"/>
    </xf>
    <xf numFmtId="0" fontId="36" fillId="0" borderId="0" xfId="41" applyFont="1" applyFill="1" applyBorder="1" applyAlignment="1" applyProtection="1">
      <alignment horizontal="center" vertical="center"/>
    </xf>
    <xf numFmtId="0" fontId="264" fillId="0" borderId="389" xfId="58" applyFont="1" applyBorder="1"/>
    <xf numFmtId="3" fontId="264" fillId="0" borderId="389" xfId="58" applyNumberFormat="1" applyFont="1" applyBorder="1"/>
    <xf numFmtId="0" fontId="265" fillId="57" borderId="0" xfId="58" applyFont="1" applyFill="1"/>
    <xf numFmtId="3" fontId="265" fillId="57" borderId="0" xfId="58" applyNumberFormat="1" applyFont="1" applyFill="1"/>
    <xf numFmtId="3" fontId="261" fillId="0" borderId="0" xfId="58" applyNumberFormat="1" applyFont="1"/>
    <xf numFmtId="3" fontId="266" fillId="0" borderId="0" xfId="58" applyNumberFormat="1" applyFont="1" applyAlignment="1">
      <alignment horizontal="center"/>
    </xf>
    <xf numFmtId="0" fontId="261" fillId="0" borderId="390" xfId="58" applyFont="1" applyBorder="1"/>
    <xf numFmtId="0" fontId="262" fillId="0" borderId="0" xfId="58" applyFont="1"/>
    <xf numFmtId="3" fontId="262" fillId="0" borderId="0" xfId="58" applyNumberFormat="1" applyFont="1"/>
    <xf numFmtId="0" fontId="261" fillId="0" borderId="0" xfId="58" applyFont="1" applyAlignment="1">
      <alignment horizontal="left" indent="1"/>
    </xf>
    <xf numFmtId="0" fontId="267" fillId="0" borderId="247" xfId="58" applyFont="1" applyBorder="1"/>
    <xf numFmtId="3" fontId="261" fillId="0" borderId="247" xfId="58" applyNumberFormat="1" applyFont="1" applyBorder="1"/>
    <xf numFmtId="0" fontId="238" fillId="0" borderId="0" xfId="58" applyFont="1" applyAlignment="1">
      <alignment horizontal="left" indent="1"/>
    </xf>
    <xf numFmtId="0" fontId="238" fillId="0" borderId="0" xfId="58" applyFont="1"/>
    <xf numFmtId="9" fontId="238" fillId="0" borderId="0" xfId="44" applyFont="1"/>
    <xf numFmtId="172" fontId="261" fillId="65" borderId="0" xfId="44" applyNumberFormat="1" applyFont="1" applyFill="1"/>
    <xf numFmtId="0" fontId="261" fillId="47" borderId="0" xfId="58" applyFont="1" applyFill="1"/>
    <xf numFmtId="3" fontId="261" fillId="47" borderId="0" xfId="58" applyNumberFormat="1" applyFont="1" applyFill="1"/>
    <xf numFmtId="0" fontId="262" fillId="0" borderId="391" xfId="58" applyFont="1" applyBorder="1"/>
    <xf numFmtId="3" fontId="262" fillId="0" borderId="391" xfId="58" applyNumberFormat="1" applyFont="1" applyBorder="1"/>
    <xf numFmtId="0" fontId="262" fillId="0" borderId="247" xfId="58" applyFont="1" applyBorder="1"/>
    <xf numFmtId="0" fontId="238" fillId="0" borderId="391" xfId="58" applyFont="1" applyBorder="1" applyAlignment="1">
      <alignment horizontal="left" indent="1"/>
    </xf>
    <xf numFmtId="9" fontId="238" fillId="0" borderId="391" xfId="44" applyFont="1" applyBorder="1" applyAlignment="1">
      <alignment horizontal="right"/>
    </xf>
    <xf numFmtId="0" fontId="266" fillId="0" borderId="0" xfId="58" applyFont="1"/>
    <xf numFmtId="0" fontId="261" fillId="0" borderId="0" xfId="58" applyFont="1" applyAlignment="1">
      <alignment horizontal="left" indent="2"/>
    </xf>
    <xf numFmtId="0" fontId="261" fillId="0" borderId="247" xfId="58" applyFont="1" applyBorder="1" applyAlignment="1">
      <alignment horizontal="left" indent="1"/>
    </xf>
    <xf numFmtId="0" fontId="261" fillId="0" borderId="0" xfId="58" applyFont="1" applyBorder="1" applyAlignment="1">
      <alignment horizontal="left" indent="1"/>
    </xf>
    <xf numFmtId="0" fontId="262" fillId="0" borderId="391" xfId="58" applyFont="1" applyBorder="1" applyAlignment="1">
      <alignment horizontal="left" indent="2"/>
    </xf>
    <xf numFmtId="3" fontId="261" fillId="0" borderId="391" xfId="58" applyNumberFormat="1" applyFont="1" applyBorder="1"/>
    <xf numFmtId="0" fontId="262" fillId="0" borderId="392" xfId="58" quotePrefix="1" applyFont="1" applyBorder="1"/>
    <xf numFmtId="3" fontId="262" fillId="0" borderId="392" xfId="58" applyNumberFormat="1" applyFont="1" applyBorder="1"/>
    <xf numFmtId="0" fontId="268" fillId="32" borderId="0" xfId="58" applyFont="1" applyFill="1" applyAlignment="1">
      <alignment horizontal="left" indent="1"/>
    </xf>
    <xf numFmtId="0" fontId="268" fillId="0" borderId="0" xfId="58" applyFont="1"/>
    <xf numFmtId="3" fontId="268" fillId="32" borderId="0" xfId="58" applyNumberFormat="1" applyFont="1" applyFill="1"/>
    <xf numFmtId="0" fontId="262" fillId="0" borderId="0" xfId="58" applyFont="1" applyBorder="1"/>
    <xf numFmtId="3" fontId="262" fillId="0" borderId="0" xfId="58" applyNumberFormat="1" applyFont="1" applyBorder="1"/>
    <xf numFmtId="0" fontId="261" fillId="0" borderId="247" xfId="58" quotePrefix="1" applyFont="1" applyBorder="1" applyAlignment="1">
      <alignment horizontal="left" indent="1"/>
    </xf>
    <xf numFmtId="0" fontId="261" fillId="0" borderId="391" xfId="58" applyFont="1" applyBorder="1" applyAlignment="1">
      <alignment horizontal="left" indent="1"/>
    </xf>
    <xf numFmtId="172" fontId="261" fillId="0" borderId="391" xfId="44" applyNumberFormat="1" applyFont="1" applyBorder="1" applyAlignment="1">
      <alignment horizontal="center"/>
    </xf>
    <xf numFmtId="0" fontId="261" fillId="0" borderId="0" xfId="58" applyFont="1" applyAlignment="1">
      <alignment vertical="top" wrapText="1"/>
    </xf>
    <xf numFmtId="3" fontId="261" fillId="0" borderId="0" xfId="58" applyNumberFormat="1" applyFont="1" applyAlignment="1">
      <alignment horizontal="center" vertical="top" wrapText="1"/>
    </xf>
    <xf numFmtId="0" fontId="262" fillId="0" borderId="247" xfId="58" quotePrefix="1" applyFont="1" applyBorder="1" applyAlignment="1">
      <alignment horizontal="left" indent="1"/>
    </xf>
    <xf numFmtId="3" fontId="262" fillId="0" borderId="247" xfId="58" quotePrefix="1" applyNumberFormat="1" applyFont="1" applyBorder="1" applyAlignment="1">
      <alignment horizontal="left" indent="1"/>
    </xf>
    <xf numFmtId="0" fontId="54" fillId="25" borderId="393" xfId="41" applyFont="1" applyFill="1" applyBorder="1" applyAlignment="1">
      <alignment horizontal="center" vertical="top" wrapText="1"/>
    </xf>
    <xf numFmtId="0" fontId="269" fillId="0" borderId="12" xfId="41" applyFont="1" applyBorder="1" applyAlignment="1" applyProtection="1">
      <alignment horizontal="center" vertical="center"/>
      <protection locked="0"/>
    </xf>
    <xf numFmtId="0" fontId="51" fillId="0" borderId="129" xfId="41" applyFont="1" applyFill="1" applyBorder="1" applyAlignment="1">
      <alignment horizontal="left" vertical="center"/>
    </xf>
    <xf numFmtId="0" fontId="160" fillId="0" borderId="129" xfId="41" applyFont="1" applyFill="1" applyBorder="1" applyAlignment="1" applyProtection="1">
      <alignment horizontal="left" vertical="center"/>
    </xf>
    <xf numFmtId="0" fontId="36" fillId="0" borderId="0" xfId="41" applyFont="1" applyFill="1" applyBorder="1" applyAlignment="1">
      <alignment horizontal="left" indent="1" shrinkToFit="1"/>
    </xf>
    <xf numFmtId="0" fontId="85" fillId="0" borderId="0" xfId="0" applyFont="1" applyFill="1" applyAlignment="1">
      <alignment horizontal="center" vertical="center"/>
    </xf>
    <xf numFmtId="0" fontId="161" fillId="34" borderId="0" xfId="41" applyFont="1" applyFill="1" applyBorder="1" applyAlignment="1">
      <alignment horizontal="center" vertical="center"/>
    </xf>
    <xf numFmtId="0" fontId="161" fillId="25" borderId="246" xfId="41" applyFont="1" applyFill="1" applyBorder="1" applyAlignment="1">
      <alignment horizontal="center" vertical="center"/>
    </xf>
    <xf numFmtId="0" fontId="6" fillId="64" borderId="251" xfId="58" applyFont="1" applyFill="1" applyBorder="1" applyAlignment="1">
      <alignment horizontal="left" vertical="top" wrapText="1"/>
    </xf>
    <xf numFmtId="0" fontId="6" fillId="64" borderId="249" xfId="58" applyFont="1" applyFill="1" applyBorder="1" applyAlignment="1">
      <alignment horizontal="left" vertical="top" wrapText="1"/>
    </xf>
    <xf numFmtId="0" fontId="270" fillId="38" borderId="191" xfId="58" applyFont="1" applyFill="1" applyBorder="1"/>
    <xf numFmtId="0" fontId="271" fillId="25" borderId="0" xfId="0" applyFont="1" applyFill="1" applyAlignment="1" applyProtection="1">
      <alignment horizontal="left" vertical="center"/>
    </xf>
    <xf numFmtId="0" fontId="252" fillId="0" borderId="0" xfId="58" applyFont="1" applyAlignment="1">
      <alignment horizontal="left" vertical="top" wrapText="1"/>
    </xf>
    <xf numFmtId="0" fontId="67" fillId="58" borderId="247" xfId="41" applyFont="1" applyFill="1" applyBorder="1" applyAlignment="1" applyProtection="1">
      <alignment horizontal="left" vertical="center"/>
      <protection locked="0"/>
    </xf>
    <xf numFmtId="0" fontId="11" fillId="25" borderId="0" xfId="0" applyFont="1" applyFill="1" applyBorder="1" applyAlignment="1">
      <alignment horizontal="left" vertical="center"/>
    </xf>
    <xf numFmtId="0" fontId="11" fillId="25" borderId="247" xfId="41" applyFont="1" applyFill="1" applyBorder="1" applyAlignment="1">
      <alignment horizontal="left" vertical="center"/>
    </xf>
    <xf numFmtId="0" fontId="274" fillId="34" borderId="234" xfId="41" applyFont="1" applyFill="1" applyBorder="1" applyAlignment="1">
      <alignment horizontal="left" vertical="top" indent="1"/>
    </xf>
    <xf numFmtId="0" fontId="274" fillId="34" borderId="183" xfId="41" applyFont="1" applyFill="1" applyBorder="1" applyAlignment="1">
      <alignment vertical="top"/>
    </xf>
    <xf numFmtId="169" fontId="274" fillId="40" borderId="234" xfId="41" applyNumberFormat="1" applyFont="1" applyFill="1" applyBorder="1" applyAlignment="1">
      <alignment vertical="top"/>
    </xf>
    <xf numFmtId="169" fontId="274" fillId="40" borderId="185" xfId="41" applyNumberFormat="1" applyFont="1" applyFill="1" applyBorder="1" applyAlignment="1" applyProtection="1">
      <alignment vertical="top"/>
      <protection locked="0"/>
    </xf>
    <xf numFmtId="169" fontId="274" fillId="37" borderId="234" xfId="41" applyNumberFormat="1" applyFont="1" applyFill="1" applyBorder="1" applyAlignment="1" applyProtection="1">
      <alignment horizontal="center" vertical="top"/>
      <protection locked="0"/>
    </xf>
    <xf numFmtId="169" fontId="274" fillId="37" borderId="185" xfId="41" applyNumberFormat="1" applyFont="1" applyFill="1" applyBorder="1" applyAlignment="1" applyProtection="1">
      <alignment horizontal="center" vertical="top"/>
      <protection locked="0"/>
    </xf>
    <xf numFmtId="0" fontId="274" fillId="34" borderId="179" xfId="41" applyFont="1" applyFill="1" applyBorder="1" applyAlignment="1">
      <alignment horizontal="left" vertical="top" indent="1"/>
    </xf>
    <xf numFmtId="0" fontId="274" fillId="34" borderId="34" xfId="41" applyFont="1" applyFill="1" applyBorder="1" applyAlignment="1">
      <alignment vertical="top"/>
    </xf>
    <xf numFmtId="169" fontId="274" fillId="40" borderId="179" xfId="41" applyNumberFormat="1" applyFont="1" applyFill="1" applyBorder="1" applyAlignment="1">
      <alignment vertical="top"/>
    </xf>
    <xf numFmtId="169" fontId="274" fillId="40" borderId="186" xfId="41" applyNumberFormat="1" applyFont="1" applyFill="1" applyBorder="1" applyAlignment="1" applyProtection="1">
      <alignment vertical="top"/>
      <protection locked="0"/>
    </xf>
    <xf numFmtId="169" fontId="274" fillId="40" borderId="179" xfId="41" applyNumberFormat="1" applyFont="1" applyFill="1" applyBorder="1" applyAlignment="1" applyProtection="1">
      <alignment vertical="top"/>
      <protection locked="0"/>
    </xf>
    <xf numFmtId="169" fontId="274" fillId="40" borderId="34" xfId="41" applyNumberFormat="1" applyFont="1" applyFill="1" applyBorder="1" applyAlignment="1" applyProtection="1">
      <alignment vertical="top"/>
      <protection locked="0"/>
    </xf>
    <xf numFmtId="0" fontId="274" fillId="34" borderId="180" xfId="41" applyFont="1" applyFill="1" applyBorder="1" applyAlignment="1">
      <alignment horizontal="left" vertical="top" indent="1"/>
    </xf>
    <xf numFmtId="0" fontId="274" fillId="34" borderId="181" xfId="41" applyFont="1" applyFill="1" applyBorder="1" applyAlignment="1">
      <alignment vertical="top"/>
    </xf>
    <xf numFmtId="169" fontId="274" fillId="40" borderId="180" xfId="41" applyNumberFormat="1" applyFont="1" applyFill="1" applyBorder="1" applyAlignment="1">
      <alignment vertical="top"/>
    </xf>
    <xf numFmtId="169" fontId="274" fillId="40" borderId="188" xfId="41" applyNumberFormat="1" applyFont="1" applyFill="1" applyBorder="1" applyAlignment="1" applyProtection="1">
      <alignment vertical="top"/>
      <protection locked="0"/>
    </xf>
    <xf numFmtId="0" fontId="275" fillId="0" borderId="12" xfId="41" applyFont="1" applyBorder="1" applyAlignment="1">
      <alignment horizontal="left" indent="1"/>
    </xf>
    <xf numFmtId="0" fontId="274" fillId="0" borderId="13" xfId="41" applyFont="1" applyBorder="1"/>
    <xf numFmtId="169" fontId="275" fillId="27" borderId="28" xfId="41" applyNumberFormat="1" applyFont="1" applyFill="1" applyBorder="1" applyAlignment="1">
      <alignment vertical="top"/>
    </xf>
    <xf numFmtId="169" fontId="275" fillId="27" borderId="19" xfId="41" applyNumberFormat="1" applyFont="1" applyFill="1" applyBorder="1" applyAlignment="1">
      <alignment vertical="top"/>
    </xf>
    <xf numFmtId="169" fontId="275" fillId="27" borderId="28" xfId="41" applyNumberFormat="1" applyFont="1" applyFill="1" applyBorder="1" applyAlignment="1">
      <alignment horizontal="right" vertical="top"/>
    </xf>
    <xf numFmtId="169" fontId="275" fillId="27" borderId="19" xfId="41" applyNumberFormat="1" applyFont="1" applyFill="1" applyBorder="1" applyAlignment="1">
      <alignment horizontal="right" vertical="top"/>
    </xf>
    <xf numFmtId="0" fontId="275" fillId="0" borderId="28" xfId="41" applyFont="1" applyBorder="1" applyAlignment="1">
      <alignment horizontal="left" indent="1"/>
    </xf>
    <xf numFmtId="0" fontId="274" fillId="0" borderId="313" xfId="41" applyFont="1" applyBorder="1"/>
    <xf numFmtId="169" fontId="275" fillId="0" borderId="0" xfId="41" applyNumberFormat="1" applyFont="1" applyFill="1" applyBorder="1" applyAlignment="1">
      <alignment vertical="top"/>
    </xf>
    <xf numFmtId="169" fontId="275" fillId="0" borderId="0" xfId="41" applyNumberFormat="1" applyFont="1" applyFill="1" applyBorder="1" applyAlignment="1">
      <alignment horizontal="right" vertical="top"/>
    </xf>
    <xf numFmtId="169" fontId="276" fillId="25" borderId="42" xfId="41" applyNumberFormat="1" applyFont="1" applyFill="1" applyBorder="1" applyAlignment="1">
      <alignment horizontal="right" vertical="top"/>
    </xf>
    <xf numFmtId="169" fontId="274" fillId="40" borderId="234" xfId="41" applyNumberFormat="1" applyFont="1" applyFill="1" applyBorder="1" applyAlignment="1" applyProtection="1">
      <alignment vertical="top"/>
      <protection locked="0"/>
    </xf>
    <xf numFmtId="169" fontId="274" fillId="40" borderId="180" xfId="41" applyNumberFormat="1" applyFont="1" applyFill="1" applyBorder="1" applyAlignment="1" applyProtection="1">
      <alignment vertical="top"/>
      <protection locked="0"/>
    </xf>
    <xf numFmtId="0" fontId="274" fillId="0" borderId="0" xfId="41" applyFont="1"/>
    <xf numFmtId="0" fontId="277" fillId="0" borderId="183" xfId="41" applyFont="1" applyBorder="1" applyAlignment="1">
      <alignment horizontal="right" vertical="top" wrapText="1"/>
    </xf>
    <xf numFmtId="3" fontId="274" fillId="40" borderId="184" xfId="41" applyNumberFormat="1" applyFont="1" applyFill="1" applyBorder="1" applyAlignment="1">
      <alignment horizontal="right" vertical="top" wrapText="1"/>
    </xf>
    <xf numFmtId="3" fontId="274" fillId="40" borderId="279" xfId="41" applyNumberFormat="1" applyFont="1" applyFill="1" applyBorder="1" applyAlignment="1">
      <alignment horizontal="right" vertical="top" wrapText="1"/>
    </xf>
    <xf numFmtId="0" fontId="277" fillId="0" borderId="34" xfId="41" applyFont="1" applyBorder="1" applyAlignment="1">
      <alignment horizontal="right" vertical="top" wrapText="1"/>
    </xf>
    <xf numFmtId="9" fontId="277" fillId="40" borderId="184" xfId="41" applyNumberFormat="1" applyFont="1" applyFill="1" applyBorder="1" applyAlignment="1">
      <alignment horizontal="right" vertical="top" wrapText="1"/>
    </xf>
    <xf numFmtId="9" fontId="277" fillId="40" borderId="279" xfId="41" applyNumberFormat="1" applyFont="1" applyFill="1" applyBorder="1" applyAlignment="1">
      <alignment horizontal="right" vertical="top" wrapText="1"/>
    </xf>
    <xf numFmtId="9" fontId="274" fillId="40" borderId="184" xfId="44" applyFont="1" applyFill="1" applyBorder="1" applyAlignment="1">
      <alignment horizontal="right" vertical="top" wrapText="1"/>
    </xf>
    <xf numFmtId="9" fontId="274" fillId="40" borderId="279" xfId="44" applyFont="1" applyFill="1" applyBorder="1" applyAlignment="1">
      <alignment horizontal="right" vertical="top" wrapText="1"/>
    </xf>
    <xf numFmtId="0" fontId="277" fillId="0" borderId="181" xfId="41" applyFont="1" applyBorder="1" applyAlignment="1">
      <alignment horizontal="right" vertical="top" wrapText="1"/>
    </xf>
    <xf numFmtId="3" fontId="274" fillId="40" borderId="187" xfId="41" applyNumberFormat="1" applyFont="1" applyFill="1" applyBorder="1" applyAlignment="1">
      <alignment horizontal="right" vertical="top" wrapText="1"/>
    </xf>
    <xf numFmtId="3" fontId="274" fillId="40" borderId="280" xfId="41" applyNumberFormat="1" applyFont="1" applyFill="1" applyBorder="1" applyAlignment="1">
      <alignment horizontal="right" vertical="top" wrapText="1"/>
    </xf>
    <xf numFmtId="0" fontId="278" fillId="28" borderId="12" xfId="41" applyFont="1" applyFill="1" applyBorder="1" applyAlignment="1">
      <alignment horizontal="left" vertical="top" wrapText="1" indent="1"/>
    </xf>
    <xf numFmtId="1" fontId="278" fillId="28" borderId="14" xfId="41" applyNumberFormat="1" applyFont="1" applyFill="1" applyBorder="1" applyAlignment="1">
      <alignment horizontal="center" vertical="top" wrapText="1"/>
    </xf>
    <xf numFmtId="9" fontId="278" fillId="28" borderId="14" xfId="41" applyNumberFormat="1" applyFont="1" applyFill="1" applyBorder="1" applyAlignment="1">
      <alignment horizontal="center" vertical="top" wrapText="1"/>
    </xf>
    <xf numFmtId="3" fontId="278" fillId="28" borderId="14" xfId="41" applyNumberFormat="1" applyFont="1" applyFill="1" applyBorder="1" applyAlignment="1">
      <alignment horizontal="center" vertical="top" wrapText="1"/>
    </xf>
    <xf numFmtId="0" fontId="278" fillId="28" borderId="12" xfId="41" applyFont="1" applyFill="1" applyBorder="1" applyAlignment="1">
      <alignment horizontal="left" vertical="top" indent="1"/>
    </xf>
    <xf numFmtId="0" fontId="184" fillId="28" borderId="13" xfId="41" applyFont="1" applyFill="1" applyBorder="1" applyAlignment="1">
      <alignment horizontal="center" vertical="top" wrapText="1"/>
    </xf>
    <xf numFmtId="170" fontId="278" fillId="28" borderId="14" xfId="41" applyNumberFormat="1" applyFont="1" applyFill="1" applyBorder="1" applyAlignment="1">
      <alignment horizontal="center" vertical="top" wrapText="1"/>
    </xf>
    <xf numFmtId="0" fontId="274" fillId="48" borderId="28" xfId="41" applyFont="1" applyFill="1" applyBorder="1" applyAlignment="1">
      <alignment vertical="top" wrapText="1"/>
    </xf>
    <xf numFmtId="168" fontId="274" fillId="48" borderId="16" xfId="41" applyNumberFormat="1" applyFont="1" applyFill="1" applyBorder="1" applyAlignment="1">
      <alignment vertical="top" wrapText="1"/>
    </xf>
    <xf numFmtId="168" fontId="275" fillId="48" borderId="19" xfId="41" applyNumberFormat="1" applyFont="1" applyFill="1" applyBorder="1" applyAlignment="1">
      <alignment vertical="top" wrapText="1"/>
    </xf>
    <xf numFmtId="0" fontId="274" fillId="0" borderId="13" xfId="41" applyFont="1" applyBorder="1" applyProtection="1">
      <protection locked="0"/>
    </xf>
    <xf numFmtId="0" fontId="274" fillId="48" borderId="28" xfId="41" applyFont="1" applyFill="1" applyBorder="1" applyAlignment="1">
      <alignment horizontal="centerContinuous" vertical="top" wrapText="1"/>
    </xf>
    <xf numFmtId="0" fontId="277" fillId="48" borderId="16" xfId="41" applyFont="1" applyFill="1" applyBorder="1" applyAlignment="1">
      <alignment horizontal="centerContinuous" vertical="top" wrapText="1"/>
    </xf>
    <xf numFmtId="168" fontId="274" fillId="48" borderId="16" xfId="41" applyNumberFormat="1" applyFont="1" applyFill="1" applyBorder="1" applyAlignment="1">
      <alignment horizontal="centerContinuous" vertical="top" wrapText="1"/>
    </xf>
    <xf numFmtId="0" fontId="274" fillId="48" borderId="16" xfId="41" applyFont="1" applyFill="1" applyBorder="1" applyAlignment="1">
      <alignment horizontal="right" vertical="top" wrapText="1"/>
    </xf>
    <xf numFmtId="0" fontId="274" fillId="0" borderId="0" xfId="41" applyFont="1" applyBorder="1" applyAlignment="1">
      <alignment horizontal="right" vertical="top" wrapText="1"/>
    </xf>
    <xf numFmtId="0" fontId="275" fillId="0" borderId="42" xfId="41" applyFont="1" applyBorder="1" applyAlignment="1">
      <alignment vertical="center" wrapText="1"/>
    </xf>
    <xf numFmtId="0" fontId="275" fillId="0" borderId="191" xfId="41" applyFont="1" applyBorder="1" applyAlignment="1" applyProtection="1">
      <alignment horizontal="center" vertical="center"/>
      <protection locked="0"/>
    </xf>
    <xf numFmtId="0" fontId="279" fillId="0" borderId="0" xfId="58" applyFont="1"/>
    <xf numFmtId="0" fontId="280" fillId="0" borderId="0" xfId="101" applyNumberFormat="1" applyFont="1" applyFill="1" applyBorder="1" applyAlignment="1">
      <alignment horizontal="left" vertical="center"/>
    </xf>
    <xf numFmtId="0" fontId="281" fillId="36" borderId="344" xfId="101" applyNumberFormat="1" applyFont="1" applyFill="1" applyBorder="1" applyAlignment="1">
      <alignment horizontal="center" vertical="center"/>
    </xf>
    <xf numFmtId="0" fontId="281" fillId="36" borderId="345" xfId="101" applyNumberFormat="1" applyFont="1" applyFill="1" applyBorder="1" applyAlignment="1">
      <alignment horizontal="center" vertical="center"/>
    </xf>
    <xf numFmtId="180" fontId="281" fillId="36" borderId="345" xfId="101" applyNumberFormat="1" applyFont="1" applyFill="1" applyBorder="1" applyAlignment="1">
      <alignment horizontal="center" vertical="center" wrapText="1"/>
    </xf>
    <xf numFmtId="180" fontId="281" fillId="36" borderId="344" xfId="101" applyNumberFormat="1" applyFont="1" applyFill="1" applyBorder="1" applyAlignment="1">
      <alignment horizontal="center" vertical="center" wrapText="1"/>
    </xf>
    <xf numFmtId="180" fontId="281" fillId="36" borderId="344" xfId="101" applyNumberFormat="1" applyFont="1" applyFill="1" applyBorder="1" applyAlignment="1">
      <alignment horizontal="center" vertical="center"/>
    </xf>
    <xf numFmtId="0" fontId="279" fillId="0" borderId="347" xfId="102" applyNumberFormat="1" applyFont="1" applyBorder="1" applyAlignment="1">
      <alignment wrapText="1"/>
    </xf>
    <xf numFmtId="49" fontId="279" fillId="0" borderId="347" xfId="102" applyNumberFormat="1" applyFont="1" applyBorder="1" applyAlignment="1">
      <alignment wrapText="1"/>
    </xf>
    <xf numFmtId="0" fontId="279" fillId="0" borderId="347" xfId="102" applyNumberFormat="1" applyFont="1" applyBorder="1" applyAlignment="1">
      <alignment horizontal="center" wrapText="1"/>
    </xf>
    <xf numFmtId="0" fontId="279" fillId="0" borderId="348" xfId="102" applyNumberFormat="1" applyFont="1" applyFill="1" applyBorder="1" applyAlignment="1">
      <alignment horizontal="center" wrapText="1"/>
    </xf>
    <xf numFmtId="181" fontId="279" fillId="0" borderId="346" xfId="102" applyFont="1" applyFill="1" applyBorder="1" applyAlignment="1">
      <alignment wrapText="1"/>
    </xf>
    <xf numFmtId="49" fontId="279" fillId="0" borderId="346" xfId="102" applyNumberFormat="1" applyFont="1" applyBorder="1" applyAlignment="1">
      <alignment wrapText="1"/>
    </xf>
    <xf numFmtId="49" fontId="279" fillId="0" borderId="349" xfId="102" applyNumberFormat="1" applyFont="1" applyFill="1" applyBorder="1" applyAlignment="1">
      <alignment wrapText="1"/>
    </xf>
    <xf numFmtId="49" fontId="279" fillId="0" borderId="350" xfId="102" applyNumberFormat="1" applyFont="1" applyBorder="1" applyAlignment="1">
      <alignment wrapText="1"/>
    </xf>
    <xf numFmtId="49" fontId="279" fillId="0" borderId="347" xfId="102" applyNumberFormat="1" applyFont="1" applyFill="1" applyBorder="1" applyAlignment="1">
      <alignment wrapText="1"/>
    </xf>
    <xf numFmtId="49" fontId="279" fillId="0" borderId="347" xfId="58" applyNumberFormat="1" applyFont="1" applyBorder="1" applyAlignment="1">
      <alignment wrapText="1"/>
    </xf>
    <xf numFmtId="0" fontId="279" fillId="0" borderId="347" xfId="58" applyNumberFormat="1" applyFont="1" applyBorder="1" applyAlignment="1">
      <alignment horizontal="center" wrapText="1"/>
    </xf>
    <xf numFmtId="0" fontId="279" fillId="0" borderId="351" xfId="58" applyNumberFormat="1" applyFont="1" applyBorder="1" applyAlignment="1">
      <alignment horizontal="center" wrapText="1"/>
    </xf>
    <xf numFmtId="49" fontId="279" fillId="0" borderId="350" xfId="58" applyNumberFormat="1" applyFont="1" applyBorder="1" applyAlignment="1">
      <alignment wrapText="1"/>
    </xf>
    <xf numFmtId="0" fontId="279" fillId="0" borderId="347" xfId="102" applyNumberFormat="1" applyFont="1" applyBorder="1" applyAlignment="1">
      <alignment vertical="top" wrapText="1"/>
    </xf>
    <xf numFmtId="0" fontId="282" fillId="25" borderId="0" xfId="0" applyFont="1" applyFill="1" applyAlignment="1" applyProtection="1">
      <alignment horizontal="left" vertical="center"/>
    </xf>
    <xf numFmtId="0" fontId="8" fillId="0" borderId="0" xfId="58" applyFont="1" applyAlignment="1">
      <alignment horizontal="left" vertical="top"/>
    </xf>
    <xf numFmtId="0" fontId="283" fillId="25" borderId="0" xfId="0" applyFont="1" applyFill="1" applyBorder="1" applyAlignment="1" applyProtection="1">
      <alignment horizontal="center" vertical="center"/>
    </xf>
    <xf numFmtId="0" fontId="284" fillId="0" borderId="0" xfId="0" applyFont="1"/>
    <xf numFmtId="0" fontId="282" fillId="0" borderId="0" xfId="0" applyFont="1" applyFill="1" applyAlignment="1" applyProtection="1">
      <alignment horizontal="right" vertical="center"/>
    </xf>
    <xf numFmtId="0" fontId="285" fillId="0" borderId="0" xfId="0" applyFont="1" applyFill="1" applyAlignment="1" applyProtection="1">
      <alignment horizontal="left" vertical="center"/>
    </xf>
    <xf numFmtId="0" fontId="286" fillId="0" borderId="0" xfId="0" applyFont="1" applyFill="1" applyAlignment="1" applyProtection="1">
      <alignment horizontal="left" vertical="center"/>
    </xf>
    <xf numFmtId="0" fontId="6" fillId="0" borderId="0" xfId="58" applyBorder="1" applyAlignment="1">
      <alignment horizontal="center" vertical="top" wrapText="1"/>
    </xf>
    <xf numFmtId="0" fontId="17" fillId="0" borderId="251" xfId="58" applyFont="1" applyBorder="1" applyAlignment="1">
      <alignment horizontal="left" vertical="top" wrapText="1"/>
    </xf>
    <xf numFmtId="0" fontId="17" fillId="0" borderId="249" xfId="58" applyFont="1" applyBorder="1" applyAlignment="1">
      <alignment horizontal="left" vertical="top" wrapText="1"/>
    </xf>
    <xf numFmtId="0" fontId="36" fillId="34" borderId="44" xfId="0" applyFont="1" applyFill="1" applyBorder="1" applyAlignment="1">
      <alignment horizontal="left" indent="1"/>
    </xf>
    <xf numFmtId="0" fontId="36" fillId="34" borderId="45" xfId="0" applyFont="1" applyFill="1" applyBorder="1" applyAlignment="1">
      <alignment horizontal="left" indent="1"/>
    </xf>
    <xf numFmtId="0" fontId="37" fillId="34" borderId="46" xfId="0" applyFont="1" applyFill="1" applyBorder="1"/>
    <xf numFmtId="0" fontId="37" fillId="34" borderId="48" xfId="0" applyFont="1" applyFill="1" applyBorder="1"/>
    <xf numFmtId="0" fontId="36" fillId="34" borderId="47" xfId="0" applyFont="1" applyFill="1" applyBorder="1" applyAlignment="1">
      <alignment horizontal="left" indent="1"/>
    </xf>
    <xf numFmtId="0" fontId="36" fillId="34" borderId="55" xfId="0" applyFont="1" applyFill="1" applyBorder="1" applyAlignment="1">
      <alignment horizontal="left" indent="1"/>
    </xf>
    <xf numFmtId="0" fontId="36" fillId="34" borderId="57" xfId="0" applyFont="1" applyFill="1" applyBorder="1" applyAlignment="1">
      <alignment horizontal="left" indent="1"/>
    </xf>
    <xf numFmtId="0" fontId="37" fillId="34" borderId="59" xfId="0" applyFont="1" applyFill="1" applyBorder="1"/>
    <xf numFmtId="0" fontId="37" fillId="34" borderId="60" xfId="0" applyFont="1" applyFill="1" applyBorder="1"/>
    <xf numFmtId="0" fontId="37" fillId="34" borderId="55" xfId="0" applyFont="1" applyFill="1" applyBorder="1"/>
    <xf numFmtId="0" fontId="41" fillId="34" borderId="44" xfId="0" applyFont="1" applyFill="1" applyBorder="1" applyAlignment="1">
      <alignment horizontal="center"/>
    </xf>
    <xf numFmtId="0" fontId="41" fillId="34" borderId="47" xfId="0" applyFont="1" applyFill="1" applyBorder="1" applyAlignment="1">
      <alignment horizontal="center"/>
    </xf>
    <xf numFmtId="0" fontId="38" fillId="34" borderId="46" xfId="0" applyFont="1" applyFill="1" applyBorder="1" applyAlignment="1">
      <alignment horizontal="center"/>
    </xf>
    <xf numFmtId="0" fontId="38" fillId="34" borderId="48" xfId="0" applyFont="1" applyFill="1" applyBorder="1" applyAlignment="1">
      <alignment horizontal="center"/>
    </xf>
    <xf numFmtId="0" fontId="28" fillId="34" borderId="0" xfId="0" applyFont="1" applyFill="1" applyAlignment="1" applyProtection="1">
      <alignment horizontal="right" vertical="center"/>
    </xf>
    <xf numFmtId="0" fontId="25" fillId="34" borderId="0" xfId="0" applyFont="1" applyFill="1"/>
    <xf numFmtId="0" fontId="60" fillId="34" borderId="0" xfId="0" applyFont="1" applyFill="1"/>
    <xf numFmtId="0" fontId="36" fillId="34" borderId="46" xfId="0" applyFont="1" applyFill="1" applyBorder="1" applyAlignment="1">
      <alignment horizontal="left" indent="1"/>
    </xf>
    <xf numFmtId="0" fontId="13" fillId="34" borderId="46" xfId="0" applyFont="1" applyFill="1" applyBorder="1"/>
    <xf numFmtId="0" fontId="13" fillId="34" borderId="48" xfId="0" applyFont="1" applyFill="1" applyBorder="1"/>
    <xf numFmtId="0" fontId="37" fillId="0" borderId="394" xfId="0" applyFont="1" applyBorder="1"/>
    <xf numFmtId="0" fontId="36" fillId="34" borderId="251" xfId="0" applyFont="1" applyFill="1" applyBorder="1" applyAlignment="1">
      <alignment horizontal="left" indent="1"/>
    </xf>
    <xf numFmtId="0" fontId="36" fillId="34" borderId="387" xfId="0" applyFont="1" applyFill="1" applyBorder="1" applyAlignment="1">
      <alignment horizontal="left" indent="1"/>
    </xf>
    <xf numFmtId="0" fontId="36" fillId="34" borderId="386" xfId="0" applyFont="1" applyFill="1" applyBorder="1" applyAlignment="1">
      <alignment horizontal="left" indent="1"/>
    </xf>
    <xf numFmtId="0" fontId="60" fillId="34" borderId="0" xfId="0" applyFont="1" applyFill="1" applyAlignment="1">
      <alignment horizontal="left"/>
    </xf>
    <xf numFmtId="0" fontId="82" fillId="34" borderId="0" xfId="0" applyFont="1" applyFill="1"/>
    <xf numFmtId="0" fontId="0" fillId="34" borderId="0" xfId="0" applyFill="1" applyBorder="1" applyAlignment="1">
      <alignment vertical="center"/>
    </xf>
    <xf numFmtId="0" fontId="67" fillId="34" borderId="0" xfId="0" applyFont="1" applyFill="1" applyBorder="1" applyAlignment="1">
      <alignment horizontal="center" vertical="center"/>
    </xf>
    <xf numFmtId="0" fontId="9" fillId="34" borderId="0" xfId="0" applyFont="1" applyFill="1" applyBorder="1" applyAlignment="1">
      <alignment vertical="center"/>
    </xf>
    <xf numFmtId="3" fontId="75" fillId="34" borderId="0" xfId="0" applyNumberFormat="1" applyFont="1" applyFill="1" applyAlignment="1">
      <alignment vertical="center"/>
    </xf>
    <xf numFmtId="0" fontId="9" fillId="34" borderId="0" xfId="0" applyFont="1" applyFill="1" applyAlignment="1">
      <alignment vertical="center"/>
    </xf>
    <xf numFmtId="0" fontId="9" fillId="34" borderId="0" xfId="0" applyFont="1" applyFill="1" applyAlignment="1">
      <alignment horizontal="center" vertical="center"/>
    </xf>
    <xf numFmtId="0" fontId="73" fillId="34" borderId="0" xfId="0" applyFont="1" applyFill="1" applyAlignment="1">
      <alignment vertical="center"/>
    </xf>
    <xf numFmtId="3" fontId="73" fillId="34" borderId="0" xfId="0" applyNumberFormat="1" applyFont="1" applyFill="1" applyBorder="1" applyAlignment="1">
      <alignment vertical="center"/>
    </xf>
    <xf numFmtId="0" fontId="77" fillId="34" borderId="0" xfId="0" applyFont="1" applyFill="1" applyBorder="1" applyAlignment="1">
      <alignment horizontal="center" vertical="center"/>
    </xf>
    <xf numFmtId="0" fontId="77" fillId="34" borderId="0" xfId="0" applyFont="1" applyFill="1" applyBorder="1" applyAlignment="1">
      <alignment vertical="center"/>
    </xf>
    <xf numFmtId="0" fontId="77" fillId="34" borderId="0" xfId="0" applyFont="1" applyFill="1" applyAlignment="1">
      <alignment vertical="center"/>
    </xf>
    <xf numFmtId="3" fontId="9" fillId="34" borderId="0" xfId="0" applyNumberFormat="1" applyFont="1" applyFill="1" applyAlignment="1">
      <alignment vertical="center"/>
    </xf>
    <xf numFmtId="3" fontId="0" fillId="34" borderId="0" xfId="0" applyNumberFormat="1" applyFill="1" applyAlignment="1">
      <alignment vertical="center"/>
    </xf>
    <xf numFmtId="0" fontId="17" fillId="34" borderId="0" xfId="0" applyFont="1" applyFill="1" applyBorder="1" applyAlignment="1">
      <alignment vertical="center"/>
    </xf>
    <xf numFmtId="0" fontId="18" fillId="34" borderId="0" xfId="0" quotePrefix="1" applyFont="1" applyFill="1" applyBorder="1" applyAlignment="1">
      <alignment horizontal="center" vertical="center"/>
    </xf>
    <xf numFmtId="3" fontId="19" fillId="34" borderId="0" xfId="0" applyNumberFormat="1" applyFont="1" applyFill="1" applyBorder="1" applyAlignment="1">
      <alignment vertical="center"/>
    </xf>
    <xf numFmtId="1" fontId="19" fillId="34" borderId="0" xfId="0" applyNumberFormat="1" applyFont="1" applyFill="1" applyBorder="1" applyAlignment="1">
      <alignment vertical="center"/>
    </xf>
    <xf numFmtId="49" fontId="63" fillId="34" borderId="0" xfId="0" quotePrefix="1" applyNumberFormat="1" applyFont="1" applyFill="1" applyBorder="1" applyAlignment="1">
      <alignment horizontal="right" vertical="center"/>
    </xf>
    <xf numFmtId="0" fontId="78" fillId="34" borderId="0" xfId="0" applyFont="1" applyFill="1" applyAlignment="1">
      <alignment vertical="center"/>
    </xf>
    <xf numFmtId="3" fontId="22" fillId="34" borderId="0" xfId="0" applyNumberFormat="1" applyFont="1" applyFill="1" applyBorder="1" applyAlignment="1">
      <alignment horizontal="center" vertical="center"/>
    </xf>
    <xf numFmtId="3" fontId="14" fillId="34" borderId="0" xfId="0" applyNumberFormat="1" applyFont="1" applyFill="1" applyBorder="1" applyAlignment="1">
      <alignment vertical="center"/>
    </xf>
    <xf numFmtId="0" fontId="0" fillId="34" borderId="0" xfId="0" applyFill="1" applyAlignment="1">
      <alignment horizontal="left" vertical="center"/>
    </xf>
    <xf numFmtId="0" fontId="20" fillId="34" borderId="0" xfId="0" applyFont="1" applyFill="1" applyAlignment="1">
      <alignment horizontal="left" vertical="center"/>
    </xf>
    <xf numFmtId="0" fontId="17" fillId="34" borderId="0" xfId="0" applyFont="1" applyFill="1" applyAlignment="1">
      <alignment horizontal="left" vertical="center"/>
    </xf>
    <xf numFmtId="0" fontId="11" fillId="34" borderId="0" xfId="0" applyFont="1" applyFill="1" applyBorder="1" applyAlignment="1">
      <alignment horizontal="center" vertical="center"/>
    </xf>
    <xf numFmtId="0" fontId="70" fillId="34" borderId="0" xfId="0" applyFont="1" applyFill="1" applyBorder="1" applyAlignment="1">
      <alignment vertical="center"/>
    </xf>
    <xf numFmtId="0" fontId="64" fillId="34" borderId="0" xfId="0" applyFont="1" applyFill="1" applyBorder="1" applyAlignment="1">
      <alignment vertical="center"/>
    </xf>
    <xf numFmtId="0" fontId="64" fillId="34" borderId="0" xfId="0" applyFont="1" applyFill="1" applyBorder="1" applyAlignment="1">
      <alignment horizontal="right" vertical="center"/>
    </xf>
    <xf numFmtId="0" fontId="64" fillId="34" borderId="0" xfId="0" applyFont="1" applyFill="1" applyBorder="1" applyAlignment="1">
      <alignment horizontal="center" vertical="center"/>
    </xf>
    <xf numFmtId="1" fontId="64" fillId="34" borderId="0" xfId="0" applyNumberFormat="1" applyFont="1" applyFill="1" applyBorder="1" applyAlignment="1">
      <alignment horizontal="center" vertical="center"/>
    </xf>
    <xf numFmtId="0" fontId="64" fillId="34" borderId="0" xfId="0" applyFont="1" applyFill="1" applyAlignment="1">
      <alignment vertical="center"/>
    </xf>
    <xf numFmtId="3" fontId="14" fillId="34" borderId="0" xfId="0" applyNumberFormat="1" applyFont="1" applyFill="1" applyBorder="1" applyAlignment="1">
      <alignment horizontal="center" vertical="center"/>
    </xf>
    <xf numFmtId="3" fontId="0" fillId="34" borderId="0" xfId="0" applyNumberFormat="1" applyFill="1" applyBorder="1" applyAlignment="1">
      <alignment vertical="center"/>
    </xf>
    <xf numFmtId="0" fontId="67" fillId="34" borderId="0" xfId="0" applyFont="1" applyFill="1" applyAlignment="1">
      <alignment vertical="center"/>
    </xf>
    <xf numFmtId="1" fontId="74" fillId="34" borderId="0" xfId="0" applyNumberFormat="1" applyFont="1" applyFill="1" applyAlignment="1">
      <alignment vertical="center"/>
    </xf>
    <xf numFmtId="0" fontId="80" fillId="34" borderId="0" xfId="0" applyFont="1" applyFill="1" applyAlignment="1">
      <alignment vertical="center"/>
    </xf>
    <xf numFmtId="0" fontId="70" fillId="34" borderId="0" xfId="0" applyFont="1" applyFill="1" applyAlignment="1">
      <alignment vertical="center"/>
    </xf>
    <xf numFmtId="0" fontId="9" fillId="0" borderId="136" xfId="0" applyFont="1" applyFill="1" applyBorder="1" applyAlignment="1">
      <alignment horizontal="center" vertical="center"/>
    </xf>
    <xf numFmtId="9" fontId="0" fillId="45" borderId="0" xfId="0" applyNumberFormat="1" applyFill="1" applyBorder="1" applyAlignment="1">
      <alignment vertical="center"/>
    </xf>
    <xf numFmtId="3" fontId="68" fillId="45" borderId="78" xfId="0" applyNumberFormat="1" applyFont="1" applyFill="1" applyBorder="1" applyAlignment="1" applyProtection="1">
      <alignment vertical="center"/>
      <protection locked="0"/>
    </xf>
    <xf numFmtId="3" fontId="68" fillId="45" borderId="37" xfId="0" applyNumberFormat="1" applyFont="1" applyFill="1" applyBorder="1" applyAlignment="1" applyProtection="1">
      <alignment vertical="center"/>
      <protection locked="0"/>
    </xf>
    <xf numFmtId="9" fontId="69" fillId="45" borderId="145" xfId="44" applyFont="1" applyFill="1" applyBorder="1" applyAlignment="1" applyProtection="1">
      <alignment vertical="center"/>
      <protection locked="0"/>
    </xf>
    <xf numFmtId="9" fontId="69" fillId="45" borderId="145" xfId="44" applyFont="1" applyFill="1" applyBorder="1" applyAlignment="1">
      <alignment vertical="center"/>
    </xf>
    <xf numFmtId="9" fontId="69" fillId="45" borderId="146" xfId="44" applyFont="1" applyFill="1" applyBorder="1" applyAlignment="1">
      <alignment vertical="center"/>
    </xf>
    <xf numFmtId="9" fontId="69" fillId="45" borderId="136" xfId="44" applyFont="1" applyFill="1" applyBorder="1" applyAlignment="1" applyProtection="1">
      <alignment vertical="center"/>
      <protection locked="0"/>
    </xf>
    <xf numFmtId="9" fontId="69" fillId="45" borderId="136" xfId="44" applyFont="1" applyFill="1" applyBorder="1" applyAlignment="1">
      <alignment vertical="center"/>
    </xf>
    <xf numFmtId="9" fontId="69" fillId="45" borderId="139" xfId="44" applyFont="1" applyFill="1" applyBorder="1" applyAlignment="1">
      <alignment vertical="center"/>
    </xf>
    <xf numFmtId="9" fontId="69" fillId="45" borderId="138" xfId="44" applyFont="1" applyFill="1" applyBorder="1" applyAlignment="1" applyProtection="1">
      <alignment vertical="center"/>
      <protection locked="0"/>
    </xf>
    <xf numFmtId="9" fontId="69" fillId="45" borderId="138" xfId="44" applyFont="1" applyFill="1" applyBorder="1" applyAlignment="1">
      <alignment vertical="center"/>
    </xf>
    <xf numFmtId="9" fontId="69" fillId="45" borderId="140" xfId="44" applyFont="1" applyFill="1" applyBorder="1" applyAlignment="1">
      <alignment vertical="center"/>
    </xf>
    <xf numFmtId="173" fontId="69" fillId="45" borderId="78" xfId="0" applyNumberFormat="1" applyFont="1" applyFill="1" applyBorder="1" applyAlignment="1" applyProtection="1">
      <alignment vertical="center"/>
      <protection locked="0"/>
    </xf>
    <xf numFmtId="173" fontId="69" fillId="45" borderId="37" xfId="0" applyNumberFormat="1" applyFont="1" applyFill="1" applyBorder="1" applyAlignment="1" applyProtection="1">
      <alignment vertical="center"/>
      <protection locked="0"/>
    </xf>
    <xf numFmtId="173" fontId="69" fillId="45" borderId="79" xfId="0" applyNumberFormat="1" applyFont="1" applyFill="1" applyBorder="1" applyAlignment="1" applyProtection="1">
      <alignment vertical="center"/>
      <protection locked="0"/>
    </xf>
    <xf numFmtId="173" fontId="9" fillId="45" borderId="79" xfId="0" applyNumberFormat="1" applyFont="1" applyFill="1" applyBorder="1" applyAlignment="1">
      <alignment vertical="center"/>
    </xf>
    <xf numFmtId="173" fontId="9" fillId="45" borderId="80" xfId="0" applyNumberFormat="1" applyFont="1" applyFill="1" applyBorder="1" applyAlignment="1">
      <alignment vertical="center"/>
    </xf>
    <xf numFmtId="173" fontId="69" fillId="45" borderId="35" xfId="0" applyNumberFormat="1" applyFont="1" applyFill="1" applyBorder="1" applyAlignment="1" applyProtection="1">
      <alignment vertical="center"/>
      <protection locked="0"/>
    </xf>
    <xf numFmtId="173" fontId="9" fillId="45" borderId="35" xfId="0" applyNumberFormat="1" applyFont="1" applyFill="1" applyBorder="1" applyAlignment="1">
      <alignment vertical="center"/>
    </xf>
    <xf numFmtId="173" fontId="9" fillId="45" borderId="82" xfId="0" applyNumberFormat="1" applyFont="1" applyFill="1" applyBorder="1" applyAlignment="1">
      <alignment vertical="center"/>
    </xf>
    <xf numFmtId="0" fontId="278" fillId="26" borderId="54" xfId="0" applyFont="1" applyFill="1" applyBorder="1" applyAlignment="1">
      <alignment horizontal="center" vertical="center"/>
    </xf>
    <xf numFmtId="0" fontId="85" fillId="0" borderId="4" xfId="0" applyFont="1" applyFill="1" applyBorder="1" applyAlignment="1">
      <alignment horizontal="center" vertical="center"/>
    </xf>
    <xf numFmtId="0" fontId="92" fillId="27" borderId="4" xfId="0" applyFont="1" applyFill="1" applyBorder="1" applyAlignment="1">
      <alignment horizontal="center" vertical="center"/>
    </xf>
    <xf numFmtId="0" fontId="92" fillId="59" borderId="4" xfId="0" applyFont="1" applyFill="1" applyBorder="1" applyAlignment="1">
      <alignment horizontal="center" vertical="center"/>
    </xf>
    <xf numFmtId="3" fontId="261" fillId="39" borderId="191" xfId="58" applyNumberFormat="1" applyFont="1" applyFill="1" applyBorder="1" applyProtection="1">
      <protection locked="0"/>
    </xf>
    <xf numFmtId="3" fontId="261" fillId="39" borderId="191" xfId="58" applyNumberFormat="1" applyFont="1" applyFill="1" applyBorder="1"/>
    <xf numFmtId="3" fontId="261" fillId="39" borderId="191" xfId="58" applyNumberFormat="1" applyFont="1" applyFill="1" applyBorder="1" applyAlignment="1">
      <alignment horizontal="right"/>
    </xf>
    <xf numFmtId="3" fontId="261" fillId="39" borderId="248" xfId="58" applyNumberFormat="1" applyFont="1" applyFill="1" applyBorder="1"/>
    <xf numFmtId="172" fontId="261" fillId="39" borderId="248" xfId="58" applyNumberFormat="1" applyFont="1" applyFill="1" applyBorder="1"/>
    <xf numFmtId="172" fontId="261" fillId="39" borderId="310" xfId="58" applyNumberFormat="1" applyFont="1" applyFill="1" applyBorder="1"/>
    <xf numFmtId="172" fontId="261" fillId="39" borderId="191" xfId="58" applyNumberFormat="1" applyFont="1" applyFill="1" applyBorder="1"/>
    <xf numFmtId="173" fontId="9" fillId="45" borderId="136" xfId="0" applyNumberFormat="1" applyFont="1" applyFill="1" applyBorder="1" applyAlignment="1">
      <alignment vertical="center"/>
    </xf>
    <xf numFmtId="0" fontId="287" fillId="25" borderId="246" xfId="41" applyFont="1" applyFill="1" applyBorder="1" applyAlignment="1">
      <alignment horizontal="left" vertical="center"/>
    </xf>
    <xf numFmtId="173" fontId="69" fillId="45" borderId="136" xfId="0" applyNumberFormat="1" applyFont="1" applyFill="1" applyBorder="1" applyAlignment="1">
      <alignment vertical="center"/>
    </xf>
    <xf numFmtId="0" fontId="11" fillId="25" borderId="0" xfId="0" applyFont="1" applyFill="1" applyBorder="1" applyAlignment="1">
      <alignment horizontal="left" vertical="center"/>
    </xf>
    <xf numFmtId="0" fontId="11" fillId="25" borderId="0" xfId="0" applyFont="1" applyFill="1" applyBorder="1" applyAlignment="1">
      <alignment horizontal="center" vertical="center"/>
    </xf>
    <xf numFmtId="0" fontId="36" fillId="0" borderId="45" xfId="58" applyFont="1" applyFill="1" applyBorder="1" applyAlignment="1">
      <alignment horizontal="left" indent="1"/>
    </xf>
    <xf numFmtId="0" fontId="36" fillId="0" borderId="0" xfId="58" applyFont="1" applyFill="1" applyBorder="1" applyAlignment="1">
      <alignment horizontal="left" indent="1"/>
    </xf>
    <xf numFmtId="0" fontId="44" fillId="0" borderId="50" xfId="58" applyFont="1" applyFill="1" applyBorder="1" applyAlignment="1">
      <alignment horizontal="left" indent="1"/>
    </xf>
    <xf numFmtId="0" fontId="6" fillId="0" borderId="0" xfId="103"/>
    <xf numFmtId="0" fontId="8" fillId="0" borderId="0" xfId="103" applyFont="1"/>
    <xf numFmtId="0" fontId="8" fillId="0" borderId="402" xfId="103" applyFont="1" applyBorder="1" applyAlignment="1">
      <alignment vertical="center"/>
    </xf>
    <xf numFmtId="185" fontId="8" fillId="28" borderId="396" xfId="103" applyNumberFormat="1" applyFont="1" applyFill="1" applyBorder="1" applyAlignment="1">
      <alignment horizontal="center" vertical="center"/>
    </xf>
    <xf numFmtId="186" fontId="8" fillId="29" borderId="396" xfId="103" applyNumberFormat="1" applyFont="1" applyFill="1" applyBorder="1" applyAlignment="1">
      <alignment horizontal="center" vertical="center"/>
    </xf>
    <xf numFmtId="185" fontId="32" fillId="67" borderId="229" xfId="103" applyNumberFormat="1" applyFont="1" applyFill="1" applyBorder="1" applyAlignment="1">
      <alignment horizontal="center" vertical="center"/>
    </xf>
    <xf numFmtId="186" fontId="32" fillId="67" borderId="229" xfId="103" applyNumberFormat="1" applyFont="1" applyFill="1" applyBorder="1" applyAlignment="1">
      <alignment horizontal="center" vertical="center"/>
    </xf>
    <xf numFmtId="0" fontId="6" fillId="0" borderId="0" xfId="104" applyFont="1"/>
    <xf numFmtId="0" fontId="6" fillId="0" borderId="0" xfId="104" applyFont="1" applyAlignment="1">
      <alignment horizontal="right"/>
    </xf>
    <xf numFmtId="0" fontId="6" fillId="0" borderId="0" xfId="104" applyFont="1" applyFill="1" applyBorder="1" applyAlignment="1"/>
    <xf numFmtId="0" fontId="8" fillId="0" borderId="0" xfId="104" applyFont="1" applyBorder="1" applyAlignment="1">
      <alignment horizontal="center" vertical="center"/>
    </xf>
    <xf numFmtId="0" fontId="32" fillId="68" borderId="395" xfId="104" applyFont="1" applyFill="1" applyBorder="1" applyAlignment="1">
      <alignment horizontal="center" vertical="center"/>
    </xf>
    <xf numFmtId="0" fontId="8" fillId="0" borderId="401" xfId="104" applyFont="1" applyFill="1" applyBorder="1" applyAlignment="1">
      <alignment horizontal="left" vertical="center"/>
    </xf>
    <xf numFmtId="187" fontId="8" fillId="28" borderId="401" xfId="104" applyNumberFormat="1" applyFont="1" applyFill="1" applyBorder="1" applyAlignment="1">
      <alignment horizontal="center" vertical="center"/>
    </xf>
    <xf numFmtId="0" fontId="8" fillId="0" borderId="0" xfId="104" applyFont="1" applyFill="1" applyBorder="1" applyAlignment="1"/>
    <xf numFmtId="0" fontId="8" fillId="0" borderId="396" xfId="104" applyFont="1" applyFill="1" applyBorder="1" applyAlignment="1">
      <alignment horizontal="left" vertical="center"/>
    </xf>
    <xf numFmtId="0" fontId="8" fillId="28" borderId="396" xfId="104" applyFont="1" applyFill="1" applyBorder="1" applyAlignment="1">
      <alignment horizontal="center" vertical="center"/>
    </xf>
    <xf numFmtId="0" fontId="8" fillId="0" borderId="0" xfId="104" applyFont="1" applyAlignment="1">
      <alignment horizontal="right"/>
    </xf>
    <xf numFmtId="188" fontId="8" fillId="28" borderId="401" xfId="104" applyNumberFormat="1" applyFont="1" applyFill="1" applyBorder="1" applyAlignment="1">
      <alignment horizontal="center" vertical="center"/>
    </xf>
    <xf numFmtId="0" fontId="8" fillId="0" borderId="398" xfId="104" applyFont="1" applyFill="1" applyBorder="1" applyAlignment="1">
      <alignment horizontal="left" vertical="center"/>
    </xf>
    <xf numFmtId="0" fontId="8" fillId="28" borderId="398" xfId="104" applyFont="1" applyFill="1" applyBorder="1" applyAlignment="1">
      <alignment horizontal="center" vertical="center"/>
    </xf>
    <xf numFmtId="0" fontId="291" fillId="0" borderId="0" xfId="104" applyFont="1" applyFill="1" applyBorder="1" applyAlignment="1">
      <alignment horizontal="left" vertical="center"/>
    </xf>
    <xf numFmtId="0" fontId="6" fillId="0" borderId="0" xfId="105"/>
    <xf numFmtId="0" fontId="6" fillId="0" borderId="0" xfId="105" applyAlignment="1">
      <alignment horizontal="center"/>
    </xf>
    <xf numFmtId="0" fontId="32" fillId="0" borderId="0" xfId="106" applyFont="1" applyFill="1" applyBorder="1" applyAlignment="1">
      <alignment horizontal="center" vertical="center" wrapText="1"/>
    </xf>
    <xf numFmtId="0" fontId="32" fillId="0" borderId="0" xfId="105" applyFont="1" applyFill="1" applyBorder="1" applyAlignment="1">
      <alignment vertical="center"/>
    </xf>
    <xf numFmtId="0" fontId="32" fillId="68" borderId="395" xfId="105" applyFont="1" applyFill="1" applyBorder="1" applyAlignment="1">
      <alignment horizontal="center" vertical="center"/>
    </xf>
    <xf numFmtId="0" fontId="32" fillId="68" borderId="243" xfId="105" applyFont="1" applyFill="1" applyBorder="1" applyAlignment="1">
      <alignment horizontal="center" vertical="center"/>
    </xf>
    <xf numFmtId="0" fontId="32" fillId="0" borderId="0" xfId="105" applyFont="1" applyFill="1" applyBorder="1" applyAlignment="1">
      <alignment horizontal="center" vertical="center"/>
    </xf>
    <xf numFmtId="189" fontId="8" fillId="0" borderId="396" xfId="107" applyNumberFormat="1" applyFont="1" applyFill="1" applyBorder="1" applyAlignment="1">
      <alignment horizontal="center" vertical="center"/>
    </xf>
    <xf numFmtId="189" fontId="8" fillId="28" borderId="396" xfId="107" applyNumberFormat="1" applyFont="1" applyFill="1" applyBorder="1" applyAlignment="1">
      <alignment horizontal="center" vertical="center"/>
    </xf>
    <xf numFmtId="190" fontId="8" fillId="29" borderId="397" xfId="107" applyNumberFormat="1" applyFont="1" applyFill="1" applyBorder="1" applyAlignment="1">
      <alignment horizontal="center" vertical="center"/>
    </xf>
    <xf numFmtId="49" fontId="6" fillId="0" borderId="396" xfId="107" applyNumberFormat="1" applyFill="1" applyBorder="1" applyAlignment="1">
      <alignment horizontal="right" vertical="center"/>
    </xf>
    <xf numFmtId="191" fontId="6" fillId="0" borderId="0" xfId="107" applyNumberFormat="1" applyFill="1" applyBorder="1" applyAlignment="1">
      <alignment horizontal="right" vertical="center"/>
    </xf>
    <xf numFmtId="0" fontId="32" fillId="67" borderId="399" xfId="105" applyFont="1" applyFill="1" applyBorder="1" applyAlignment="1">
      <alignment vertical="center"/>
    </xf>
    <xf numFmtId="0" fontId="32" fillId="67" borderId="400" xfId="105" applyFont="1" applyFill="1" applyBorder="1" applyAlignment="1">
      <alignment horizontal="center" vertical="center"/>
    </xf>
    <xf numFmtId="0" fontId="61" fillId="69" borderId="229" xfId="104" applyFont="1" applyFill="1" applyBorder="1" applyAlignment="1">
      <alignment vertical="center"/>
    </xf>
    <xf numFmtId="190" fontId="32" fillId="67" borderId="403" xfId="107" applyNumberFormat="1" applyFont="1" applyFill="1" applyBorder="1" applyAlignment="1">
      <alignment horizontal="center" vertical="center"/>
    </xf>
    <xf numFmtId="191" fontId="8" fillId="0" borderId="0" xfId="104" applyNumberFormat="1" applyFont="1" applyFill="1" applyBorder="1" applyAlignment="1">
      <alignment horizontal="center"/>
    </xf>
    <xf numFmtId="0" fontId="6" fillId="0" borderId="0" xfId="104" applyFont="1" applyFill="1" applyBorder="1"/>
    <xf numFmtId="0" fontId="32" fillId="68" borderId="245" xfId="105" applyFont="1" applyFill="1" applyBorder="1" applyAlignment="1">
      <alignment horizontal="center" vertical="center"/>
    </xf>
    <xf numFmtId="0" fontId="8" fillId="0" borderId="397" xfId="105" applyFont="1" applyBorder="1" applyAlignment="1">
      <alignment horizontal="left" vertical="center" wrapText="1"/>
    </xf>
    <xf numFmtId="0" fontId="8" fillId="0" borderId="396" xfId="105" applyFont="1" applyBorder="1" applyAlignment="1">
      <alignment horizontal="center" vertical="center"/>
    </xf>
    <xf numFmtId="9" fontId="8" fillId="0" borderId="248" xfId="104" applyNumberFormat="1" applyFont="1" applyBorder="1" applyAlignment="1">
      <alignment horizontal="center" vertical="center"/>
    </xf>
    <xf numFmtId="49" fontId="6" fillId="0" borderId="396" xfId="107" applyNumberFormat="1" applyFill="1" applyBorder="1" applyAlignment="1">
      <alignment vertical="center"/>
    </xf>
    <xf numFmtId="191" fontId="6" fillId="0" borderId="0" xfId="107" applyNumberFormat="1" applyFill="1" applyBorder="1" applyAlignment="1">
      <alignment vertical="center"/>
    </xf>
    <xf numFmtId="0" fontId="61" fillId="67" borderId="400" xfId="104" applyFont="1" applyFill="1" applyBorder="1" applyAlignment="1">
      <alignment vertical="center"/>
    </xf>
    <xf numFmtId="189" fontId="32" fillId="67" borderId="407" xfId="107" applyNumberFormat="1" applyFont="1" applyFill="1" applyBorder="1" applyAlignment="1">
      <alignment horizontal="center" vertical="center"/>
    </xf>
    <xf numFmtId="0" fontId="291" fillId="0" borderId="0" xfId="103" applyFont="1" applyAlignment="1">
      <alignment horizontal="left"/>
    </xf>
    <xf numFmtId="0" fontId="32" fillId="68" borderId="255" xfId="103" applyFont="1" applyFill="1" applyBorder="1" applyAlignment="1">
      <alignment horizontal="center" vertical="center"/>
    </xf>
    <xf numFmtId="0" fontId="32" fillId="68" borderId="404" xfId="103" applyFont="1" applyFill="1" applyBorder="1" applyAlignment="1">
      <alignment horizontal="center" vertical="center"/>
    </xf>
    <xf numFmtId="0" fontId="32" fillId="68" borderId="244" xfId="103" applyFont="1" applyFill="1" applyBorder="1" applyAlignment="1">
      <alignment horizontal="center" vertical="center"/>
    </xf>
    <xf numFmtId="0" fontId="32" fillId="68" borderId="395" xfId="103" applyFont="1" applyFill="1" applyBorder="1" applyAlignment="1">
      <alignment horizontal="center" vertical="center"/>
    </xf>
    <xf numFmtId="0" fontId="32" fillId="68" borderId="257" xfId="103" applyFont="1" applyFill="1" applyBorder="1" applyAlignment="1">
      <alignment horizontal="center" vertical="center"/>
    </xf>
    <xf numFmtId="185" fontId="8" fillId="0" borderId="396" xfId="103" applyNumberFormat="1" applyFont="1" applyFill="1" applyBorder="1" applyAlignment="1">
      <alignment horizontal="center" vertical="center"/>
    </xf>
    <xf numFmtId="0" fontId="8" fillId="0" borderId="396" xfId="103" applyFont="1" applyFill="1" applyBorder="1" applyAlignment="1">
      <alignment horizontal="center" vertical="center"/>
    </xf>
    <xf numFmtId="9" fontId="8" fillId="0" borderId="247" xfId="103" applyNumberFormat="1" applyFont="1" applyBorder="1" applyAlignment="1">
      <alignment horizontal="center" vertical="center"/>
    </xf>
    <xf numFmtId="0" fontId="8" fillId="0" borderId="218" xfId="103" applyFont="1" applyBorder="1" applyAlignment="1">
      <alignment vertical="center"/>
    </xf>
    <xf numFmtId="0" fontId="8" fillId="0" borderId="396" xfId="103" applyFont="1" applyBorder="1" applyAlignment="1">
      <alignment vertical="center"/>
    </xf>
    <xf numFmtId="0" fontId="8" fillId="0" borderId="405" xfId="103" applyFont="1" applyBorder="1" applyAlignment="1">
      <alignment vertical="center"/>
    </xf>
    <xf numFmtId="185" fontId="8" fillId="0" borderId="406" xfId="103" applyNumberFormat="1" applyFont="1" applyFill="1" applyBorder="1" applyAlignment="1">
      <alignment horizontal="center" vertical="center"/>
    </xf>
    <xf numFmtId="0" fontId="8" fillId="0" borderId="406" xfId="103" applyFont="1" applyFill="1" applyBorder="1" applyAlignment="1">
      <alignment horizontal="center" vertical="center"/>
    </xf>
    <xf numFmtId="0" fontId="8" fillId="0" borderId="406" xfId="103" applyFont="1" applyBorder="1" applyAlignment="1">
      <alignment vertical="center"/>
    </xf>
    <xf numFmtId="0" fontId="6" fillId="21" borderId="0" xfId="104" applyFill="1"/>
    <xf numFmtId="0" fontId="6" fillId="21" borderId="0" xfId="104" applyFill="1" applyAlignment="1">
      <alignment wrapText="1"/>
    </xf>
    <xf numFmtId="0" fontId="6" fillId="21" borderId="0" xfId="108" applyFill="1"/>
    <xf numFmtId="0" fontId="6" fillId="0" borderId="0" xfId="104" applyFill="1"/>
    <xf numFmtId="0" fontId="255" fillId="0" borderId="0" xfId="103" applyFont="1" applyFill="1" applyBorder="1" applyAlignment="1">
      <alignment horizontal="center" vertical="center"/>
    </xf>
    <xf numFmtId="0" fontId="6" fillId="0" borderId="0" xfId="108" applyFill="1"/>
    <xf numFmtId="0" fontId="6" fillId="0" borderId="0" xfId="108"/>
    <xf numFmtId="0" fontId="6" fillId="0" borderId="0" xfId="108" applyAlignment="1">
      <alignment wrapText="1"/>
    </xf>
    <xf numFmtId="0" fontId="32" fillId="68" borderId="355" xfId="103" applyFont="1" applyFill="1" applyBorder="1" applyAlignment="1">
      <alignment horizontal="center" vertical="center"/>
    </xf>
    <xf numFmtId="0" fontId="32" fillId="68" borderId="243" xfId="103" applyFont="1" applyFill="1" applyBorder="1" applyAlignment="1">
      <alignment horizontal="center" vertical="center"/>
    </xf>
    <xf numFmtId="0" fontId="8" fillId="0" borderId="255" xfId="103" applyFont="1" applyBorder="1" applyAlignment="1">
      <alignment vertical="center"/>
    </xf>
    <xf numFmtId="186" fontId="8" fillId="29" borderId="397" xfId="103" applyNumberFormat="1" applyFont="1" applyFill="1" applyBorder="1" applyAlignment="1">
      <alignment horizontal="center" vertical="center"/>
    </xf>
    <xf numFmtId="0" fontId="289" fillId="0" borderId="396" xfId="103" applyFont="1" applyBorder="1" applyAlignment="1">
      <alignment vertical="center"/>
    </xf>
    <xf numFmtId="0" fontId="8" fillId="0" borderId="396" xfId="103" applyFont="1" applyBorder="1" applyAlignment="1">
      <alignment horizontal="center" vertical="center"/>
    </xf>
    <xf numFmtId="0" fontId="32" fillId="69" borderId="254" xfId="103" applyFont="1" applyFill="1" applyBorder="1" applyAlignment="1">
      <alignment horizontal="center" vertical="center"/>
    </xf>
    <xf numFmtId="192" fontId="8" fillId="0" borderId="0" xfId="103" applyNumberFormat="1" applyFont="1" applyAlignment="1">
      <alignment horizontal="center"/>
    </xf>
    <xf numFmtId="0" fontId="8" fillId="0" borderId="402" xfId="103" applyFont="1" applyBorder="1" applyAlignment="1">
      <alignment vertical="center" wrapText="1"/>
    </xf>
    <xf numFmtId="193" fontId="8" fillId="0" borderId="396" xfId="103" applyNumberFormat="1" applyFont="1" applyFill="1" applyBorder="1" applyAlignment="1">
      <alignment horizontal="center" vertical="center"/>
    </xf>
    <xf numFmtId="0" fontId="289" fillId="0" borderId="218" xfId="103" applyFont="1" applyBorder="1" applyAlignment="1">
      <alignment vertical="center"/>
    </xf>
    <xf numFmtId="0" fontId="8" fillId="0" borderId="402" xfId="103" applyFont="1" applyBorder="1" applyAlignment="1">
      <alignment horizontal="center" vertical="center"/>
    </xf>
    <xf numFmtId="0" fontId="32" fillId="69" borderId="229" xfId="103" applyFont="1" applyFill="1" applyBorder="1" applyAlignment="1">
      <alignment vertical="center"/>
    </xf>
    <xf numFmtId="193" fontId="32" fillId="67" borderId="254" xfId="103" applyNumberFormat="1" applyFont="1" applyFill="1" applyBorder="1" applyAlignment="1">
      <alignment horizontal="center" vertical="center"/>
    </xf>
    <xf numFmtId="0" fontId="6" fillId="0" borderId="0" xfId="109"/>
    <xf numFmtId="0" fontId="8" fillId="0" borderId="0" xfId="109" applyFont="1"/>
    <xf numFmtId="14" fontId="6" fillId="0" borderId="0" xfId="109" applyNumberFormat="1"/>
    <xf numFmtId="0" fontId="292" fillId="0" borderId="0" xfId="110" applyAlignment="1" applyProtection="1"/>
    <xf numFmtId="0" fontId="6" fillId="34" borderId="160" xfId="0" applyFont="1" applyFill="1" applyBorder="1" applyAlignment="1">
      <alignment horizontal="left" vertical="center"/>
    </xf>
    <xf numFmtId="0" fontId="6" fillId="34" borderId="167" xfId="0" applyFont="1" applyFill="1" applyBorder="1" applyAlignment="1">
      <alignment horizontal="left" vertical="center"/>
    </xf>
    <xf numFmtId="0" fontId="42" fillId="40" borderId="50" xfId="0" applyNumberFormat="1" applyFont="1" applyFill="1" applyBorder="1" applyAlignment="1">
      <alignment horizontal="right" vertical="center"/>
    </xf>
    <xf numFmtId="3" fontId="42" fillId="40" borderId="50" xfId="0" applyNumberFormat="1" applyFont="1" applyFill="1" applyBorder="1" applyAlignment="1">
      <alignment horizontal="right" vertical="center"/>
    </xf>
    <xf numFmtId="0" fontId="6" fillId="0" borderId="0" xfId="173"/>
    <xf numFmtId="16" fontId="6" fillId="0" borderId="0" xfId="173" applyNumberFormat="1"/>
    <xf numFmtId="43" fontId="0" fillId="0" borderId="0" xfId="244" applyFont="1"/>
    <xf numFmtId="0" fontId="6" fillId="28" borderId="0" xfId="173" applyFill="1"/>
    <xf numFmtId="0" fontId="6" fillId="0" borderId="0" xfId="173" applyAlignment="1">
      <alignment vertical="center"/>
    </xf>
    <xf numFmtId="0" fontId="6" fillId="0" borderId="413" xfId="173" applyBorder="1" applyAlignment="1">
      <alignment vertical="center"/>
    </xf>
    <xf numFmtId="0" fontId="6" fillId="0" borderId="414" xfId="173" applyBorder="1" applyAlignment="1">
      <alignment vertical="center"/>
    </xf>
    <xf numFmtId="0" fontId="318" fillId="0" borderId="0" xfId="0" applyFont="1" applyFill="1" applyBorder="1" applyAlignment="1" applyProtection="1">
      <alignment horizontal="center" vertical="center"/>
    </xf>
    <xf numFmtId="0" fontId="318" fillId="0" borderId="0" xfId="0" applyFont="1" applyBorder="1" applyAlignment="1" applyProtection="1">
      <alignment horizontal="center" vertical="center"/>
      <protection locked="0"/>
    </xf>
    <xf numFmtId="3" fontId="37" fillId="40" borderId="50" xfId="0" applyNumberFormat="1" applyFont="1" applyFill="1" applyBorder="1" applyAlignment="1">
      <alignment horizontal="right"/>
    </xf>
    <xf numFmtId="0" fontId="37" fillId="0" borderId="45" xfId="0" applyFont="1" applyBorder="1"/>
    <xf numFmtId="0" fontId="37" fillId="0" borderId="0" xfId="0" applyFont="1" applyBorder="1"/>
    <xf numFmtId="0" fontId="46" fillId="0" borderId="53" xfId="0" applyFont="1" applyBorder="1"/>
    <xf numFmtId="0" fontId="5" fillId="0" borderId="0" xfId="245"/>
    <xf numFmtId="234" fontId="5" fillId="0" borderId="0" xfId="245" applyNumberFormat="1"/>
    <xf numFmtId="0" fontId="5" fillId="88" borderId="0" xfId="245" applyFill="1"/>
    <xf numFmtId="0" fontId="319" fillId="89" borderId="0" xfId="245" applyFont="1" applyFill="1" applyAlignment="1">
      <alignment horizontal="center"/>
    </xf>
    <xf numFmtId="9" fontId="320" fillId="89" borderId="0" xfId="245" applyNumberFormat="1" applyFont="1" applyFill="1" applyAlignment="1">
      <alignment horizontal="center"/>
    </xf>
    <xf numFmtId="0" fontId="321" fillId="90" borderId="0" xfId="245" applyFont="1" applyFill="1"/>
    <xf numFmtId="234" fontId="320" fillId="91" borderId="0" xfId="245" applyNumberFormat="1" applyFont="1" applyFill="1"/>
    <xf numFmtId="0" fontId="5" fillId="93" borderId="0" xfId="245" applyFill="1"/>
    <xf numFmtId="234" fontId="320" fillId="94" borderId="0" xfId="245" applyNumberFormat="1" applyFont="1" applyFill="1"/>
    <xf numFmtId="0" fontId="323" fillId="90" borderId="0" xfId="245" applyFont="1" applyFill="1" applyAlignment="1">
      <alignment wrapText="1"/>
    </xf>
    <xf numFmtId="0" fontId="319" fillId="91" borderId="0" xfId="245" applyFont="1" applyFill="1" applyAlignment="1">
      <alignment horizontal="center" vertical="center"/>
    </xf>
    <xf numFmtId="0" fontId="324" fillId="93" borderId="0" xfId="245" applyFont="1" applyFill="1"/>
    <xf numFmtId="235" fontId="320" fillId="94" borderId="0" xfId="245" applyNumberFormat="1" applyFont="1" applyFill="1" applyAlignment="1">
      <alignment horizontal="center"/>
    </xf>
    <xf numFmtId="236" fontId="320" fillId="94" borderId="0" xfId="245" applyNumberFormat="1" applyFont="1" applyFill="1" applyAlignment="1">
      <alignment horizontal="center"/>
    </xf>
    <xf numFmtId="17" fontId="5" fillId="0" borderId="0" xfId="245" applyNumberFormat="1"/>
    <xf numFmtId="237" fontId="0" fillId="0" borderId="0" xfId="246" applyNumberFormat="1" applyFont="1"/>
    <xf numFmtId="0" fontId="324" fillId="95" borderId="0" xfId="245" applyFont="1" applyFill="1"/>
    <xf numFmtId="235" fontId="320" fillId="96" borderId="0" xfId="245" applyNumberFormat="1" applyFont="1" applyFill="1" applyAlignment="1">
      <alignment horizontal="center"/>
    </xf>
    <xf numFmtId="238" fontId="5" fillId="0" borderId="0" xfId="245" applyNumberFormat="1"/>
    <xf numFmtId="0" fontId="163" fillId="0" borderId="0" xfId="106" applyFont="1" applyFill="1" applyBorder="1" applyAlignment="1">
      <alignment horizontal="center" vertical="center" wrapText="1"/>
    </xf>
    <xf numFmtId="239" fontId="320" fillId="94" borderId="0" xfId="245" applyNumberFormat="1" applyFont="1" applyFill="1" applyAlignment="1">
      <alignment horizontal="center"/>
    </xf>
    <xf numFmtId="239" fontId="320" fillId="96" borderId="0" xfId="245" applyNumberFormat="1" applyFont="1" applyFill="1" applyAlignment="1">
      <alignment horizontal="center"/>
    </xf>
    <xf numFmtId="0" fontId="6" fillId="0" borderId="0" xfId="0" applyFont="1"/>
    <xf numFmtId="0" fontId="4" fillId="0" borderId="402" xfId="247" applyBorder="1"/>
    <xf numFmtId="10" fontId="4" fillId="0" borderId="261" xfId="247" applyNumberFormat="1" applyBorder="1"/>
    <xf numFmtId="9" fontId="4" fillId="0" borderId="261" xfId="247" applyNumberFormat="1" applyBorder="1"/>
    <xf numFmtId="0" fontId="4" fillId="0" borderId="194" xfId="247" applyBorder="1"/>
    <xf numFmtId="9" fontId="4" fillId="0" borderId="196" xfId="247" applyNumberFormat="1" applyBorder="1"/>
    <xf numFmtId="0" fontId="319" fillId="0" borderId="255" xfId="247" applyFont="1" applyBorder="1"/>
    <xf numFmtId="0" fontId="319" fillId="0" borderId="192" xfId="247" applyFont="1" applyBorder="1"/>
    <xf numFmtId="240" fontId="0" fillId="0" borderId="0" xfId="0" applyNumberFormat="1"/>
    <xf numFmtId="0" fontId="6" fillId="0" borderId="0" xfId="0" applyFont="1" applyAlignment="1">
      <alignment horizontal="center"/>
    </xf>
    <xf numFmtId="242" fontId="6" fillId="0" borderId="0" xfId="103" applyNumberFormat="1" applyAlignment="1">
      <alignment horizontal="center"/>
    </xf>
    <xf numFmtId="241" fontId="6" fillId="0" borderId="0" xfId="103" applyNumberFormat="1" applyAlignment="1">
      <alignment horizontal="center"/>
    </xf>
    <xf numFmtId="243" fontId="6" fillId="0" borderId="0" xfId="103" applyNumberFormat="1" applyAlignment="1">
      <alignment horizontal="center"/>
    </xf>
    <xf numFmtId="44" fontId="6" fillId="0" borderId="0" xfId="252" applyFont="1"/>
    <xf numFmtId="44" fontId="6" fillId="0" borderId="0" xfId="103" applyNumberFormat="1"/>
    <xf numFmtId="0" fontId="6" fillId="97" borderId="0" xfId="103" applyFill="1"/>
    <xf numFmtId="242" fontId="6" fillId="97" borderId="0" xfId="103" applyNumberFormat="1" applyFill="1" applyAlignment="1">
      <alignment horizontal="center"/>
    </xf>
    <xf numFmtId="241" fontId="6" fillId="97" borderId="0" xfId="103" applyNumberFormat="1" applyFill="1" applyAlignment="1">
      <alignment horizontal="center"/>
    </xf>
    <xf numFmtId="243" fontId="6" fillId="97" borderId="0" xfId="103" applyNumberFormat="1" applyFill="1" applyAlignment="1">
      <alignment horizontal="center"/>
    </xf>
    <xf numFmtId="44" fontId="6" fillId="97" borderId="0" xfId="252" applyFont="1" applyFill="1"/>
    <xf numFmtId="0" fontId="6" fillId="61" borderId="0" xfId="103" applyFill="1"/>
    <xf numFmtId="242" fontId="6" fillId="61" borderId="0" xfId="103" applyNumberFormat="1" applyFill="1" applyAlignment="1">
      <alignment horizontal="center"/>
    </xf>
    <xf numFmtId="241" fontId="6" fillId="61" borderId="0" xfId="103" applyNumberFormat="1" applyFill="1" applyAlignment="1">
      <alignment horizontal="center"/>
    </xf>
    <xf numFmtId="243" fontId="6" fillId="61" borderId="0" xfId="103" applyNumberFormat="1" applyFill="1" applyAlignment="1">
      <alignment horizontal="center"/>
    </xf>
    <xf numFmtId="44" fontId="6" fillId="61" borderId="0" xfId="252" applyFont="1" applyFill="1"/>
    <xf numFmtId="242" fontId="6" fillId="97" borderId="0" xfId="103" applyNumberFormat="1" applyFont="1" applyFill="1" applyAlignment="1">
      <alignment horizontal="center"/>
    </xf>
    <xf numFmtId="244" fontId="6" fillId="0" borderId="0" xfId="103" applyNumberFormat="1"/>
    <xf numFmtId="244" fontId="6" fillId="97" borderId="0" xfId="103" applyNumberFormat="1" applyFill="1"/>
    <xf numFmtId="244" fontId="6" fillId="61" borderId="0" xfId="103" applyNumberFormat="1" applyFill="1"/>
    <xf numFmtId="0" fontId="8" fillId="0" borderId="0" xfId="103" applyFont="1" applyAlignment="1">
      <alignment horizontal="center"/>
    </xf>
    <xf numFmtId="0" fontId="67" fillId="0" borderId="0" xfId="0" applyFont="1"/>
    <xf numFmtId="0" fontId="328" fillId="0" borderId="0" xfId="0" applyFont="1" applyAlignment="1">
      <alignment horizontal="left" indent="1"/>
    </xf>
    <xf numFmtId="0" fontId="327" fillId="0" borderId="0" xfId="0" applyFont="1"/>
    <xf numFmtId="0" fontId="8" fillId="0" borderId="0" xfId="0" applyFont="1"/>
    <xf numFmtId="245" fontId="0" fillId="0" borderId="0" xfId="0" applyNumberFormat="1"/>
    <xf numFmtId="246" fontId="0" fillId="0" borderId="0" xfId="0" applyNumberFormat="1"/>
    <xf numFmtId="244" fontId="0" fillId="0" borderId="0" xfId="252" applyNumberFormat="1" applyFont="1"/>
    <xf numFmtId="242" fontId="8" fillId="0" borderId="0" xfId="103" applyNumberFormat="1" applyFont="1" applyAlignment="1">
      <alignment horizontal="center"/>
    </xf>
    <xf numFmtId="241" fontId="8" fillId="0" borderId="0" xfId="103" applyNumberFormat="1" applyFont="1" applyAlignment="1">
      <alignment horizontal="center"/>
    </xf>
    <xf numFmtId="243" fontId="8" fillId="0" borderId="0" xfId="103" applyNumberFormat="1" applyFont="1" applyAlignment="1">
      <alignment horizontal="center"/>
    </xf>
    <xf numFmtId="44" fontId="8" fillId="0" borderId="0" xfId="252" applyFont="1"/>
    <xf numFmtId="244" fontId="8" fillId="0" borderId="0" xfId="103" applyNumberFormat="1" applyFont="1"/>
    <xf numFmtId="0" fontId="8" fillId="91" borderId="0" xfId="0" applyFont="1" applyFill="1"/>
    <xf numFmtId="0" fontId="8" fillId="91" borderId="0" xfId="0" applyFont="1" applyFill="1" applyAlignment="1">
      <alignment horizontal="center"/>
    </xf>
    <xf numFmtId="0" fontId="3" fillId="0" borderId="0" xfId="247" applyFont="1" applyBorder="1"/>
    <xf numFmtId="0" fontId="6" fillId="0" borderId="0" xfId="0" applyFont="1" applyBorder="1"/>
    <xf numFmtId="0" fontId="8" fillId="64" borderId="0" xfId="0" applyFont="1" applyFill="1" applyBorder="1"/>
    <xf numFmtId="245" fontId="8" fillId="64" borderId="0" xfId="0" applyNumberFormat="1" applyFont="1" applyFill="1"/>
    <xf numFmtId="9" fontId="0" fillId="0" borderId="0" xfId="44" applyFont="1"/>
    <xf numFmtId="9" fontId="0" fillId="0" borderId="0" xfId="0" applyNumberFormat="1"/>
    <xf numFmtId="248" fontId="0" fillId="0" borderId="0" xfId="0" applyNumberFormat="1"/>
    <xf numFmtId="250" fontId="0" fillId="0" borderId="0" xfId="0" applyNumberFormat="1"/>
    <xf numFmtId="251" fontId="0" fillId="0" borderId="0" xfId="0" applyNumberFormat="1"/>
    <xf numFmtId="252" fontId="6" fillId="0" borderId="0" xfId="103" applyNumberFormat="1"/>
    <xf numFmtId="0" fontId="291" fillId="0" borderId="0" xfId="103" applyFont="1"/>
    <xf numFmtId="0" fontId="180" fillId="98" borderId="191" xfId="0" applyFont="1" applyFill="1" applyBorder="1"/>
    <xf numFmtId="253" fontId="329" fillId="0" borderId="191" xfId="0" applyNumberFormat="1" applyFont="1" applyBorder="1"/>
    <xf numFmtId="254" fontId="329" fillId="40" borderId="191" xfId="36" applyNumberFormat="1" applyFont="1" applyFill="1" applyBorder="1"/>
    <xf numFmtId="253" fontId="0" fillId="40" borderId="191" xfId="0" applyNumberFormat="1" applyFill="1" applyBorder="1"/>
    <xf numFmtId="253" fontId="0" fillId="0" borderId="191" xfId="0" applyNumberFormat="1" applyBorder="1"/>
    <xf numFmtId="254" fontId="0" fillId="0" borderId="191" xfId="36" applyNumberFormat="1" applyFont="1" applyBorder="1"/>
    <xf numFmtId="0" fontId="0" fillId="0" borderId="191" xfId="0" applyBorder="1" applyAlignment="1">
      <alignment horizontal="center"/>
    </xf>
    <xf numFmtId="0" fontId="180" fillId="98" borderId="191" xfId="0" applyFont="1" applyFill="1" applyBorder="1" applyAlignment="1">
      <alignment horizontal="center"/>
    </xf>
    <xf numFmtId="165" fontId="0" fillId="0" borderId="191" xfId="36" applyFont="1" applyBorder="1" applyAlignment="1">
      <alignment horizontal="center"/>
    </xf>
    <xf numFmtId="10" fontId="330" fillId="0" borderId="191" xfId="44" applyNumberFormat="1" applyFont="1" applyBorder="1" applyAlignment="1">
      <alignment horizontal="center"/>
    </xf>
    <xf numFmtId="10" fontId="329" fillId="0" borderId="191" xfId="44" applyNumberFormat="1" applyFont="1" applyBorder="1" applyAlignment="1">
      <alignment horizontal="center"/>
    </xf>
    <xf numFmtId="10" fontId="0" fillId="0" borderId="191" xfId="44" applyNumberFormat="1" applyFont="1" applyBorder="1" applyAlignment="1">
      <alignment horizontal="center"/>
    </xf>
    <xf numFmtId="0" fontId="5" fillId="0" borderId="191" xfId="245" applyBorder="1"/>
    <xf numFmtId="232" fontId="5" fillId="0" borderId="191" xfId="245" applyNumberFormat="1" applyBorder="1"/>
    <xf numFmtId="0" fontId="5" fillId="0" borderId="191" xfId="245" applyBorder="1" applyAlignment="1">
      <alignment wrapText="1"/>
    </xf>
    <xf numFmtId="233" fontId="5" fillId="0" borderId="191" xfId="245" applyNumberFormat="1" applyBorder="1"/>
    <xf numFmtId="234" fontId="5" fillId="0" borderId="191" xfId="245" applyNumberFormat="1" applyBorder="1"/>
    <xf numFmtId="9" fontId="0" fillId="0" borderId="191" xfId="246" applyFont="1" applyBorder="1" applyAlignment="1">
      <alignment vertical="center"/>
    </xf>
    <xf numFmtId="44" fontId="5" fillId="0" borderId="0" xfId="252" applyFont="1"/>
    <xf numFmtId="0" fontId="0" fillId="0" borderId="0" xfId="0" applyBorder="1" applyAlignment="1">
      <alignment horizontal="center"/>
    </xf>
    <xf numFmtId="253" fontId="0" fillId="0" borderId="0" xfId="0" applyNumberFormat="1" applyBorder="1"/>
    <xf numFmtId="165" fontId="0" fillId="0" borderId="0" xfId="36" applyFont="1" applyBorder="1" applyAlignment="1">
      <alignment horizontal="center"/>
    </xf>
    <xf numFmtId="254" fontId="0" fillId="0" borderId="0" xfId="36" applyNumberFormat="1" applyFont="1" applyBorder="1"/>
    <xf numFmtId="10" fontId="0" fillId="0" borderId="0" xfId="44" applyNumberFormat="1" applyFont="1" applyBorder="1" applyAlignment="1">
      <alignment horizontal="center"/>
    </xf>
    <xf numFmtId="0" fontId="3" fillId="0" borderId="132" xfId="247" applyFont="1" applyBorder="1"/>
    <xf numFmtId="245" fontId="0" fillId="0" borderId="132" xfId="0" applyNumberFormat="1" applyBorder="1"/>
    <xf numFmtId="0" fontId="6" fillId="0" borderId="191" xfId="0" applyFont="1" applyBorder="1"/>
    <xf numFmtId="9" fontId="0" fillId="0" borderId="191" xfId="0" applyNumberFormat="1" applyBorder="1" applyAlignment="1">
      <alignment horizontal="center"/>
    </xf>
    <xf numFmtId="244" fontId="0" fillId="0" borderId="191" xfId="252" applyNumberFormat="1" applyFont="1" applyBorder="1" applyAlignment="1">
      <alignment horizontal="center"/>
    </xf>
    <xf numFmtId="9" fontId="0" fillId="0" borderId="191" xfId="44" applyFont="1" applyBorder="1" applyAlignment="1">
      <alignment horizontal="center"/>
    </xf>
    <xf numFmtId="247" fontId="0" fillId="0" borderId="191" xfId="44" applyNumberFormat="1" applyFont="1" applyBorder="1" applyAlignment="1">
      <alignment horizontal="center"/>
    </xf>
    <xf numFmtId="249" fontId="0" fillId="0" borderId="191" xfId="44" applyNumberFormat="1" applyFont="1" applyBorder="1" applyAlignment="1">
      <alignment horizontal="center"/>
    </xf>
    <xf numFmtId="0" fontId="0" fillId="91" borderId="191" xfId="0" applyFill="1" applyBorder="1"/>
    <xf numFmtId="0" fontId="8" fillId="91" borderId="191" xfId="0" applyFont="1" applyFill="1" applyBorder="1" applyAlignment="1">
      <alignment horizontal="center"/>
    </xf>
    <xf numFmtId="255" fontId="320" fillId="94" borderId="0" xfId="245" applyNumberFormat="1" applyFont="1" applyFill="1" applyAlignment="1">
      <alignment horizontal="center"/>
    </xf>
    <xf numFmtId="256" fontId="0" fillId="0" borderId="0" xfId="0" applyNumberFormat="1"/>
    <xf numFmtId="257" fontId="0" fillId="0" borderId="0" xfId="0" applyNumberFormat="1"/>
    <xf numFmtId="244" fontId="8" fillId="0" borderId="0" xfId="252" applyNumberFormat="1" applyFont="1"/>
    <xf numFmtId="258" fontId="320" fillId="94" borderId="0" xfId="245" applyNumberFormat="1" applyFont="1" applyFill="1" applyAlignment="1">
      <alignment horizontal="center"/>
    </xf>
    <xf numFmtId="258" fontId="320" fillId="96" borderId="0" xfId="245" applyNumberFormat="1" applyFont="1" applyFill="1" applyAlignment="1">
      <alignment horizontal="center"/>
    </xf>
    <xf numFmtId="0" fontId="324" fillId="0" borderId="0" xfId="245" applyFont="1" applyFill="1"/>
    <xf numFmtId="9" fontId="320" fillId="94" borderId="0" xfId="44" applyFont="1" applyFill="1" applyAlignment="1">
      <alignment horizontal="center"/>
    </xf>
    <xf numFmtId="9" fontId="320" fillId="96" borderId="0" xfId="44" applyFont="1" applyFill="1" applyAlignment="1">
      <alignment horizontal="center"/>
    </xf>
    <xf numFmtId="169" fontId="65" fillId="25" borderId="33" xfId="0" applyNumberFormat="1" applyFont="1" applyFill="1" applyBorder="1" applyAlignment="1">
      <alignment horizontal="right" vertical="center"/>
    </xf>
    <xf numFmtId="259" fontId="6" fillId="0" borderId="0" xfId="108" applyNumberFormat="1"/>
    <xf numFmtId="244" fontId="6" fillId="0" borderId="0" xfId="252" applyNumberFormat="1" applyFont="1"/>
    <xf numFmtId="260" fontId="6" fillId="0" borderId="0" xfId="108" applyNumberFormat="1"/>
    <xf numFmtId="0" fontId="11" fillId="25" borderId="0" xfId="0" applyFont="1" applyFill="1" applyBorder="1" applyAlignment="1">
      <alignment horizontal="left" vertical="center"/>
    </xf>
    <xf numFmtId="44" fontId="0" fillId="0" borderId="0" xfId="252" applyFont="1"/>
    <xf numFmtId="44" fontId="0" fillId="0" borderId="0" xfId="0" applyNumberFormat="1"/>
    <xf numFmtId="0" fontId="6" fillId="0" borderId="397" xfId="104" applyFont="1" applyBorder="1"/>
    <xf numFmtId="0" fontId="8" fillId="0" borderId="415" xfId="104" applyFont="1" applyBorder="1"/>
    <xf numFmtId="0" fontId="8" fillId="91" borderId="243" xfId="104" applyFont="1" applyFill="1" applyBorder="1"/>
    <xf numFmtId="0" fontId="8" fillId="91" borderId="255" xfId="104" applyFont="1" applyFill="1" applyBorder="1" applyAlignment="1">
      <alignment horizontal="center"/>
    </xf>
    <xf numFmtId="0" fontId="8" fillId="91" borderId="256" xfId="104" applyFont="1" applyFill="1" applyBorder="1" applyAlignment="1">
      <alignment horizontal="center"/>
    </xf>
    <xf numFmtId="0" fontId="8" fillId="91" borderId="192" xfId="104" applyFont="1" applyFill="1" applyBorder="1" applyAlignment="1">
      <alignment horizontal="center"/>
    </xf>
    <xf numFmtId="0" fontId="8" fillId="91" borderId="245" xfId="104" applyFont="1" applyFill="1" applyBorder="1" applyAlignment="1">
      <alignment horizontal="center"/>
    </xf>
    <xf numFmtId="244" fontId="6" fillId="64" borderId="402" xfId="252" applyNumberFormat="1" applyFont="1" applyFill="1" applyBorder="1"/>
    <xf numFmtId="244" fontId="6" fillId="64" borderId="191" xfId="252" applyNumberFormat="1" applyFont="1" applyFill="1" applyBorder="1"/>
    <xf numFmtId="244" fontId="6" fillId="64" borderId="261" xfId="252" applyNumberFormat="1" applyFont="1" applyFill="1" applyBorder="1"/>
    <xf numFmtId="244" fontId="8" fillId="99" borderId="194" xfId="104" applyNumberFormat="1" applyFont="1" applyFill="1" applyBorder="1"/>
    <xf numFmtId="244" fontId="8" fillId="99" borderId="195" xfId="104" applyNumberFormat="1" applyFont="1" applyFill="1" applyBorder="1"/>
    <xf numFmtId="244" fontId="8" fillId="99" borderId="196" xfId="104" applyNumberFormat="1" applyFont="1" applyFill="1" applyBorder="1"/>
    <xf numFmtId="9" fontId="6" fillId="100" borderId="248" xfId="44" applyFont="1" applyFill="1" applyBorder="1" applyAlignment="1">
      <alignment horizontal="center"/>
    </xf>
    <xf numFmtId="9" fontId="6" fillId="100" borderId="191" xfId="44" applyFont="1" applyFill="1" applyBorder="1" applyAlignment="1">
      <alignment horizontal="center"/>
    </xf>
    <xf numFmtId="9" fontId="6" fillId="100" borderId="261" xfId="44" applyFont="1" applyFill="1" applyBorder="1" applyAlignment="1">
      <alignment horizontal="center"/>
    </xf>
    <xf numFmtId="9" fontId="8" fillId="61" borderId="416" xfId="44" applyFont="1" applyFill="1" applyBorder="1" applyAlignment="1">
      <alignment horizontal="center"/>
    </xf>
    <xf numFmtId="9" fontId="8" fillId="61" borderId="195" xfId="44" applyFont="1" applyFill="1" applyBorder="1" applyAlignment="1">
      <alignment horizontal="center"/>
    </xf>
    <xf numFmtId="9" fontId="8" fillId="61" borderId="196" xfId="44" applyFont="1" applyFill="1" applyBorder="1" applyAlignment="1">
      <alignment horizontal="center"/>
    </xf>
    <xf numFmtId="17" fontId="6" fillId="0" borderId="0" xfId="0" applyNumberFormat="1" applyFont="1"/>
    <xf numFmtId="17" fontId="6" fillId="0" borderId="0" xfId="104" applyNumberFormat="1" applyFont="1"/>
    <xf numFmtId="17" fontId="0" fillId="0" borderId="0" xfId="0" applyNumberFormat="1"/>
    <xf numFmtId="244" fontId="0" fillId="0" borderId="0" xfId="0" applyNumberFormat="1"/>
    <xf numFmtId="0" fontId="8" fillId="90" borderId="0" xfId="0" applyFont="1" applyFill="1"/>
    <xf numFmtId="17" fontId="8" fillId="99" borderId="129" xfId="0" applyNumberFormat="1" applyFont="1" applyFill="1" applyBorder="1"/>
    <xf numFmtId="244" fontId="8" fillId="99" borderId="129" xfId="252" applyNumberFormat="1" applyFont="1" applyFill="1" applyBorder="1"/>
    <xf numFmtId="244" fontId="0" fillId="99" borderId="129" xfId="0" applyNumberFormat="1" applyFill="1" applyBorder="1"/>
    <xf numFmtId="259" fontId="0" fillId="0" borderId="0" xfId="0" applyNumberFormat="1"/>
    <xf numFmtId="0" fontId="0" fillId="0" borderId="0" xfId="0" applyAlignment="1">
      <alignment horizontal="left"/>
    </xf>
    <xf numFmtId="0" fontId="8" fillId="0" borderId="0" xfId="0" applyFont="1" applyFill="1"/>
    <xf numFmtId="0" fontId="6" fillId="34" borderId="0" xfId="0" applyFont="1" applyFill="1" applyAlignment="1">
      <alignment vertical="center"/>
    </xf>
    <xf numFmtId="10" fontId="0" fillId="34" borderId="0" xfId="0" applyNumberFormat="1" applyFill="1" applyAlignment="1">
      <alignment vertical="center"/>
    </xf>
    <xf numFmtId="10" fontId="0" fillId="34" borderId="0" xfId="44" applyNumberFormat="1" applyFont="1" applyFill="1" applyAlignment="1">
      <alignment vertical="center"/>
    </xf>
    <xf numFmtId="0" fontId="0" fillId="34" borderId="0" xfId="0" applyFill="1" applyAlignment="1">
      <alignment horizontal="center" vertical="center"/>
    </xf>
    <xf numFmtId="10" fontId="0" fillId="34" borderId="0" xfId="44" applyNumberFormat="1" applyFont="1" applyFill="1" applyAlignment="1">
      <alignment horizontal="center" vertical="center"/>
    </xf>
    <xf numFmtId="10" fontId="0" fillId="34" borderId="0" xfId="0" applyNumberFormat="1" applyFill="1" applyAlignment="1">
      <alignment horizontal="center" vertical="center"/>
    </xf>
    <xf numFmtId="172" fontId="0" fillId="0" borderId="0" xfId="44" applyNumberFormat="1" applyFont="1" applyAlignment="1">
      <alignment horizontal="center" vertical="center"/>
    </xf>
    <xf numFmtId="2" fontId="0" fillId="34" borderId="0" xfId="0" applyNumberFormat="1" applyFill="1" applyAlignment="1">
      <alignment horizontal="center" vertical="center"/>
    </xf>
    <xf numFmtId="0" fontId="332" fillId="98" borderId="191" xfId="0" applyFont="1" applyFill="1" applyBorder="1"/>
    <xf numFmtId="0" fontId="332" fillId="98" borderId="191" xfId="0" applyFont="1" applyFill="1" applyBorder="1" applyAlignment="1">
      <alignment horizontal="center"/>
    </xf>
    <xf numFmtId="0" fontId="8" fillId="101" borderId="191" xfId="0" applyFont="1" applyFill="1" applyBorder="1" applyAlignment="1">
      <alignment horizontal="left"/>
    </xf>
    <xf numFmtId="0" fontId="8" fillId="101" borderId="191" xfId="0" applyFont="1" applyFill="1" applyBorder="1"/>
    <xf numFmtId="0" fontId="0" fillId="0" borderId="191" xfId="0" applyBorder="1"/>
    <xf numFmtId="244" fontId="0" fillId="0" borderId="191" xfId="0" applyNumberFormat="1" applyBorder="1"/>
    <xf numFmtId="0" fontId="6" fillId="0" borderId="191" xfId="0" applyFont="1" applyBorder="1" applyAlignment="1">
      <alignment wrapText="1"/>
    </xf>
    <xf numFmtId="0" fontId="8" fillId="39" borderId="191" xfId="0" applyFont="1" applyFill="1" applyBorder="1"/>
    <xf numFmtId="244" fontId="8" fillId="39" borderId="191" xfId="252" applyNumberFormat="1" applyFont="1" applyFill="1" applyBorder="1"/>
    <xf numFmtId="261" fontId="320" fillId="94" borderId="0" xfId="36" applyNumberFormat="1" applyFont="1" applyFill="1" applyAlignment="1">
      <alignment horizontal="center"/>
    </xf>
    <xf numFmtId="261" fontId="320" fillId="96" borderId="0" xfId="36" applyNumberFormat="1" applyFont="1" applyFill="1" applyAlignment="1">
      <alignment horizontal="center"/>
    </xf>
    <xf numFmtId="0" fontId="2" fillId="0" borderId="0" xfId="245" applyFont="1"/>
    <xf numFmtId="262" fontId="5" fillId="0" borderId="0" xfId="245" applyNumberFormat="1"/>
    <xf numFmtId="10" fontId="25" fillId="0" borderId="0" xfId="0" applyNumberFormat="1" applyFont="1"/>
    <xf numFmtId="0" fontId="6" fillId="0" borderId="0" xfId="0" applyFont="1" applyAlignment="1">
      <alignment vertical="center"/>
    </xf>
    <xf numFmtId="10" fontId="0" fillId="0" borderId="0" xfId="44" applyNumberFormat="1" applyFont="1" applyAlignment="1">
      <alignment vertical="center"/>
    </xf>
    <xf numFmtId="3" fontId="63" fillId="0" borderId="83" xfId="0" applyNumberFormat="1" applyFont="1" applyFill="1" applyBorder="1" applyAlignment="1">
      <alignment horizontal="left" vertical="center"/>
    </xf>
    <xf numFmtId="2" fontId="6" fillId="34" borderId="0" xfId="0" applyNumberFormat="1" applyFont="1" applyFill="1" applyAlignment="1">
      <alignment vertical="center"/>
    </xf>
    <xf numFmtId="0" fontId="6" fillId="94" borderId="0" xfId="0" applyFont="1" applyFill="1" applyAlignment="1">
      <alignment vertical="center"/>
    </xf>
    <xf numFmtId="0" fontId="0" fillId="94" borderId="0" xfId="0" applyFill="1" applyAlignment="1">
      <alignment horizontal="center" vertical="center"/>
    </xf>
    <xf numFmtId="10" fontId="64" fillId="34" borderId="0" xfId="44" applyNumberFormat="1" applyFont="1" applyFill="1" applyAlignment="1">
      <alignment vertical="center"/>
    </xf>
    <xf numFmtId="259" fontId="0" fillId="62" borderId="0" xfId="0" applyNumberFormat="1" applyFill="1"/>
    <xf numFmtId="0" fontId="8" fillId="0" borderId="0" xfId="173" applyFont="1"/>
    <xf numFmtId="14" fontId="6" fillId="0" borderId="0" xfId="173" applyNumberFormat="1"/>
    <xf numFmtId="16" fontId="0" fillId="0" borderId="0" xfId="0" applyNumberFormat="1"/>
    <xf numFmtId="0" fontId="6" fillId="0" borderId="231" xfId="173" applyBorder="1" applyAlignment="1">
      <alignment horizontal="left" vertical="center"/>
    </xf>
    <xf numFmtId="0" fontId="6" fillId="0" borderId="230" xfId="173" applyBorder="1" applyAlignment="1">
      <alignment horizontal="center"/>
    </xf>
    <xf numFmtId="0" fontId="6" fillId="0" borderId="230" xfId="173" applyFont="1" applyBorder="1" applyAlignment="1">
      <alignment horizontal="left" vertical="center"/>
    </xf>
    <xf numFmtId="0" fontId="6" fillId="0" borderId="412" xfId="173" applyFont="1" applyBorder="1" applyAlignment="1">
      <alignment horizontal="left" vertical="center"/>
    </xf>
    <xf numFmtId="0" fontId="8" fillId="0" borderId="0" xfId="173" applyFont="1" applyBorder="1" applyAlignment="1">
      <alignment horizontal="left" vertical="center" wrapText="1"/>
    </xf>
    <xf numFmtId="0" fontId="6" fillId="0" borderId="226" xfId="173" applyBorder="1" applyAlignment="1">
      <alignment horizontal="left" vertical="center"/>
    </xf>
    <xf numFmtId="0" fontId="6" fillId="0" borderId="417" xfId="173" applyBorder="1" applyAlignment="1">
      <alignment vertical="center"/>
    </xf>
    <xf numFmtId="0" fontId="6" fillId="0" borderId="230" xfId="173" applyBorder="1" applyAlignment="1">
      <alignment horizontal="left"/>
    </xf>
    <xf numFmtId="0" fontId="6" fillId="0" borderId="230" xfId="173" applyBorder="1" applyAlignment="1">
      <alignment horizontal="left" wrapText="1"/>
    </xf>
    <xf numFmtId="0" fontId="6" fillId="0" borderId="226" xfId="173" applyBorder="1" applyAlignment="1">
      <alignment horizontal="left" vertical="center" wrapText="1"/>
    </xf>
    <xf numFmtId="0" fontId="6" fillId="0" borderId="414" xfId="173" applyBorder="1" applyAlignment="1">
      <alignment vertical="center" wrapText="1"/>
    </xf>
    <xf numFmtId="0" fontId="6" fillId="0" borderId="230" xfId="173" applyBorder="1" applyAlignment="1">
      <alignment horizontal="left" vertical="top" wrapText="1"/>
    </xf>
    <xf numFmtId="0" fontId="6" fillId="0" borderId="223" xfId="173" applyBorder="1" applyAlignment="1">
      <alignment vertical="center" wrapText="1"/>
    </xf>
    <xf numFmtId="0" fontId="6" fillId="0" borderId="230" xfId="173" applyFont="1" applyBorder="1" applyAlignment="1">
      <alignment horizontal="left" vertical="center" wrapText="1"/>
    </xf>
    <xf numFmtId="0" fontId="6" fillId="28" borderId="0" xfId="173" applyFill="1" applyBorder="1"/>
    <xf numFmtId="0" fontId="333" fillId="0" borderId="0" xfId="173" applyFont="1" applyAlignment="1">
      <alignment vertical="center" wrapText="1"/>
    </xf>
    <xf numFmtId="0" fontId="0" fillId="102" borderId="0" xfId="0" applyFill="1"/>
    <xf numFmtId="3" fontId="147" fillId="102" borderId="0" xfId="0" applyNumberFormat="1" applyFont="1" applyFill="1"/>
    <xf numFmtId="170" fontId="147" fillId="102" borderId="0" xfId="0" applyNumberFormat="1" applyFont="1" applyFill="1"/>
    <xf numFmtId="0" fontId="6" fillId="102" borderId="0" xfId="0" applyFont="1" applyFill="1"/>
    <xf numFmtId="1" fontId="115" fillId="102" borderId="0" xfId="0" applyNumberFormat="1" applyFont="1" applyFill="1" applyAlignment="1">
      <alignment horizontal="left" vertical="center"/>
    </xf>
    <xf numFmtId="263" fontId="334" fillId="102" borderId="0" xfId="0" applyNumberFormat="1" applyFont="1" applyFill="1" applyAlignment="1">
      <alignment horizontal="right" vertical="center"/>
    </xf>
    <xf numFmtId="3" fontId="115" fillId="102" borderId="0" xfId="0" applyNumberFormat="1" applyFont="1" applyFill="1"/>
    <xf numFmtId="169" fontId="115" fillId="102" borderId="0" xfId="0" applyNumberFormat="1" applyFont="1" applyFill="1" applyAlignment="1">
      <alignment horizontal="right"/>
    </xf>
    <xf numFmtId="1" fontId="334" fillId="102" borderId="0" xfId="0" applyNumberFormat="1" applyFont="1" applyFill="1" applyAlignment="1">
      <alignment horizontal="left" vertical="center"/>
    </xf>
    <xf numFmtId="9" fontId="0" fillId="0" borderId="191" xfId="44" applyFont="1" applyBorder="1" applyAlignment="1">
      <alignment horizontal="center"/>
    </xf>
    <xf numFmtId="0" fontId="0" fillId="0" borderId="0" xfId="0" applyAlignment="1">
      <alignment horizontal="center"/>
    </xf>
    <xf numFmtId="0" fontId="8" fillId="90" borderId="191" xfId="0" applyFont="1" applyFill="1" applyBorder="1"/>
    <xf numFmtId="0" fontId="8" fillId="90" borderId="191" xfId="0" applyFont="1" applyFill="1" applyBorder="1" applyAlignment="1">
      <alignment horizontal="center"/>
    </xf>
    <xf numFmtId="0" fontId="8" fillId="90" borderId="191" xfId="0" applyFont="1" applyFill="1" applyBorder="1" applyAlignment="1">
      <alignment horizontal="center"/>
    </xf>
    <xf numFmtId="172" fontId="0" fillId="0" borderId="191" xfId="0" applyNumberFormat="1" applyBorder="1" applyAlignment="1">
      <alignment horizontal="center"/>
    </xf>
    <xf numFmtId="3" fontId="0" fillId="0" borderId="191" xfId="0" applyNumberFormat="1" applyBorder="1"/>
    <xf numFmtId="172" fontId="0" fillId="0" borderId="191" xfId="44" applyNumberFormat="1" applyFont="1" applyBorder="1"/>
    <xf numFmtId="0" fontId="8" fillId="90" borderId="191" xfId="0" applyFont="1" applyFill="1" applyBorder="1" applyAlignment="1">
      <alignment vertical="top"/>
    </xf>
    <xf numFmtId="0" fontId="8" fillId="90" borderId="191" xfId="0" applyFont="1" applyFill="1" applyBorder="1" applyAlignment="1">
      <alignment horizontal="center" vertical="top" wrapText="1"/>
    </xf>
    <xf numFmtId="0" fontId="8" fillId="90" borderId="191" xfId="0" applyFont="1" applyFill="1" applyBorder="1" applyAlignment="1">
      <alignment horizontal="center" vertical="top"/>
    </xf>
    <xf numFmtId="3" fontId="0" fillId="0" borderId="191" xfId="0" applyNumberFormat="1" applyBorder="1" applyAlignment="1">
      <alignment horizontal="center"/>
    </xf>
    <xf numFmtId="172" fontId="0" fillId="0" borderId="191" xfId="44" applyNumberFormat="1" applyFont="1" applyBorder="1" applyAlignment="1">
      <alignment horizontal="center"/>
    </xf>
    <xf numFmtId="0" fontId="8" fillId="99" borderId="191" xfId="0" applyFont="1" applyFill="1" applyBorder="1" applyAlignment="1">
      <alignment horizontal="center"/>
    </xf>
    <xf numFmtId="0" fontId="8" fillId="50" borderId="191" xfId="0" applyFont="1" applyFill="1" applyBorder="1"/>
    <xf numFmtId="9" fontId="8" fillId="50" borderId="191" xfId="0" applyNumberFormat="1" applyFont="1" applyFill="1" applyBorder="1" applyAlignment="1">
      <alignment horizontal="center"/>
    </xf>
    <xf numFmtId="0" fontId="8" fillId="50" borderId="191" xfId="0" applyFont="1" applyFill="1" applyBorder="1" applyAlignment="1">
      <alignment horizontal="center"/>
    </xf>
    <xf numFmtId="0" fontId="8" fillId="59" borderId="191" xfId="0" applyFont="1" applyFill="1" applyBorder="1" applyAlignment="1">
      <alignment horizontal="center"/>
    </xf>
    <xf numFmtId="2" fontId="8" fillId="50" borderId="191" xfId="0" applyNumberFormat="1" applyFont="1" applyFill="1" applyBorder="1" applyAlignment="1">
      <alignment horizontal="center"/>
    </xf>
    <xf numFmtId="0" fontId="8" fillId="0" borderId="191" xfId="0" applyFont="1" applyBorder="1"/>
    <xf numFmtId="0" fontId="8" fillId="0" borderId="191" xfId="0" applyFont="1" applyBorder="1" applyAlignment="1">
      <alignment horizontal="center"/>
    </xf>
    <xf numFmtId="0" fontId="6" fillId="0" borderId="191" xfId="0" applyFont="1" applyBorder="1" applyAlignment="1">
      <alignment horizontal="right"/>
    </xf>
    <xf numFmtId="9" fontId="0" fillId="0" borderId="0" xfId="44" applyFont="1" applyFill="1" applyBorder="1"/>
    <xf numFmtId="0" fontId="36" fillId="34" borderId="52" xfId="0" applyFont="1" applyFill="1" applyBorder="1" applyAlignment="1">
      <alignment horizontal="center" vertical="center" textRotation="90"/>
    </xf>
    <xf numFmtId="0" fontId="36" fillId="34" borderId="53" xfId="0" applyFont="1" applyFill="1" applyBorder="1" applyAlignment="1">
      <alignment horizontal="center" vertical="center" textRotation="90"/>
    </xf>
    <xf numFmtId="0" fontId="36" fillId="34" borderId="264" xfId="0" applyFont="1" applyFill="1" applyBorder="1" applyAlignment="1">
      <alignment horizontal="center" vertical="center" textRotation="90"/>
    </xf>
    <xf numFmtId="0" fontId="36" fillId="52" borderId="52" xfId="0" applyFont="1" applyFill="1" applyBorder="1" applyAlignment="1">
      <alignment horizontal="center" vertical="center" textRotation="90" wrapText="1"/>
    </xf>
    <xf numFmtId="0" fontId="36" fillId="52" borderId="53" xfId="0" applyFont="1" applyFill="1" applyBorder="1" applyAlignment="1">
      <alignment horizontal="center" vertical="center" textRotation="90" wrapText="1"/>
    </xf>
    <xf numFmtId="0" fontId="36" fillId="52" borderId="264" xfId="0" applyFont="1" applyFill="1" applyBorder="1" applyAlignment="1">
      <alignment horizontal="center" vertical="center" textRotation="90" wrapText="1"/>
    </xf>
    <xf numFmtId="0" fontId="11" fillId="25" borderId="0" xfId="0" applyFont="1" applyFill="1" applyBorder="1" applyAlignment="1">
      <alignment horizontal="center" vertical="center"/>
    </xf>
    <xf numFmtId="0" fontId="20" fillId="34" borderId="0" xfId="0" applyFont="1" applyFill="1" applyAlignment="1">
      <alignment horizontal="left" vertical="center"/>
    </xf>
    <xf numFmtId="0" fontId="20" fillId="0" borderId="0" xfId="0" applyFont="1" applyFill="1" applyAlignment="1">
      <alignment horizontal="left" vertical="center"/>
    </xf>
    <xf numFmtId="0" fontId="11" fillId="25" borderId="0" xfId="0" applyFont="1" applyFill="1" applyBorder="1" applyAlignment="1">
      <alignment horizontal="left" vertical="center"/>
    </xf>
    <xf numFmtId="0" fontId="11" fillId="25" borderId="177" xfId="0" applyFont="1" applyFill="1" applyBorder="1" applyAlignment="1">
      <alignment horizontal="center" vertical="center"/>
    </xf>
    <xf numFmtId="0" fontId="255" fillId="27" borderId="252" xfId="103" applyFont="1" applyFill="1" applyBorder="1" applyAlignment="1">
      <alignment horizontal="center" vertical="center"/>
    </xf>
    <xf numFmtId="0" fontId="255" fillId="27" borderId="253" xfId="103" applyFont="1" applyFill="1" applyBorder="1" applyAlignment="1">
      <alignment horizontal="center" vertical="center"/>
    </xf>
    <xf numFmtId="0" fontId="255" fillId="27" borderId="254" xfId="103" applyFont="1" applyFill="1" applyBorder="1" applyAlignment="1">
      <alignment horizontal="center" vertical="center"/>
    </xf>
    <xf numFmtId="0" fontId="8" fillId="90" borderId="191" xfId="0" applyFont="1" applyFill="1" applyBorder="1" applyAlignment="1">
      <alignment horizontal="center"/>
    </xf>
    <xf numFmtId="0" fontId="115" fillId="102" borderId="129" xfId="0" applyFont="1" applyFill="1" applyBorder="1" applyAlignment="1">
      <alignment horizontal="center" vertical="center" wrapText="1"/>
    </xf>
    <xf numFmtId="0" fontId="115" fillId="102" borderId="418" xfId="0" applyFont="1" applyFill="1" applyBorder="1" applyAlignment="1">
      <alignment horizontal="center" vertical="center" wrapText="1"/>
    </xf>
    <xf numFmtId="1" fontId="147" fillId="102" borderId="0" xfId="0" applyNumberFormat="1" applyFont="1" applyFill="1" applyAlignment="1">
      <alignment horizontal="left"/>
    </xf>
    <xf numFmtId="0" fontId="322" fillId="92" borderId="0" xfId="245" applyFont="1" applyFill="1" applyAlignment="1">
      <alignment horizontal="center" vertical="center" textRotation="255" wrapText="1"/>
    </xf>
    <xf numFmtId="0" fontId="5" fillId="0" borderId="251" xfId="245" applyBorder="1" applyAlignment="1">
      <alignment horizontal="left" vertical="center" wrapText="1"/>
    </xf>
    <xf numFmtId="0" fontId="5" fillId="0" borderId="386" xfId="245" applyBorder="1" applyAlignment="1">
      <alignment horizontal="left" vertical="center" wrapText="1"/>
    </xf>
    <xf numFmtId="0" fontId="5" fillId="0" borderId="251" xfId="245" applyBorder="1" applyAlignment="1">
      <alignment horizontal="left" vertical="center"/>
    </xf>
    <xf numFmtId="0" fontId="5" fillId="0" borderId="386" xfId="245" applyBorder="1" applyAlignment="1">
      <alignment horizontal="left" vertical="center"/>
    </xf>
    <xf numFmtId="9" fontId="0" fillId="0" borderId="191" xfId="44" applyFont="1" applyBorder="1" applyAlignment="1">
      <alignment horizontal="center"/>
    </xf>
    <xf numFmtId="0" fontId="255" fillId="27" borderId="252" xfId="104" applyFont="1" applyFill="1" applyBorder="1" applyAlignment="1">
      <alignment horizontal="center" vertical="center"/>
    </xf>
    <xf numFmtId="0" fontId="255" fillId="27" borderId="253" xfId="104" applyFont="1" applyFill="1" applyBorder="1" applyAlignment="1">
      <alignment horizontal="center" vertical="center"/>
    </xf>
    <xf numFmtId="0" fontId="255" fillId="27" borderId="254" xfId="104" applyFont="1" applyFill="1" applyBorder="1" applyAlignment="1">
      <alignment horizontal="center" vertical="center"/>
    </xf>
    <xf numFmtId="239" fontId="320" fillId="94" borderId="0" xfId="245" applyNumberFormat="1" applyFont="1" applyFill="1" applyAlignment="1">
      <alignment horizontal="center" vertical="center"/>
    </xf>
    <xf numFmtId="0" fontId="32" fillId="67" borderId="252" xfId="103" applyFont="1" applyFill="1" applyBorder="1" applyAlignment="1">
      <alignment horizontal="center" vertical="center"/>
    </xf>
    <xf numFmtId="0" fontId="32" fillId="67" borderId="253" xfId="103" applyFont="1" applyFill="1" applyBorder="1" applyAlignment="1">
      <alignment horizontal="center" vertical="center"/>
    </xf>
    <xf numFmtId="0" fontId="32" fillId="67" borderId="254" xfId="103" applyFont="1" applyFill="1" applyBorder="1" applyAlignment="1">
      <alignment horizontal="center" vertical="center"/>
    </xf>
    <xf numFmtId="0" fontId="6" fillId="0" borderId="0" xfId="173" applyAlignment="1">
      <alignment horizontal="center"/>
    </xf>
    <xf numFmtId="0" fontId="241" fillId="57" borderId="246" xfId="58" applyFont="1" applyFill="1" applyBorder="1" applyAlignment="1">
      <alignment horizontal="center" vertical="center"/>
    </xf>
    <xf numFmtId="0" fontId="241" fillId="57" borderId="247" xfId="58" applyFont="1" applyFill="1" applyBorder="1" applyAlignment="1">
      <alignment horizontal="center" vertical="center"/>
    </xf>
    <xf numFmtId="0" fontId="10" fillId="26" borderId="274" xfId="58" applyFont="1" applyFill="1" applyBorder="1" applyAlignment="1">
      <alignment horizontal="center" vertical="center"/>
    </xf>
    <xf numFmtId="0" fontId="10" fillId="26" borderId="16" xfId="58" applyFont="1" applyFill="1" applyBorder="1" applyAlignment="1">
      <alignment horizontal="center" vertical="center"/>
    </xf>
    <xf numFmtId="0" fontId="10" fillId="26" borderId="275" xfId="58" applyFont="1" applyFill="1" applyBorder="1" applyAlignment="1">
      <alignment horizontal="center" vertical="center"/>
    </xf>
    <xf numFmtId="0" fontId="10" fillId="26" borderId="277" xfId="58" applyFont="1" applyFill="1" applyBorder="1" applyAlignment="1">
      <alignment horizontal="center" vertical="center"/>
    </xf>
    <xf numFmtId="0" fontId="10" fillId="26" borderId="15" xfId="58" applyFont="1" applyFill="1" applyBorder="1" applyAlignment="1">
      <alignment horizontal="center" vertical="center"/>
    </xf>
    <xf numFmtId="0" fontId="10" fillId="26" borderId="278" xfId="58" applyFont="1" applyFill="1" applyBorder="1" applyAlignment="1">
      <alignment horizontal="center" vertical="center"/>
    </xf>
    <xf numFmtId="0" fontId="243" fillId="26" borderId="274" xfId="58" applyFont="1" applyFill="1" applyBorder="1" applyAlignment="1">
      <alignment horizontal="center" vertical="center"/>
    </xf>
    <xf numFmtId="0" fontId="243" fillId="26" borderId="16" xfId="58" applyFont="1" applyFill="1" applyBorder="1" applyAlignment="1">
      <alignment horizontal="center" vertical="center"/>
    </xf>
    <xf numFmtId="0" fontId="243" fillId="26" borderId="275" xfId="58" applyFont="1" applyFill="1" applyBorder="1" applyAlignment="1">
      <alignment horizontal="center" vertical="center"/>
    </xf>
    <xf numFmtId="0" fontId="6" fillId="0" borderId="355" xfId="58" applyBorder="1" applyAlignment="1">
      <alignment horizontal="center" vertical="top" wrapText="1"/>
    </xf>
    <xf numFmtId="0" fontId="6" fillId="0" borderId="356" xfId="58" applyBorder="1" applyAlignment="1">
      <alignment horizontal="center" vertical="top" wrapText="1"/>
    </xf>
    <xf numFmtId="0" fontId="8" fillId="0" borderId="0" xfId="58" applyFont="1" applyAlignment="1">
      <alignment horizontal="left" vertical="top" wrapText="1"/>
    </xf>
    <xf numFmtId="0" fontId="252" fillId="0" borderId="0" xfId="58" applyFont="1" applyAlignment="1">
      <alignment horizontal="left" vertical="top" wrapText="1"/>
    </xf>
    <xf numFmtId="0" fontId="6" fillId="0" borderId="357" xfId="58" applyBorder="1" applyAlignment="1">
      <alignment horizontal="center" vertical="top" wrapText="1"/>
    </xf>
    <xf numFmtId="0" fontId="6" fillId="0" borderId="63" xfId="58" applyBorder="1" applyAlignment="1">
      <alignment horizontal="center" vertical="top" wrapText="1"/>
    </xf>
    <xf numFmtId="0" fontId="6" fillId="0" borderId="213" xfId="58" applyBorder="1" applyAlignment="1">
      <alignment horizontal="center" vertical="top" wrapText="1"/>
    </xf>
    <xf numFmtId="0" fontId="36" fillId="34" borderId="0" xfId="0" applyFont="1" applyFill="1" applyBorder="1" applyAlignment="1">
      <alignment horizontal="center" vertical="center" textRotation="90"/>
    </xf>
    <xf numFmtId="0" fontId="274" fillId="0" borderId="21" xfId="41" applyFont="1" applyBorder="1" applyAlignment="1" applyProtection="1">
      <alignment horizontal="center" vertical="top"/>
      <protection locked="0"/>
    </xf>
    <xf numFmtId="0" fontId="274" fillId="0" borderId="15" xfId="41" applyFont="1" applyBorder="1" applyAlignment="1" applyProtection="1">
      <alignment horizontal="center" vertical="top"/>
      <protection locked="0"/>
    </xf>
    <xf numFmtId="0" fontId="274" fillId="0" borderId="20" xfId="41" applyFont="1" applyBorder="1" applyAlignment="1" applyProtection="1">
      <alignment horizontal="center" vertical="top"/>
      <protection locked="0"/>
    </xf>
    <xf numFmtId="0" fontId="274" fillId="0" borderId="10" xfId="41" applyFont="1" applyBorder="1" applyAlignment="1" applyProtection="1">
      <alignment horizontal="center" vertical="top"/>
      <protection locked="0"/>
    </xf>
    <xf numFmtId="0" fontId="274" fillId="0" borderId="0" xfId="41" applyFont="1" applyBorder="1" applyAlignment="1" applyProtection="1">
      <alignment horizontal="center" vertical="top"/>
      <protection locked="0"/>
    </xf>
    <xf numFmtId="0" fontId="274" fillId="0" borderId="11" xfId="41" applyFont="1" applyBorder="1" applyAlignment="1" applyProtection="1">
      <alignment horizontal="center" vertical="top"/>
      <protection locked="0"/>
    </xf>
    <xf numFmtId="0" fontId="274" fillId="0" borderId="12" xfId="41" applyFont="1" applyBorder="1" applyAlignment="1" applyProtection="1">
      <alignment horizontal="center" vertical="top"/>
      <protection locked="0"/>
    </xf>
    <xf numFmtId="0" fontId="274" fillId="0" borderId="13" xfId="41" applyFont="1" applyBorder="1" applyAlignment="1" applyProtection="1">
      <alignment horizontal="center" vertical="top"/>
      <protection locked="0"/>
    </xf>
    <xf numFmtId="0" fontId="274" fillId="0" borderId="14" xfId="41" applyFont="1" applyBorder="1" applyAlignment="1" applyProtection="1">
      <alignment horizontal="center" vertical="top"/>
      <protection locked="0"/>
    </xf>
    <xf numFmtId="0" fontId="48" fillId="34" borderId="27" xfId="41" applyFont="1" applyFill="1" applyBorder="1" applyAlignment="1">
      <alignment horizontal="center" vertical="center" wrapText="1"/>
    </xf>
    <xf numFmtId="0" fontId="48" fillId="34" borderId="31" xfId="41" applyFont="1" applyFill="1" applyBorder="1" applyAlignment="1">
      <alignment horizontal="center" vertical="center" wrapText="1"/>
    </xf>
    <xf numFmtId="0" fontId="48" fillId="34" borderId="26" xfId="41" applyFont="1" applyFill="1" applyBorder="1" applyAlignment="1">
      <alignment horizontal="center" vertical="center" wrapText="1"/>
    </xf>
    <xf numFmtId="0" fontId="67" fillId="58" borderId="247" xfId="41" applyFont="1" applyFill="1" applyBorder="1" applyAlignment="1" applyProtection="1">
      <alignment horizontal="left" vertical="center"/>
      <protection locked="0"/>
    </xf>
    <xf numFmtId="0" fontId="67" fillId="58" borderId="248" xfId="41" applyFont="1" applyFill="1" applyBorder="1" applyAlignment="1" applyProtection="1">
      <alignment horizontal="left" vertical="center"/>
      <protection locked="0"/>
    </xf>
    <xf numFmtId="0" fontId="46" fillId="0" borderId="309" xfId="41" applyFont="1" applyBorder="1" applyAlignment="1" applyProtection="1">
      <alignment horizontal="left" vertical="center"/>
      <protection locked="0"/>
    </xf>
    <xf numFmtId="0" fontId="46" fillId="0" borderId="129" xfId="41" applyFont="1" applyBorder="1" applyAlignment="1" applyProtection="1">
      <alignment horizontal="left" vertical="center"/>
      <protection locked="0"/>
    </xf>
    <xf numFmtId="0" fontId="46" fillId="0" borderId="310" xfId="41" applyFont="1" applyBorder="1" applyAlignment="1" applyProtection="1">
      <alignment horizontal="left" vertical="center"/>
      <protection locked="0"/>
    </xf>
    <xf numFmtId="14" fontId="46" fillId="0" borderId="311" xfId="41" applyNumberFormat="1" applyFont="1" applyBorder="1" applyAlignment="1" applyProtection="1">
      <alignment horizontal="left" vertical="center"/>
      <protection locked="0"/>
    </xf>
    <xf numFmtId="0" fontId="46" fillId="0" borderId="132" xfId="41" applyFont="1" applyBorder="1" applyAlignment="1" applyProtection="1">
      <alignment horizontal="left" vertical="center"/>
      <protection locked="0"/>
    </xf>
    <xf numFmtId="0" fontId="46" fillId="0" borderId="312" xfId="41" applyFont="1" applyBorder="1" applyAlignment="1" applyProtection="1">
      <alignment horizontal="left" vertical="center"/>
      <protection locked="0"/>
    </xf>
    <xf numFmtId="0" fontId="46" fillId="0" borderId="311" xfId="41" applyFont="1" applyBorder="1" applyAlignment="1" applyProtection="1">
      <alignment horizontal="left" vertical="center"/>
      <protection locked="0"/>
    </xf>
    <xf numFmtId="0" fontId="46" fillId="0" borderId="246" xfId="41" applyFont="1" applyFill="1" applyBorder="1" applyAlignment="1" applyProtection="1">
      <alignment horizontal="left" vertical="center"/>
      <protection locked="0"/>
    </xf>
    <xf numFmtId="0" fontId="46" fillId="0" borderId="248" xfId="41" applyFont="1" applyFill="1" applyBorder="1" applyAlignment="1" applyProtection="1">
      <alignment horizontal="left" vertical="center"/>
      <protection locked="0"/>
    </xf>
    <xf numFmtId="0" fontId="46" fillId="0" borderId="246" xfId="41" applyFont="1" applyBorder="1" applyAlignment="1" applyProtection="1">
      <alignment horizontal="left" vertical="center"/>
      <protection locked="0"/>
    </xf>
    <xf numFmtId="0" fontId="46" fillId="0" borderId="248" xfId="41" applyFont="1" applyBorder="1" applyAlignment="1" applyProtection="1">
      <alignment horizontal="left" vertical="center"/>
      <protection locked="0"/>
    </xf>
    <xf numFmtId="0" fontId="277" fillId="0" borderId="179" xfId="41" applyFont="1" applyBorder="1" applyAlignment="1">
      <alignment horizontal="left" vertical="top" wrapText="1" indent="1"/>
    </xf>
    <xf numFmtId="0" fontId="277" fillId="0" borderId="34" xfId="41" applyFont="1" applyBorder="1" applyAlignment="1">
      <alignment horizontal="left" vertical="top" wrapText="1" indent="1"/>
    </xf>
    <xf numFmtId="0" fontId="274" fillId="0" borderId="179" xfId="41" applyFont="1" applyBorder="1" applyAlignment="1">
      <alignment vertical="top" wrapText="1"/>
    </xf>
    <xf numFmtId="0" fontId="274" fillId="0" borderId="34" xfId="41" applyFont="1" applyBorder="1" applyAlignment="1">
      <alignment vertical="top" wrapText="1"/>
    </xf>
    <xf numFmtId="0" fontId="274" fillId="0" borderId="180" xfId="41" applyFont="1" applyBorder="1" applyAlignment="1">
      <alignment vertical="top" wrapText="1"/>
    </xf>
    <xf numFmtId="0" fontId="274" fillId="0" borderId="181" xfId="41" applyFont="1" applyBorder="1" applyAlignment="1">
      <alignment vertical="top" wrapText="1"/>
    </xf>
    <xf numFmtId="0" fontId="52" fillId="25" borderId="21" xfId="41" applyFont="1" applyFill="1" applyBorder="1" applyAlignment="1">
      <alignment vertical="top" wrapText="1"/>
    </xf>
    <xf numFmtId="0" fontId="52" fillId="25" borderId="15" xfId="41" applyFont="1" applyFill="1" applyBorder="1" applyAlignment="1">
      <alignment vertical="top" wrapText="1"/>
    </xf>
    <xf numFmtId="0" fontId="46" fillId="0" borderId="309" xfId="41" applyFont="1" applyFill="1" applyBorder="1" applyAlignment="1" applyProtection="1">
      <alignment horizontal="left" vertical="center"/>
      <protection locked="0"/>
    </xf>
    <xf numFmtId="0" fontId="46" fillId="0" borderId="129" xfId="41" applyFont="1" applyFill="1" applyBorder="1" applyAlignment="1" applyProtection="1">
      <alignment horizontal="left" vertical="center"/>
      <protection locked="0"/>
    </xf>
    <xf numFmtId="0" fontId="46" fillId="0" borderId="310" xfId="41" applyFont="1" applyFill="1" applyBorder="1" applyAlignment="1" applyProtection="1">
      <alignment horizontal="left" vertical="center"/>
      <protection locked="0"/>
    </xf>
    <xf numFmtId="0" fontId="46" fillId="34" borderId="0" xfId="41" applyFont="1" applyFill="1" applyBorder="1" applyAlignment="1" applyProtection="1">
      <alignment horizontal="left" vertical="center"/>
      <protection locked="0"/>
    </xf>
    <xf numFmtId="0" fontId="214" fillId="37" borderId="179" xfId="41" applyFont="1" applyFill="1" applyBorder="1" applyAlignment="1">
      <alignment horizontal="left" vertical="top" wrapText="1" indent="1"/>
    </xf>
    <xf numFmtId="0" fontId="214" fillId="37" borderId="34" xfId="41" applyFont="1" applyFill="1" applyBorder="1" applyAlignment="1">
      <alignment horizontal="left" vertical="top" wrapText="1" indent="1"/>
    </xf>
    <xf numFmtId="0" fontId="215" fillId="37" borderId="179" xfId="41" applyFont="1" applyFill="1" applyBorder="1" applyAlignment="1">
      <alignment vertical="top" wrapText="1"/>
    </xf>
    <xf numFmtId="0" fontId="215" fillId="37" borderId="34" xfId="41" applyFont="1" applyFill="1" applyBorder="1" applyAlignment="1">
      <alignment vertical="top" wrapText="1"/>
    </xf>
    <xf numFmtId="169" fontId="212" fillId="37" borderId="28" xfId="41" applyNumberFormat="1" applyFont="1" applyFill="1" applyBorder="1" applyAlignment="1">
      <alignment horizontal="right" vertical="top"/>
    </xf>
    <xf numFmtId="169" fontId="212" fillId="37" borderId="19" xfId="41" applyNumberFormat="1" applyFont="1" applyFill="1" applyBorder="1" applyAlignment="1">
      <alignment horizontal="right" vertical="top"/>
    </xf>
    <xf numFmtId="0" fontId="211" fillId="37" borderId="21" xfId="41" applyFont="1" applyFill="1" applyBorder="1" applyAlignment="1">
      <alignment vertical="top" wrapText="1"/>
    </xf>
    <xf numFmtId="0" fontId="211" fillId="37" borderId="15" xfId="41" applyFont="1" applyFill="1" applyBorder="1" applyAlignment="1">
      <alignment vertical="top" wrapText="1"/>
    </xf>
    <xf numFmtId="0" fontId="215" fillId="37" borderId="234" xfId="41" applyFont="1" applyFill="1" applyBorder="1" applyAlignment="1">
      <alignment vertical="top" wrapText="1"/>
    </xf>
    <xf numFmtId="0" fontId="215" fillId="37" borderId="183" xfId="41" applyFont="1" applyFill="1" applyBorder="1" applyAlignment="1">
      <alignment vertical="top" wrapText="1"/>
    </xf>
    <xf numFmtId="0" fontId="215" fillId="37" borderId="28" xfId="41" applyFont="1" applyFill="1" applyBorder="1" applyAlignment="1" applyProtection="1">
      <alignment horizontal="center" vertical="center"/>
    </xf>
    <xf numFmtId="0" fontId="215" fillId="37" borderId="19" xfId="41" applyFont="1" applyFill="1" applyBorder="1" applyAlignment="1" applyProtection="1">
      <alignment horizontal="center" vertical="center"/>
    </xf>
    <xf numFmtId="0" fontId="216" fillId="37" borderId="28" xfId="41" applyFont="1" applyFill="1" applyBorder="1" applyAlignment="1">
      <alignment horizontal="center"/>
    </xf>
    <xf numFmtId="0" fontId="216" fillId="37" borderId="16" xfId="41" applyFont="1" applyFill="1" applyBorder="1" applyAlignment="1">
      <alignment horizontal="center"/>
    </xf>
    <xf numFmtId="0" fontId="216" fillId="37" borderId="19" xfId="41" applyFont="1" applyFill="1" applyBorder="1" applyAlignment="1">
      <alignment horizontal="center"/>
    </xf>
    <xf numFmtId="0" fontId="218" fillId="37" borderId="27" xfId="41" applyFont="1" applyFill="1" applyBorder="1" applyAlignment="1">
      <alignment horizontal="center" vertical="center" wrapText="1"/>
    </xf>
    <xf numFmtId="0" fontId="218" fillId="37" borderId="26" xfId="41" applyFont="1" applyFill="1" applyBorder="1" applyAlignment="1">
      <alignment horizontal="center" vertical="center" wrapText="1"/>
    </xf>
    <xf numFmtId="0" fontId="212" fillId="37" borderId="27" xfId="41" applyFont="1" applyFill="1" applyBorder="1" applyAlignment="1">
      <alignment horizontal="center" vertical="center" wrapText="1"/>
    </xf>
    <xf numFmtId="0" fontId="212" fillId="37" borderId="26" xfId="41" applyFont="1" applyFill="1" applyBorder="1" applyAlignment="1">
      <alignment horizontal="center" vertical="center" wrapText="1"/>
    </xf>
    <xf numFmtId="169" fontId="215" fillId="37" borderId="234" xfId="41" applyNumberFormat="1" applyFont="1" applyFill="1" applyBorder="1" applyAlignment="1">
      <alignment horizontal="right" vertical="top"/>
    </xf>
    <xf numFmtId="169" fontId="215" fillId="37" borderId="185" xfId="41" applyNumberFormat="1" applyFont="1" applyFill="1" applyBorder="1" applyAlignment="1">
      <alignment horizontal="right" vertical="top"/>
    </xf>
    <xf numFmtId="169" fontId="215" fillId="37" borderId="234" xfId="41" applyNumberFormat="1" applyFont="1" applyFill="1" applyBorder="1" applyAlignment="1">
      <alignment horizontal="center" vertical="top"/>
    </xf>
    <xf numFmtId="169" fontId="215" fillId="37" borderId="185" xfId="41" applyNumberFormat="1" applyFont="1" applyFill="1" applyBorder="1" applyAlignment="1">
      <alignment horizontal="center" vertical="top"/>
    </xf>
    <xf numFmtId="169" fontId="215" fillId="37" borderId="179" xfId="41" applyNumberFormat="1" applyFont="1" applyFill="1" applyBorder="1" applyAlignment="1">
      <alignment horizontal="right" vertical="top"/>
    </xf>
    <xf numFmtId="169" fontId="215" fillId="37" borderId="186" xfId="41" applyNumberFormat="1" applyFont="1" applyFill="1" applyBorder="1" applyAlignment="1">
      <alignment horizontal="right" vertical="top"/>
    </xf>
    <xf numFmtId="169" fontId="215" fillId="37" borderId="179" xfId="41" applyNumberFormat="1" applyFont="1" applyFill="1" applyBorder="1" applyAlignment="1">
      <alignment horizontal="center" vertical="top"/>
    </xf>
    <xf numFmtId="169" fontId="215" fillId="37" borderId="186" xfId="41" applyNumberFormat="1" applyFont="1" applyFill="1" applyBorder="1" applyAlignment="1">
      <alignment horizontal="center" vertical="top"/>
    </xf>
    <xf numFmtId="0" fontId="215" fillId="37" borderId="180" xfId="41" applyFont="1" applyFill="1" applyBorder="1" applyAlignment="1">
      <alignment vertical="top" wrapText="1"/>
    </xf>
    <xf numFmtId="0" fontId="215" fillId="37" borderId="181" xfId="41" applyFont="1" applyFill="1" applyBorder="1" applyAlignment="1">
      <alignment vertical="top" wrapText="1"/>
    </xf>
    <xf numFmtId="169" fontId="215" fillId="37" borderId="180" xfId="41" applyNumberFormat="1" applyFont="1" applyFill="1" applyBorder="1" applyAlignment="1">
      <alignment horizontal="right" vertical="top"/>
    </xf>
    <xf numFmtId="169" fontId="215" fillId="37" borderId="188" xfId="41" applyNumberFormat="1" applyFont="1" applyFill="1" applyBorder="1" applyAlignment="1">
      <alignment horizontal="right" vertical="top"/>
    </xf>
    <xf numFmtId="169" fontId="215" fillId="37" borderId="180" xfId="41" applyNumberFormat="1" applyFont="1" applyFill="1" applyBorder="1" applyAlignment="1">
      <alignment horizontal="center" vertical="top"/>
    </xf>
    <xf numFmtId="169" fontId="215" fillId="37" borderId="188" xfId="41" applyNumberFormat="1" applyFont="1" applyFill="1" applyBorder="1" applyAlignment="1">
      <alignment horizontal="center" vertical="top"/>
    </xf>
    <xf numFmtId="169" fontId="44" fillId="37" borderId="180" xfId="41" applyNumberFormat="1" applyFont="1" applyFill="1" applyBorder="1" applyAlignment="1">
      <alignment horizontal="center" vertical="top"/>
    </xf>
    <xf numFmtId="169" fontId="44" fillId="37" borderId="188" xfId="41" applyNumberFormat="1" applyFont="1" applyFill="1" applyBorder="1" applyAlignment="1">
      <alignment horizontal="center" vertical="top"/>
    </xf>
    <xf numFmtId="169" fontId="46" fillId="27" borderId="28" xfId="41" applyNumberFormat="1" applyFont="1" applyFill="1" applyBorder="1" applyAlignment="1">
      <alignment horizontal="right" vertical="top"/>
    </xf>
    <xf numFmtId="169" fontId="46" fillId="27" borderId="19" xfId="41" applyNumberFormat="1" applyFont="1" applyFill="1" applyBorder="1" applyAlignment="1">
      <alignment horizontal="right" vertical="top"/>
    </xf>
    <xf numFmtId="0" fontId="44" fillId="0" borderId="234" xfId="41" applyFont="1" applyBorder="1" applyAlignment="1">
      <alignment vertical="top" wrapText="1"/>
    </xf>
    <xf numFmtId="0" fontId="44" fillId="0" borderId="183" xfId="41" applyFont="1" applyBorder="1" applyAlignment="1">
      <alignment vertical="top" wrapText="1"/>
    </xf>
    <xf numFmtId="0" fontId="46" fillId="0" borderId="247" xfId="41" applyFont="1" applyBorder="1" applyAlignment="1" applyProtection="1">
      <alignment horizontal="left" vertical="center"/>
      <protection locked="0"/>
    </xf>
    <xf numFmtId="0" fontId="44" fillId="0" borderId="180" xfId="41" applyFont="1" applyBorder="1" applyAlignment="1">
      <alignment vertical="top" wrapText="1"/>
    </xf>
    <xf numFmtId="0" fontId="44" fillId="0" borderId="181" xfId="41" applyFont="1" applyBorder="1" applyAlignment="1">
      <alignment vertical="top" wrapText="1"/>
    </xf>
    <xf numFmtId="169" fontId="44" fillId="40" borderId="180" xfId="41" applyNumberFormat="1" applyFont="1" applyFill="1" applyBorder="1" applyAlignment="1">
      <alignment horizontal="right" vertical="top"/>
    </xf>
    <xf numFmtId="169" fontId="44" fillId="40" borderId="188" xfId="41" applyNumberFormat="1" applyFont="1" applyFill="1" applyBorder="1" applyAlignment="1">
      <alignment horizontal="right" vertical="top"/>
    </xf>
    <xf numFmtId="0" fontId="48" fillId="0" borderId="179" xfId="41" applyFont="1" applyBorder="1" applyAlignment="1">
      <alignment horizontal="left" vertical="top" wrapText="1" indent="1"/>
    </xf>
    <xf numFmtId="0" fontId="48" fillId="0" borderId="34" xfId="41" applyFont="1" applyBorder="1" applyAlignment="1">
      <alignment horizontal="left" vertical="top" wrapText="1" indent="1"/>
    </xf>
    <xf numFmtId="0" fontId="44" fillId="0" borderId="179" xfId="41" applyFont="1" applyBorder="1" applyAlignment="1">
      <alignment vertical="top" wrapText="1"/>
    </xf>
    <xf numFmtId="0" fontId="44" fillId="0" borderId="34" xfId="41" applyFont="1" applyBorder="1" applyAlignment="1">
      <alignment vertical="top" wrapText="1"/>
    </xf>
    <xf numFmtId="169" fontId="44" fillId="40" borderId="179" xfId="41" applyNumberFormat="1" applyFont="1" applyFill="1" applyBorder="1" applyAlignment="1">
      <alignment horizontal="right" vertical="top"/>
    </xf>
    <xf numFmtId="169" fontId="44" fillId="40" borderId="186" xfId="41" applyNumberFormat="1" applyFont="1" applyFill="1" applyBorder="1" applyAlignment="1">
      <alignment horizontal="right" vertical="top"/>
    </xf>
    <xf numFmtId="169" fontId="44" fillId="37" borderId="179" xfId="41" applyNumberFormat="1" applyFont="1" applyFill="1" applyBorder="1" applyAlignment="1">
      <alignment horizontal="center" vertical="top"/>
    </xf>
    <xf numFmtId="169" fontId="44" fillId="37" borderId="186" xfId="41" applyNumberFormat="1" applyFont="1" applyFill="1" applyBorder="1" applyAlignment="1">
      <alignment horizontal="center" vertical="top"/>
    </xf>
    <xf numFmtId="0" fontId="36" fillId="34" borderId="28" xfId="41" applyFont="1" applyFill="1" applyBorder="1" applyAlignment="1" applyProtection="1">
      <alignment horizontal="center" vertical="center"/>
    </xf>
    <xf numFmtId="0" fontId="36" fillId="34" borderId="19" xfId="41" applyFont="1" applyFill="1" applyBorder="1" applyAlignment="1" applyProtection="1">
      <alignment horizontal="center" vertical="center"/>
    </xf>
    <xf numFmtId="0" fontId="47" fillId="26" borderId="28" xfId="41" applyFont="1" applyFill="1" applyBorder="1" applyAlignment="1">
      <alignment horizontal="center"/>
    </xf>
    <xf numFmtId="0" fontId="47" fillId="26" borderId="16" xfId="41" applyFont="1" applyFill="1" applyBorder="1" applyAlignment="1">
      <alignment horizontal="center"/>
    </xf>
    <xf numFmtId="0" fontId="47" fillId="26" borderId="19" xfId="41" applyFont="1" applyFill="1" applyBorder="1" applyAlignment="1">
      <alignment horizontal="center"/>
    </xf>
    <xf numFmtId="169" fontId="44" fillId="40" borderId="234" xfId="41" applyNumberFormat="1" applyFont="1" applyFill="1" applyBorder="1" applyAlignment="1">
      <alignment horizontal="right" vertical="top"/>
    </xf>
    <xf numFmtId="169" fontId="44" fillId="40" borderId="185" xfId="41" applyNumberFormat="1" applyFont="1" applyFill="1" applyBorder="1" applyAlignment="1">
      <alignment horizontal="right" vertical="top"/>
    </xf>
    <xf numFmtId="169" fontId="44" fillId="37" borderId="234" xfId="41" applyNumberFormat="1" applyFont="1" applyFill="1" applyBorder="1" applyAlignment="1">
      <alignment horizontal="center" vertical="top"/>
    </xf>
    <xf numFmtId="169" fontId="44" fillId="37" borderId="185" xfId="41" applyNumberFormat="1" applyFont="1" applyFill="1" applyBorder="1" applyAlignment="1">
      <alignment horizontal="center" vertical="top"/>
    </xf>
    <xf numFmtId="0" fontId="54" fillId="25" borderId="354" xfId="41" applyFont="1" applyFill="1" applyBorder="1" applyAlignment="1">
      <alignment horizontal="center" vertical="top"/>
    </xf>
    <xf numFmtId="0" fontId="54" fillId="25" borderId="14" xfId="41" applyFont="1" applyFill="1" applyBorder="1" applyAlignment="1">
      <alignment horizontal="center" vertical="top"/>
    </xf>
    <xf numFmtId="0" fontId="273" fillId="28" borderId="28" xfId="41" applyFont="1" applyFill="1" applyBorder="1" applyAlignment="1">
      <alignment horizontal="center" vertical="top" wrapText="1"/>
    </xf>
    <xf numFmtId="0" fontId="273" fillId="28" borderId="19" xfId="41" applyFont="1" applyFill="1" applyBorder="1" applyAlignment="1">
      <alignment horizontal="center" vertical="top" wrapText="1"/>
    </xf>
    <xf numFmtId="0" fontId="275" fillId="0" borderId="246" xfId="41" applyFont="1" applyBorder="1" applyAlignment="1" applyProtection="1">
      <alignment horizontal="left" vertical="center"/>
      <protection locked="0"/>
    </xf>
    <xf numFmtId="0" fontId="275" fillId="0" borderId="248" xfId="41" applyFont="1" applyBorder="1" applyAlignment="1" applyProtection="1">
      <alignment horizontal="left" vertical="center"/>
      <protection locked="0"/>
    </xf>
    <xf numFmtId="0" fontId="273" fillId="0" borderId="10" xfId="41" applyFont="1" applyBorder="1" applyAlignment="1" applyProtection="1">
      <alignment horizontal="left" vertical="top"/>
      <protection locked="0"/>
    </xf>
    <xf numFmtId="0" fontId="273" fillId="0" borderId="0" xfId="41" applyFont="1" applyBorder="1" applyAlignment="1" applyProtection="1">
      <alignment horizontal="left" vertical="top"/>
      <protection locked="0"/>
    </xf>
    <xf numFmtId="0" fontId="273" fillId="0" borderId="11" xfId="41" applyFont="1" applyBorder="1" applyAlignment="1" applyProtection="1">
      <alignment horizontal="left" vertical="top"/>
      <protection locked="0"/>
    </xf>
    <xf numFmtId="0" fontId="273" fillId="0" borderId="12" xfId="41" applyFont="1" applyBorder="1" applyAlignment="1" applyProtection="1">
      <alignment horizontal="left" vertical="top"/>
      <protection locked="0"/>
    </xf>
    <xf numFmtId="0" fontId="273" fillId="0" borderId="13" xfId="41" applyFont="1" applyBorder="1" applyAlignment="1" applyProtection="1">
      <alignment horizontal="left" vertical="top"/>
      <protection locked="0"/>
    </xf>
    <xf numFmtId="0" fontId="273" fillId="0" borderId="14" xfId="41" applyFont="1" applyBorder="1" applyAlignment="1" applyProtection="1">
      <alignment horizontal="left" vertical="top"/>
      <protection locked="0"/>
    </xf>
    <xf numFmtId="0" fontId="274" fillId="0" borderId="234" xfId="41" applyFont="1" applyBorder="1" applyAlignment="1">
      <alignment vertical="top" wrapText="1"/>
    </xf>
    <xf numFmtId="0" fontId="274" fillId="0" borderId="183" xfId="41" applyFont="1" applyBorder="1" applyAlignment="1">
      <alignment vertical="top" wrapText="1"/>
    </xf>
    <xf numFmtId="0" fontId="50" fillId="34" borderId="10" xfId="41" applyFont="1" applyFill="1" applyBorder="1" applyAlignment="1">
      <alignment horizontal="left" vertical="top" wrapText="1"/>
    </xf>
    <xf numFmtId="0" fontId="50" fillId="34" borderId="0" xfId="41" applyFont="1" applyFill="1" applyBorder="1" applyAlignment="1">
      <alignment horizontal="left" vertical="top" wrapText="1"/>
    </xf>
    <xf numFmtId="0" fontId="50" fillId="34" borderId="11" xfId="41" applyFont="1" applyFill="1" applyBorder="1" applyAlignment="1">
      <alignment horizontal="left" vertical="top" wrapText="1"/>
    </xf>
    <xf numFmtId="0" fontId="50" fillId="34" borderId="21" xfId="41" applyFont="1" applyFill="1" applyBorder="1" applyAlignment="1">
      <alignment horizontal="left"/>
    </xf>
    <xf numFmtId="0" fontId="50" fillId="34" borderId="15" xfId="41" applyFont="1" applyFill="1" applyBorder="1" applyAlignment="1">
      <alignment horizontal="left"/>
    </xf>
    <xf numFmtId="0" fontId="50" fillId="34" borderId="20" xfId="41" applyFont="1" applyFill="1" applyBorder="1" applyAlignment="1">
      <alignment horizontal="left"/>
    </xf>
    <xf numFmtId="0" fontId="50" fillId="34" borderId="10" xfId="41" applyFont="1" applyFill="1" applyBorder="1" applyAlignment="1">
      <alignment horizontal="left"/>
    </xf>
    <xf numFmtId="0" fontId="50" fillId="34" borderId="0" xfId="41" applyFont="1" applyFill="1" applyBorder="1" applyAlignment="1">
      <alignment horizontal="left"/>
    </xf>
    <xf numFmtId="0" fontId="50" fillId="34" borderId="11" xfId="41" applyFont="1" applyFill="1" applyBorder="1" applyAlignment="1">
      <alignment horizontal="left"/>
    </xf>
    <xf numFmtId="0" fontId="77" fillId="58" borderId="247" xfId="41" applyFont="1" applyFill="1" applyBorder="1" applyAlignment="1" applyProtection="1">
      <alignment horizontal="left" vertical="center"/>
      <protection locked="0"/>
    </xf>
    <xf numFmtId="0" fontId="77" fillId="58" borderId="248" xfId="41" applyFont="1" applyFill="1" applyBorder="1" applyAlignment="1" applyProtection="1">
      <alignment horizontal="left" vertical="center"/>
      <protection locked="0"/>
    </xf>
    <xf numFmtId="0" fontId="242" fillId="38" borderId="0" xfId="101" applyNumberFormat="1" applyFont="1" applyFill="1" applyBorder="1" applyAlignment="1">
      <alignment horizontal="center" vertical="center"/>
    </xf>
    <xf numFmtId="0" fontId="248" fillId="0" borderId="343" xfId="101" applyNumberFormat="1" applyFont="1" applyFill="1" applyBorder="1" applyAlignment="1">
      <alignment horizontal="left" vertical="center" wrapText="1"/>
    </xf>
    <xf numFmtId="0" fontId="288" fillId="38" borderId="0" xfId="101" applyNumberFormat="1" applyFont="1" applyFill="1" applyBorder="1" applyAlignment="1">
      <alignment horizontal="center" vertical="center"/>
    </xf>
    <xf numFmtId="0" fontId="272" fillId="0" borderId="343" xfId="101" applyNumberFormat="1" applyFont="1" applyFill="1" applyBorder="1" applyAlignment="1">
      <alignment horizontal="left" vertical="center" wrapText="1"/>
    </xf>
    <xf numFmtId="0" fontId="85" fillId="34" borderId="27" xfId="0" applyFont="1" applyFill="1" applyBorder="1" applyAlignment="1">
      <alignment horizontal="center" vertical="center"/>
    </xf>
    <xf numFmtId="0" fontId="85" fillId="34" borderId="26" xfId="0" applyFont="1" applyFill="1" applyBorder="1" applyAlignment="1">
      <alignment horizontal="center" vertical="center"/>
    </xf>
    <xf numFmtId="0" fontId="133" fillId="0" borderId="27" xfId="0" applyFont="1" applyBorder="1" applyAlignment="1" applyProtection="1">
      <alignment horizontal="center" vertical="center"/>
      <protection locked="0"/>
    </xf>
    <xf numFmtId="0" fontId="133" fillId="0" borderId="26" xfId="0" applyFont="1" applyBorder="1" applyAlignment="1" applyProtection="1">
      <alignment horizontal="center" vertical="center"/>
      <protection locked="0"/>
    </xf>
    <xf numFmtId="0" fontId="220" fillId="37" borderId="170" xfId="0" applyFont="1" applyFill="1" applyBorder="1" applyAlignment="1">
      <alignment horizontal="left" vertical="center" wrapText="1"/>
    </xf>
    <xf numFmtId="0" fontId="220" fillId="37" borderId="171" xfId="0" applyFont="1" applyFill="1" applyBorder="1" applyAlignment="1">
      <alignment horizontal="left" vertical="center" wrapText="1"/>
    </xf>
    <xf numFmtId="0" fontId="219" fillId="37" borderId="10" xfId="0" applyFont="1" applyFill="1" applyBorder="1" applyAlignment="1" applyProtection="1">
      <alignment horizontal="center" vertical="center" wrapText="1"/>
      <protection locked="0"/>
    </xf>
    <xf numFmtId="0" fontId="219" fillId="37" borderId="0" xfId="0" applyFont="1" applyFill="1" applyBorder="1" applyAlignment="1" applyProtection="1">
      <alignment horizontal="center" vertical="center" wrapText="1"/>
      <protection locked="0"/>
    </xf>
    <xf numFmtId="0" fontId="219" fillId="37" borderId="11" xfId="0" applyFont="1" applyFill="1" applyBorder="1" applyAlignment="1" applyProtection="1">
      <alignment horizontal="center" vertical="center" wrapText="1"/>
      <protection locked="0"/>
    </xf>
    <xf numFmtId="0" fontId="219" fillId="37" borderId="12" xfId="0" applyFont="1" applyFill="1" applyBorder="1" applyAlignment="1" applyProtection="1">
      <alignment vertical="center" wrapText="1"/>
      <protection locked="0"/>
    </xf>
    <xf numFmtId="0" fontId="219" fillId="37" borderId="13" xfId="0" applyFont="1" applyFill="1" applyBorder="1" applyAlignment="1" applyProtection="1">
      <alignment vertical="center" wrapText="1"/>
      <protection locked="0"/>
    </xf>
    <xf numFmtId="0" fontId="219" fillId="37" borderId="235" xfId="0" applyFont="1" applyFill="1" applyBorder="1" applyAlignment="1" applyProtection="1">
      <alignment horizontal="center" vertical="center" wrapText="1"/>
      <protection locked="0"/>
    </xf>
    <xf numFmtId="0" fontId="219" fillId="37" borderId="236" xfId="0" applyFont="1" applyFill="1" applyBorder="1" applyAlignment="1" applyProtection="1">
      <alignment horizontal="center" vertical="center" wrapText="1"/>
      <protection locked="0"/>
    </xf>
    <xf numFmtId="0" fontId="219" fillId="37" borderId="42" xfId="0" applyFont="1" applyFill="1" applyBorder="1" applyAlignment="1" applyProtection="1">
      <alignment horizontal="center" vertical="center"/>
    </xf>
    <xf numFmtId="0" fontId="219" fillId="37" borderId="28" xfId="0" applyFont="1" applyFill="1" applyBorder="1" applyAlignment="1" applyProtection="1">
      <alignment horizontal="center" vertical="center"/>
    </xf>
    <xf numFmtId="0" fontId="220" fillId="37" borderId="174" xfId="0" applyFont="1" applyFill="1" applyBorder="1" applyAlignment="1">
      <alignment horizontal="center" vertical="center"/>
    </xf>
    <xf numFmtId="0" fontId="220" fillId="37" borderId="175" xfId="0" applyFont="1" applyFill="1" applyBorder="1" applyAlignment="1">
      <alignment horizontal="center" vertical="center"/>
    </xf>
    <xf numFmtId="0" fontId="220" fillId="37" borderId="176" xfId="0" applyFont="1" applyFill="1" applyBorder="1" applyAlignment="1">
      <alignment horizontal="center" vertical="center"/>
    </xf>
    <xf numFmtId="0" fontId="127" fillId="34" borderId="174" xfId="0" applyFont="1" applyFill="1" applyBorder="1" applyAlignment="1">
      <alignment horizontal="center" vertical="center"/>
    </xf>
    <xf numFmtId="0" fontId="127" fillId="34" borderId="175" xfId="0" applyFont="1" applyFill="1" applyBorder="1" applyAlignment="1">
      <alignment horizontal="center" vertical="center"/>
    </xf>
    <xf numFmtId="0" fontId="127" fillId="34" borderId="176" xfId="0" applyFont="1" applyFill="1" applyBorder="1" applyAlignment="1">
      <alignment horizontal="center" vertical="center"/>
    </xf>
    <xf numFmtId="0" fontId="127" fillId="0" borderId="174" xfId="0" applyFont="1" applyBorder="1" applyAlignment="1">
      <alignment horizontal="center" vertical="center"/>
    </xf>
    <xf numFmtId="0" fontId="127" fillId="0" borderId="175" xfId="0" applyFont="1" applyBorder="1" applyAlignment="1">
      <alignment horizontal="center" vertical="center"/>
    </xf>
    <xf numFmtId="0" fontId="127" fillId="0" borderId="176" xfId="0" applyFont="1" applyBorder="1" applyAlignment="1">
      <alignment horizontal="center" vertical="center"/>
    </xf>
    <xf numFmtId="0" fontId="127" fillId="28" borderId="170" xfId="0" applyFont="1" applyFill="1" applyBorder="1" applyAlignment="1">
      <alignment horizontal="left" vertical="center" wrapText="1"/>
    </xf>
    <xf numFmtId="0" fontId="127" fillId="28" borderId="171" xfId="0" applyFont="1" applyFill="1" applyBorder="1" applyAlignment="1">
      <alignment horizontal="left" vertical="center" wrapText="1"/>
    </xf>
    <xf numFmtId="0" fontId="132" fillId="0" borderId="27" xfId="0" applyFont="1" applyBorder="1" applyAlignment="1">
      <alignment horizontal="center" vertical="center" wrapText="1"/>
    </xf>
    <xf numFmtId="0" fontId="132" fillId="0" borderId="31" xfId="0" applyFont="1" applyBorder="1" applyAlignment="1">
      <alignment horizontal="center" vertical="center" wrapText="1"/>
    </xf>
    <xf numFmtId="0" fontId="132" fillId="0" borderId="26" xfId="0" applyFont="1" applyBorder="1" applyAlignment="1">
      <alignment horizontal="center" vertical="center" wrapText="1"/>
    </xf>
    <xf numFmtId="0" fontId="130" fillId="34" borderId="10" xfId="0" applyFont="1" applyFill="1" applyBorder="1" applyAlignment="1" applyProtection="1">
      <alignment horizontal="center" vertical="center" wrapText="1"/>
      <protection locked="0"/>
    </xf>
    <xf numFmtId="0" fontId="130" fillId="34" borderId="0" xfId="0" applyFont="1" applyFill="1" applyBorder="1" applyAlignment="1" applyProtection="1">
      <alignment horizontal="center" vertical="center" wrapText="1"/>
      <protection locked="0"/>
    </xf>
    <xf numFmtId="0" fontId="130" fillId="34" borderId="11" xfId="0" applyFont="1" applyFill="1" applyBorder="1" applyAlignment="1" applyProtection="1">
      <alignment horizontal="center" vertical="center" wrapText="1"/>
      <protection locked="0"/>
    </xf>
    <xf numFmtId="0" fontId="85" fillId="34" borderId="12" xfId="0" applyFont="1" applyFill="1" applyBorder="1" applyAlignment="1" applyProtection="1">
      <alignment vertical="center" wrapText="1"/>
      <protection locked="0"/>
    </xf>
    <xf numFmtId="0" fontId="85" fillId="34" borderId="13" xfId="0" applyFont="1" applyFill="1" applyBorder="1" applyAlignment="1" applyProtection="1">
      <alignment vertical="center" wrapText="1"/>
      <protection locked="0"/>
    </xf>
    <xf numFmtId="0" fontId="85" fillId="34" borderId="235" xfId="0" applyFont="1" applyFill="1" applyBorder="1" applyAlignment="1" applyProtection="1">
      <alignment horizontal="center" vertical="center" wrapText="1"/>
      <protection locked="0"/>
    </xf>
    <xf numFmtId="0" fontId="85" fillId="34" borderId="236" xfId="0" applyFont="1" applyFill="1" applyBorder="1" applyAlignment="1" applyProtection="1">
      <alignment horizontal="center" vertical="center" wrapText="1"/>
      <protection locked="0"/>
    </xf>
    <xf numFmtId="0" fontId="85" fillId="0" borderId="28" xfId="0" applyFont="1" applyBorder="1" applyAlignment="1" applyProtection="1">
      <alignment horizontal="center" vertical="center"/>
    </xf>
    <xf numFmtId="0" fontId="85" fillId="0" borderId="238" xfId="0" applyFont="1" applyBorder="1" applyAlignment="1" applyProtection="1">
      <alignment horizontal="center" vertical="center"/>
    </xf>
    <xf numFmtId="0" fontId="85" fillId="0" borderId="237" xfId="0" applyFont="1" applyBorder="1" applyAlignment="1" applyProtection="1">
      <alignment horizontal="center" vertical="center"/>
    </xf>
    <xf numFmtId="0" fontId="85" fillId="0" borderId="16" xfId="0" applyFont="1" applyBorder="1" applyAlignment="1" applyProtection="1">
      <alignment horizontal="center" vertical="center"/>
    </xf>
    <xf numFmtId="0" fontId="27" fillId="34" borderId="21" xfId="0" applyFont="1" applyFill="1" applyBorder="1" applyAlignment="1" applyProtection="1">
      <alignment horizontal="left" vertical="top"/>
      <protection locked="0"/>
    </xf>
    <xf numFmtId="0" fontId="27" fillId="34" borderId="15" xfId="0" applyFont="1" applyFill="1" applyBorder="1" applyAlignment="1" applyProtection="1">
      <alignment horizontal="left" vertical="top"/>
      <protection locked="0"/>
    </xf>
    <xf numFmtId="0" fontId="27" fillId="34" borderId="20" xfId="0" applyFont="1" applyFill="1" applyBorder="1" applyAlignment="1" applyProtection="1">
      <alignment horizontal="left" vertical="top"/>
      <protection locked="0"/>
    </xf>
    <xf numFmtId="0" fontId="27" fillId="34" borderId="10" xfId="0" applyFont="1" applyFill="1" applyBorder="1" applyAlignment="1" applyProtection="1">
      <alignment horizontal="left" vertical="top"/>
      <protection locked="0"/>
    </xf>
    <xf numFmtId="0" fontId="27" fillId="34" borderId="0" xfId="0" applyFont="1" applyFill="1" applyBorder="1" applyAlignment="1" applyProtection="1">
      <alignment horizontal="left" vertical="top"/>
      <protection locked="0"/>
    </xf>
    <xf numFmtId="0" fontId="27" fillId="34" borderId="11" xfId="0" applyFont="1" applyFill="1" applyBorder="1" applyAlignment="1" applyProtection="1">
      <alignment horizontal="left" vertical="top"/>
      <protection locked="0"/>
    </xf>
    <xf numFmtId="0" fontId="27" fillId="34" borderId="12" xfId="0" applyFont="1" applyFill="1" applyBorder="1" applyAlignment="1" applyProtection="1">
      <alignment horizontal="left" vertical="top"/>
      <protection locked="0"/>
    </xf>
    <xf numFmtId="0" fontId="27" fillId="34" borderId="13" xfId="0" applyFont="1" applyFill="1" applyBorder="1" applyAlignment="1" applyProtection="1">
      <alignment horizontal="left" vertical="top"/>
      <protection locked="0"/>
    </xf>
    <xf numFmtId="0" fontId="27" fillId="34" borderId="14" xfId="0" applyFont="1" applyFill="1" applyBorder="1" applyAlignment="1" applyProtection="1">
      <alignment horizontal="left" vertical="top"/>
      <protection locked="0"/>
    </xf>
    <xf numFmtId="0" fontId="127" fillId="58" borderId="235" xfId="0" applyFont="1" applyFill="1" applyBorder="1" applyAlignment="1" applyProtection="1">
      <alignment horizontal="center" vertical="center" wrapText="1"/>
      <protection locked="0"/>
    </xf>
    <xf numFmtId="0" fontId="127" fillId="58" borderId="236" xfId="0" applyFont="1" applyFill="1" applyBorder="1" applyAlignment="1" applyProtection="1">
      <alignment horizontal="center" vertical="center" wrapText="1"/>
      <protection locked="0"/>
    </xf>
    <xf numFmtId="0" fontId="127" fillId="0" borderId="42" xfId="0" applyFont="1" applyBorder="1" applyAlignment="1" applyProtection="1">
      <alignment horizontal="center" vertical="center"/>
    </xf>
    <xf numFmtId="0" fontId="127" fillId="0" borderId="28" xfId="0" applyFont="1" applyBorder="1" applyAlignment="1" applyProtection="1">
      <alignment horizontal="center" vertical="center"/>
    </xf>
    <xf numFmtId="0" fontId="127" fillId="0" borderId="237" xfId="0" applyFont="1" applyBorder="1" applyAlignment="1" applyProtection="1">
      <alignment horizontal="center" vertical="center"/>
    </xf>
    <xf numFmtId="0" fontId="127" fillId="0" borderId="16" xfId="0" applyFont="1" applyBorder="1" applyAlignment="1" applyProtection="1">
      <alignment horizontal="center" vertical="center"/>
    </xf>
    <xf numFmtId="0" fontId="127" fillId="0" borderId="238" xfId="0" applyFont="1" applyBorder="1" applyAlignment="1" applyProtection="1">
      <alignment horizontal="center" vertical="center"/>
    </xf>
    <xf numFmtId="0" fontId="127" fillId="34" borderId="361" xfId="0" applyFont="1" applyFill="1" applyBorder="1" applyAlignment="1">
      <alignment horizontal="center" vertical="center"/>
    </xf>
    <xf numFmtId="0" fontId="127" fillId="34" borderId="362" xfId="0" applyFont="1" applyFill="1" applyBorder="1" applyAlignment="1">
      <alignment horizontal="center" vertical="center"/>
    </xf>
    <xf numFmtId="0" fontId="73" fillId="41" borderId="21" xfId="40" applyFont="1" applyFill="1" applyBorder="1" applyAlignment="1">
      <alignment horizontal="center" vertical="top"/>
    </xf>
    <xf numFmtId="0" fontId="73" fillId="41" borderId="15" xfId="40" applyFont="1" applyFill="1" applyBorder="1" applyAlignment="1">
      <alignment vertical="top"/>
    </xf>
    <xf numFmtId="0" fontId="73" fillId="41" borderId="20" xfId="40" applyFont="1" applyFill="1" applyBorder="1" applyAlignment="1">
      <alignment vertical="top"/>
    </xf>
    <xf numFmtId="0" fontId="19" fillId="40" borderId="239" xfId="40" applyFont="1" applyFill="1" applyBorder="1" applyAlignment="1">
      <alignment horizontal="center"/>
    </xf>
    <xf numFmtId="0" fontId="19" fillId="40" borderId="240" xfId="40" applyFont="1" applyFill="1" applyBorder="1" applyAlignment="1">
      <alignment horizontal="center"/>
    </xf>
    <xf numFmtId="0" fontId="32" fillId="25" borderId="10" xfId="40" applyFont="1" applyFill="1" applyBorder="1" applyAlignment="1">
      <alignment horizontal="center"/>
    </xf>
    <xf numFmtId="0" fontId="32" fillId="25" borderId="0" xfId="40" applyFont="1" applyFill="1" applyBorder="1" applyAlignment="1">
      <alignment horizontal="center"/>
    </xf>
    <xf numFmtId="0" fontId="60" fillId="34" borderId="0" xfId="0" applyFont="1" applyFill="1" applyAlignment="1">
      <alignment horizontal="center"/>
    </xf>
    <xf numFmtId="40" fontId="115" fillId="0" borderId="199" xfId="3" applyNumberFormat="1" applyFont="1" applyFill="1" applyBorder="1" applyAlignment="1">
      <alignment vertical="center"/>
    </xf>
    <xf numFmtId="0" fontId="159" fillId="0" borderId="34" xfId="42" applyFill="1" applyBorder="1" applyAlignment="1">
      <alignment vertical="center"/>
    </xf>
    <xf numFmtId="0" fontId="159" fillId="0" borderId="200" xfId="42" applyFill="1" applyBorder="1" applyAlignment="1">
      <alignment vertical="center"/>
    </xf>
    <xf numFmtId="40" fontId="260" fillId="55" borderId="199" xfId="3" applyNumberFormat="1" applyFont="1" applyFill="1" applyBorder="1" applyAlignment="1">
      <alignment vertical="center"/>
    </xf>
    <xf numFmtId="0" fontId="233" fillId="55" borderId="34" xfId="42" applyFont="1" applyFill="1" applyBorder="1" applyAlignment="1">
      <alignment vertical="center"/>
    </xf>
    <xf numFmtId="0" fontId="233" fillId="55" borderId="200" xfId="42" applyFont="1" applyFill="1" applyBorder="1" applyAlignment="1">
      <alignment vertical="center"/>
    </xf>
    <xf numFmtId="169" fontId="147" fillId="50" borderId="35" xfId="3" applyNumberFormat="1" applyFont="1" applyFill="1" applyBorder="1" applyAlignment="1">
      <alignment horizontal="center" vertical="center"/>
    </xf>
    <xf numFmtId="169" fontId="147" fillId="50" borderId="375" xfId="3" applyNumberFormat="1" applyFont="1" applyFill="1" applyBorder="1" applyAlignment="1">
      <alignment horizontal="center" vertical="center"/>
    </xf>
    <xf numFmtId="40" fontId="115" fillId="39" borderId="199" xfId="3" applyNumberFormat="1" applyFont="1" applyFill="1" applyBorder="1" applyAlignment="1">
      <alignment vertical="center"/>
    </xf>
    <xf numFmtId="0" fontId="159" fillId="39" borderId="34" xfId="42" applyFill="1" applyBorder="1" applyAlignment="1">
      <alignment vertical="center"/>
    </xf>
    <xf numFmtId="0" fontId="159" fillId="39" borderId="200" xfId="42" applyFill="1" applyBorder="1" applyAlignment="1">
      <alignment vertical="center"/>
    </xf>
    <xf numFmtId="0" fontId="67" fillId="47" borderId="193" xfId="3" applyFont="1" applyFill="1" applyBorder="1" applyAlignment="1">
      <alignment horizontal="center" vertical="center"/>
    </xf>
    <xf numFmtId="0" fontId="67" fillId="47" borderId="197" xfId="3" applyFont="1" applyFill="1" applyBorder="1" applyAlignment="1">
      <alignment horizontal="center" vertical="center"/>
    </xf>
    <xf numFmtId="0" fontId="67" fillId="47" borderId="63" xfId="3" applyFont="1" applyFill="1" applyBorder="1" applyAlignment="1">
      <alignment horizontal="center" vertical="center"/>
    </xf>
    <xf numFmtId="0" fontId="67" fillId="47" borderId="0" xfId="3" applyFont="1" applyFill="1" applyBorder="1" applyAlignment="1">
      <alignment horizontal="center" vertical="center"/>
    </xf>
    <xf numFmtId="0" fontId="67" fillId="47" borderId="213" xfId="3" applyFont="1" applyFill="1" applyBorder="1" applyAlignment="1">
      <alignment horizontal="center" vertical="center"/>
    </xf>
    <xf numFmtId="0" fontId="67" fillId="47" borderId="214" xfId="3" applyFont="1" applyFill="1" applyBorder="1" applyAlignment="1">
      <alignment horizontal="center" vertical="center"/>
    </xf>
    <xf numFmtId="0" fontId="8" fillId="30" borderId="243" xfId="3" applyFont="1" applyFill="1" applyBorder="1" applyAlignment="1">
      <alignment horizontal="center" vertical="center" wrapText="1"/>
    </xf>
    <xf numFmtId="0" fontId="8" fillId="30" borderId="244" xfId="3" applyFont="1" applyFill="1" applyBorder="1" applyAlignment="1">
      <alignment horizontal="center" vertical="center" wrapText="1"/>
    </xf>
    <xf numFmtId="0" fontId="8" fillId="46" borderId="217" xfId="3" applyFont="1" applyFill="1" applyBorder="1" applyAlignment="1">
      <alignment horizontal="center" vertical="center" wrapText="1"/>
    </xf>
    <xf numFmtId="0" fontId="8" fillId="30" borderId="217" xfId="3" applyFont="1" applyFill="1" applyBorder="1" applyAlignment="1">
      <alignment horizontal="center" vertical="center" wrapText="1"/>
    </xf>
    <xf numFmtId="0" fontId="8" fillId="42" borderId="257" xfId="3" applyFont="1" applyFill="1" applyBorder="1" applyAlignment="1">
      <alignment horizontal="center" vertical="center" textRotation="90"/>
    </xf>
    <xf numFmtId="0" fontId="8" fillId="42" borderId="218" xfId="3" applyFont="1" applyFill="1" applyBorder="1" applyAlignment="1">
      <alignment horizontal="center" vertical="center" textRotation="90"/>
    </xf>
    <xf numFmtId="0" fontId="159" fillId="0" borderId="218" xfId="42" applyBorder="1" applyAlignment="1">
      <alignment horizontal="center" vertical="center" textRotation="90"/>
    </xf>
    <xf numFmtId="0" fontId="159" fillId="0" borderId="219" xfId="42" applyBorder="1" applyAlignment="1">
      <alignment horizontal="center" vertical="center" textRotation="90"/>
    </xf>
    <xf numFmtId="0" fontId="8" fillId="44" borderId="257" xfId="3" applyFont="1" applyFill="1" applyBorder="1" applyAlignment="1">
      <alignment horizontal="center" vertical="center" textRotation="90"/>
    </xf>
    <xf numFmtId="0" fontId="8" fillId="44" borderId="218" xfId="3" applyFont="1" applyFill="1" applyBorder="1" applyAlignment="1">
      <alignment horizontal="center" vertical="center" textRotation="90"/>
    </xf>
    <xf numFmtId="0" fontId="8" fillId="44" borderId="219" xfId="3" applyFont="1" applyFill="1" applyBorder="1" applyAlignment="1">
      <alignment horizontal="center" vertical="center" textRotation="90"/>
    </xf>
    <xf numFmtId="40" fontId="127" fillId="62" borderId="197" xfId="3" applyNumberFormat="1" applyFont="1" applyFill="1" applyBorder="1" applyAlignment="1">
      <alignment horizontal="right" vertical="center"/>
    </xf>
    <xf numFmtId="40" fontId="127" fillId="62" borderId="207" xfId="3" applyNumberFormat="1" applyFont="1" applyFill="1" applyBorder="1" applyAlignment="1">
      <alignment horizontal="right" vertical="center"/>
    </xf>
    <xf numFmtId="40" fontId="127" fillId="54" borderId="197" xfId="3" applyNumberFormat="1" applyFont="1" applyFill="1" applyBorder="1" applyAlignment="1">
      <alignment horizontal="right" vertical="center"/>
    </xf>
    <xf numFmtId="0" fontId="127" fillId="54" borderId="197" xfId="3" applyFont="1" applyFill="1" applyBorder="1" applyAlignment="1">
      <alignment horizontal="right" vertical="center"/>
    </xf>
    <xf numFmtId="0" fontId="127" fillId="54" borderId="198" xfId="3" applyFont="1" applyFill="1" applyBorder="1" applyAlignment="1">
      <alignment horizontal="right" vertical="center"/>
    </xf>
    <xf numFmtId="0" fontId="8" fillId="45" borderId="257" xfId="3" applyFont="1" applyFill="1" applyBorder="1" applyAlignment="1">
      <alignment horizontal="center" vertical="center" textRotation="90"/>
    </xf>
    <xf numFmtId="0" fontId="0" fillId="0" borderId="218" xfId="0" applyBorder="1" applyAlignment="1">
      <alignment horizontal="center" vertical="center" textRotation="90"/>
    </xf>
    <xf numFmtId="40" fontId="8" fillId="45" borderId="207" xfId="3" applyNumberFormat="1" applyFont="1" applyFill="1" applyBorder="1" applyAlignment="1">
      <alignment horizontal="right" vertical="center"/>
    </xf>
    <xf numFmtId="40" fontId="8" fillId="50" borderId="207" xfId="3" applyNumberFormat="1" applyFont="1" applyFill="1" applyBorder="1" applyAlignment="1">
      <alignment horizontal="right" vertical="center"/>
    </xf>
    <xf numFmtId="40" fontId="8" fillId="50" borderId="208" xfId="3" applyNumberFormat="1" applyFont="1" applyFill="1" applyBorder="1" applyAlignment="1">
      <alignment horizontal="right" vertical="center"/>
    </xf>
    <xf numFmtId="0" fontId="16" fillId="33" borderId="257" xfId="3" applyFont="1" applyFill="1" applyBorder="1" applyAlignment="1">
      <alignment vertical="center"/>
    </xf>
    <xf numFmtId="0" fontId="16" fillId="33" borderId="218" xfId="3" applyFont="1" applyFill="1" applyBorder="1" applyAlignment="1">
      <alignment vertical="center"/>
    </xf>
    <xf numFmtId="0" fontId="16" fillId="33" borderId="219" xfId="3" applyFont="1" applyFill="1" applyBorder="1" applyAlignment="1">
      <alignment vertical="center"/>
    </xf>
    <xf numFmtId="0" fontId="67" fillId="27" borderId="253" xfId="3" applyFont="1" applyFill="1" applyBorder="1" applyAlignment="1">
      <alignment horizontal="center" vertical="center"/>
    </xf>
    <xf numFmtId="0" fontId="67" fillId="27" borderId="254" xfId="3" applyFont="1" applyFill="1" applyBorder="1" applyAlignment="1">
      <alignment horizontal="center" vertical="center"/>
    </xf>
    <xf numFmtId="0" fontId="146" fillId="0" borderId="197" xfId="3" applyFont="1" applyBorder="1" applyAlignment="1">
      <alignment horizontal="center" vertical="center" wrapText="1"/>
    </xf>
    <xf numFmtId="0" fontId="146" fillId="0" borderId="214" xfId="3" applyFont="1" applyBorder="1" applyAlignment="1">
      <alignment horizontal="center" vertical="center" wrapText="1"/>
    </xf>
    <xf numFmtId="0" fontId="8" fillId="30" borderId="255" xfId="3" applyFont="1" applyFill="1" applyBorder="1" applyAlignment="1">
      <alignment horizontal="center" vertical="center" wrapText="1"/>
    </xf>
    <xf numFmtId="0" fontId="8" fillId="30" borderId="256" xfId="3" applyFont="1" applyFill="1" applyBorder="1" applyAlignment="1">
      <alignment horizontal="center" vertical="center" wrapText="1"/>
    </xf>
    <xf numFmtId="0" fontId="8" fillId="30" borderId="192" xfId="3" applyFont="1" applyFill="1" applyBorder="1" applyAlignment="1">
      <alignment horizontal="center" vertical="center" wrapText="1"/>
    </xf>
    <xf numFmtId="3" fontId="8" fillId="30" borderId="243" xfId="3" applyNumberFormat="1" applyFont="1" applyFill="1" applyBorder="1" applyAlignment="1">
      <alignment horizontal="center" vertical="center" wrapText="1"/>
    </xf>
    <xf numFmtId="3" fontId="0" fillId="0" borderId="244" xfId="0" applyNumberFormat="1" applyBorder="1" applyAlignment="1">
      <alignment horizontal="center" vertical="center" wrapText="1"/>
    </xf>
    <xf numFmtId="3" fontId="0" fillId="0" borderId="217" xfId="0" applyNumberFormat="1" applyBorder="1" applyAlignment="1">
      <alignment horizontal="center" vertical="center" wrapText="1"/>
    </xf>
    <xf numFmtId="0" fontId="8" fillId="0" borderId="198" xfId="3" applyFont="1" applyBorder="1" applyAlignment="1">
      <alignment horizontal="center" vertical="center"/>
    </xf>
    <xf numFmtId="0" fontId="16" fillId="0" borderId="215" xfId="3" applyFont="1" applyBorder="1" applyAlignment="1">
      <alignment horizontal="center" vertical="center"/>
    </xf>
    <xf numFmtId="0" fontId="0" fillId="0" borderId="218" xfId="0" applyBorder="1" applyAlignment="1"/>
    <xf numFmtId="0" fontId="0" fillId="0" borderId="219" xfId="0" applyBorder="1" applyAlignment="1">
      <alignment horizontal="center" vertical="center" textRotation="90"/>
    </xf>
    <xf numFmtId="0" fontId="0" fillId="0" borderId="244" xfId="0" applyBorder="1" applyAlignment="1">
      <alignment horizontal="center" vertical="center" wrapText="1"/>
    </xf>
    <xf numFmtId="0" fontId="0" fillId="0" borderId="217" xfId="0" applyBorder="1" applyAlignment="1">
      <alignment horizontal="center" vertical="center" wrapText="1"/>
    </xf>
    <xf numFmtId="3" fontId="8" fillId="30" borderId="255" xfId="3" applyNumberFormat="1" applyFont="1" applyFill="1" applyBorder="1" applyAlignment="1">
      <alignment horizontal="center" vertical="center" wrapText="1"/>
    </xf>
    <xf numFmtId="3" fontId="8" fillId="30" borderId="256" xfId="3" applyNumberFormat="1" applyFont="1" applyFill="1" applyBorder="1" applyAlignment="1">
      <alignment horizontal="center" vertical="center" wrapText="1"/>
    </xf>
    <xf numFmtId="3" fontId="8" fillId="30" borderId="192" xfId="3" applyNumberFormat="1" applyFont="1" applyFill="1" applyBorder="1" applyAlignment="1">
      <alignment horizontal="center" vertical="center" wrapText="1"/>
    </xf>
    <xf numFmtId="0" fontId="8" fillId="48" borderId="257" xfId="3" applyFont="1" applyFill="1" applyBorder="1" applyAlignment="1">
      <alignment horizontal="center" vertical="center" textRotation="90"/>
    </xf>
    <xf numFmtId="0" fontId="8" fillId="48" borderId="218" xfId="3" applyFont="1" applyFill="1" applyBorder="1" applyAlignment="1">
      <alignment horizontal="center" vertical="center" textRotation="90"/>
    </xf>
    <xf numFmtId="0" fontId="8" fillId="48" borderId="219" xfId="3" applyFont="1" applyFill="1" applyBorder="1" applyAlignment="1">
      <alignment horizontal="center" vertical="center" textRotation="90"/>
    </xf>
    <xf numFmtId="0" fontId="11" fillId="33" borderId="241" xfId="3" applyFont="1" applyFill="1" applyBorder="1" applyAlignment="1">
      <alignment horizontal="center" vertical="center"/>
    </xf>
    <xf numFmtId="0" fontId="11" fillId="33" borderId="242" xfId="3" applyFont="1" applyFill="1" applyBorder="1" applyAlignment="1">
      <alignment horizontal="center" vertical="center"/>
    </xf>
    <xf numFmtId="0" fontId="178" fillId="40" borderId="243" xfId="39" applyFont="1" applyFill="1" applyBorder="1" applyAlignment="1">
      <alignment horizontal="left" vertical="center"/>
    </xf>
    <xf numFmtId="0" fontId="178" fillId="40" borderId="244" xfId="39" applyFont="1" applyFill="1" applyBorder="1" applyAlignment="1">
      <alignment horizontal="left" vertical="center"/>
    </xf>
    <xf numFmtId="0" fontId="32" fillId="33" borderId="193" xfId="3" applyFont="1" applyFill="1" applyBorder="1" applyAlignment="1">
      <alignment horizontal="center" vertical="center" textRotation="90"/>
    </xf>
    <xf numFmtId="0" fontId="32" fillId="33" borderId="63" xfId="3" applyFont="1" applyFill="1" applyBorder="1" applyAlignment="1">
      <alignment horizontal="center" vertical="center" textRotation="90"/>
    </xf>
    <xf numFmtId="0" fontId="67" fillId="40" borderId="246" xfId="3" applyFont="1" applyFill="1" applyBorder="1" applyAlignment="1">
      <alignment horizontal="left" vertical="center"/>
    </xf>
    <xf numFmtId="0" fontId="67" fillId="40" borderId="247" xfId="3" applyFont="1" applyFill="1" applyBorder="1" applyAlignment="1">
      <alignment horizontal="left" vertical="center"/>
    </xf>
    <xf numFmtId="0" fontId="8" fillId="0" borderId="249" xfId="3" applyFont="1" applyFill="1" applyBorder="1" applyAlignment="1">
      <alignment vertical="center" wrapText="1"/>
    </xf>
    <xf numFmtId="0" fontId="8" fillId="0" borderId="250" xfId="3" applyFont="1" applyFill="1" applyBorder="1" applyAlignment="1">
      <alignment vertical="center" wrapText="1"/>
    </xf>
    <xf numFmtId="0" fontId="8" fillId="0" borderId="191" xfId="3" applyFont="1" applyFill="1" applyBorder="1" applyAlignment="1">
      <alignment horizontal="center" vertical="center" wrapText="1"/>
    </xf>
    <xf numFmtId="0" fontId="8" fillId="0" borderId="251" xfId="3" applyFont="1" applyFill="1" applyBorder="1" applyAlignment="1">
      <alignment horizontal="center" vertical="center" wrapText="1"/>
    </xf>
    <xf numFmtId="0" fontId="258" fillId="0" borderId="197" xfId="3" applyFont="1" applyBorder="1" applyAlignment="1">
      <alignment horizontal="center" vertical="center" wrapText="1"/>
    </xf>
    <xf numFmtId="0" fontId="258" fillId="0" borderId="214" xfId="3" applyFont="1" applyBorder="1" applyAlignment="1">
      <alignment horizontal="center" vertical="center" wrapText="1"/>
    </xf>
    <xf numFmtId="0" fontId="0" fillId="0" borderId="245" xfId="0" applyBorder="1" applyAlignment="1">
      <alignment horizontal="center" vertical="center" wrapText="1"/>
    </xf>
    <xf numFmtId="0" fontId="226" fillId="37" borderId="0" xfId="0" applyFont="1" applyFill="1" applyAlignment="1">
      <alignment horizontal="center"/>
    </xf>
    <xf numFmtId="0" fontId="213" fillId="37" borderId="10" xfId="40" applyFont="1" applyFill="1" applyBorder="1" applyAlignment="1">
      <alignment horizontal="center"/>
    </xf>
    <xf numFmtId="0" fontId="213" fillId="37" borderId="0" xfId="40" applyFont="1" applyFill="1" applyBorder="1" applyAlignment="1">
      <alignment horizontal="center"/>
    </xf>
    <xf numFmtId="0" fontId="179" fillId="37" borderId="27" xfId="40" applyFont="1" applyFill="1" applyBorder="1" applyAlignment="1">
      <alignment horizontal="center" vertical="center" wrapText="1"/>
    </xf>
    <xf numFmtId="0" fontId="179" fillId="37" borderId="31" xfId="40" applyFont="1" applyFill="1" applyBorder="1" applyAlignment="1">
      <alignment horizontal="center" vertical="center" wrapText="1"/>
    </xf>
    <xf numFmtId="0" fontId="179" fillId="37" borderId="26" xfId="40" applyFont="1" applyFill="1" applyBorder="1" applyAlignment="1">
      <alignment horizontal="center" vertical="center" wrapText="1"/>
    </xf>
    <xf numFmtId="0" fontId="159" fillId="37" borderId="27" xfId="40" applyFont="1" applyFill="1" applyBorder="1" applyAlignment="1">
      <alignment horizontal="center" vertical="center"/>
    </xf>
    <xf numFmtId="0" fontId="159" fillId="37" borderId="31" xfId="40" applyFont="1" applyFill="1" applyBorder="1" applyAlignment="1">
      <alignment horizontal="center" vertical="center"/>
    </xf>
    <xf numFmtId="0" fontId="159" fillId="37" borderId="26" xfId="40" applyFont="1" applyFill="1" applyBorder="1" applyAlignment="1">
      <alignment horizontal="center" vertical="center"/>
    </xf>
    <xf numFmtId="0" fontId="213" fillId="37" borderId="0" xfId="0" applyFont="1" applyFill="1" applyBorder="1" applyAlignment="1">
      <alignment horizontal="center" vertical="center" wrapText="1"/>
    </xf>
    <xf numFmtId="0" fontId="213" fillId="37" borderId="53" xfId="0" applyFont="1" applyFill="1" applyBorder="1" applyAlignment="1">
      <alignment horizontal="center" vertical="center" wrapText="1"/>
    </xf>
    <xf numFmtId="0" fontId="163" fillId="40" borderId="0" xfId="0" applyFont="1" applyFill="1" applyBorder="1" applyAlignment="1">
      <alignment horizontal="center" vertical="center" wrapText="1"/>
    </xf>
    <xf numFmtId="0" fontId="163" fillId="40" borderId="53" xfId="0" applyFont="1" applyFill="1" applyBorder="1" applyAlignment="1">
      <alignment horizontal="center" vertical="center" wrapText="1"/>
    </xf>
    <xf numFmtId="0" fontId="17" fillId="0" borderId="27" xfId="40" applyFont="1" applyBorder="1" applyAlignment="1">
      <alignment horizontal="center" vertical="center" wrapText="1"/>
    </xf>
    <xf numFmtId="0" fontId="17" fillId="0" borderId="31" xfId="40" applyFont="1" applyBorder="1" applyAlignment="1">
      <alignment horizontal="center" vertical="center" wrapText="1"/>
    </xf>
    <xf numFmtId="0" fontId="17" fillId="0" borderId="26" xfId="40" applyFont="1" applyBorder="1" applyAlignment="1">
      <alignment horizontal="center" vertical="center" wrapText="1"/>
    </xf>
    <xf numFmtId="0" fontId="22" fillId="0" borderId="27" xfId="40" applyFont="1" applyBorder="1" applyAlignment="1">
      <alignment horizontal="center" vertical="center"/>
    </xf>
    <xf numFmtId="0" fontId="22" fillId="0" borderId="31" xfId="40" applyFont="1" applyBorder="1" applyAlignment="1">
      <alignment horizontal="center" vertical="center"/>
    </xf>
    <xf numFmtId="0" fontId="22" fillId="0" borderId="26" xfId="40" applyFont="1" applyBorder="1" applyAlignment="1">
      <alignment horizontal="center" vertical="center"/>
    </xf>
    <xf numFmtId="0" fontId="6" fillId="34" borderId="0" xfId="0" applyFont="1" applyFill="1" applyAlignment="1">
      <alignment horizontal="center"/>
    </xf>
    <xf numFmtId="0" fontId="12" fillId="25" borderId="332" xfId="0" applyFont="1" applyFill="1" applyBorder="1" applyAlignment="1">
      <alignment horizontal="center"/>
    </xf>
    <xf numFmtId="0" fontId="12" fillId="25" borderId="333" xfId="0" applyFont="1" applyFill="1" applyBorder="1" applyAlignment="1">
      <alignment horizontal="center"/>
    </xf>
    <xf numFmtId="0" fontId="12" fillId="25" borderId="334" xfId="0" applyFont="1" applyFill="1" applyBorder="1" applyAlignment="1">
      <alignment horizontal="center"/>
    </xf>
    <xf numFmtId="0" fontId="123" fillId="21" borderId="230" xfId="43" applyFont="1" applyFill="1" applyBorder="1" applyAlignment="1">
      <alignment horizontal="center"/>
    </xf>
    <xf numFmtId="0" fontId="123" fillId="21" borderId="231" xfId="43" applyFont="1" applyFill="1" applyBorder="1" applyAlignment="1">
      <alignment horizontal="center"/>
    </xf>
    <xf numFmtId="0" fontId="123" fillId="21" borderId="232" xfId="43" applyFont="1" applyFill="1" applyBorder="1" applyAlignment="1">
      <alignment horizontal="center"/>
    </xf>
    <xf numFmtId="0" fontId="1" fillId="0" borderId="0" xfId="245" applyFont="1"/>
    <xf numFmtId="264" fontId="5" fillId="0" borderId="0" xfId="245" applyNumberFormat="1"/>
    <xf numFmtId="247" fontId="5" fillId="0" borderId="0" xfId="245" applyNumberFormat="1"/>
    <xf numFmtId="3" fontId="5" fillId="0" borderId="0" xfId="245" applyNumberFormat="1"/>
  </cellXfs>
  <cellStyles count="253">
    <cellStyle name="%" xfId="1"/>
    <cellStyle name="% 2" xfId="2"/>
    <cellStyle name="% 3" xfId="3"/>
    <cellStyle name="%_BP Extension Jazlovice Crown (29-11-10)" xfId="4"/>
    <cellStyle name="%_BP Extension Jazlovice Crown (29-11-10)_Copia de Note Engagement DSF-NOT-2012-0008" xfId="111"/>
    <cellStyle name="%_chffrage_gws_combiné_transition_filiales_NE_9" xfId="5"/>
    <cellStyle name="%_chffrage_gws_combiné_transition_filiales_NE_9_Copia de Note Engagement DSF-NOT-2012-0008" xfId="112"/>
    <cellStyle name="%_Copia de Note Engagement DSF-NOT-2012-0008" xfId="113"/>
    <cellStyle name="%_Prev Custos MAF-MEP" xfId="6"/>
    <cellStyle name="%_Prev Custos MAF-MEP_Copia de Note Engagement DSF-NOT-2012-0008" xfId="114"/>
    <cellStyle name="?" xfId="115"/>
    <cellStyle name="_Column1" xfId="116"/>
    <cellStyle name="_Data" xfId="117"/>
    <cellStyle name="_Header" xfId="118"/>
    <cellStyle name="_Row1" xfId="119"/>
    <cellStyle name="0,0_x000d__x000a_NA_x000d__x000a_" xfId="120"/>
    <cellStyle name="20% - Accent1" xfId="7"/>
    <cellStyle name="20% - Accent2" xfId="8"/>
    <cellStyle name="20% - Accent3" xfId="9"/>
    <cellStyle name="20% - Accent4" xfId="10"/>
    <cellStyle name="20% - Accent5" xfId="11"/>
    <cellStyle name="20% - Accent6" xfId="12"/>
    <cellStyle name="20% - akcent 1" xfId="59"/>
    <cellStyle name="20% - akcent 2" xfId="60"/>
    <cellStyle name="20% - akcent 3" xfId="61"/>
    <cellStyle name="20% - akcent 4" xfId="62"/>
    <cellStyle name="20% - akcent 5" xfId="63"/>
    <cellStyle name="20% - akcent 6" xfId="64"/>
    <cellStyle name="40% - Accent1" xfId="13"/>
    <cellStyle name="40% - Accent2" xfId="14"/>
    <cellStyle name="40% - Accent3" xfId="15"/>
    <cellStyle name="40% - Accent4" xfId="16"/>
    <cellStyle name="40% - Accent5" xfId="17"/>
    <cellStyle name="40% - Accent6" xfId="18"/>
    <cellStyle name="40% - akcent 1" xfId="65"/>
    <cellStyle name="40% - akcent 2" xfId="66"/>
    <cellStyle name="40% - akcent 3" xfId="67"/>
    <cellStyle name="40% - akcent 4" xfId="68"/>
    <cellStyle name="40% - akcent 5" xfId="69"/>
    <cellStyle name="40% - akcent 6" xfId="70"/>
    <cellStyle name="60% - Accent1" xfId="19"/>
    <cellStyle name="60% - Accent2" xfId="20"/>
    <cellStyle name="60% - Accent3" xfId="21"/>
    <cellStyle name="60% - Accent4" xfId="22"/>
    <cellStyle name="60% - Accent5" xfId="23"/>
    <cellStyle name="60% - Accent6" xfId="24"/>
    <cellStyle name="60% - akcent 1" xfId="71"/>
    <cellStyle name="60% - akcent 2" xfId="72"/>
    <cellStyle name="60% - akcent 3" xfId="73"/>
    <cellStyle name="60% - akcent 4" xfId="74"/>
    <cellStyle name="60% - akcent 5" xfId="75"/>
    <cellStyle name="60% - akcent 6" xfId="76"/>
    <cellStyle name="activite" xfId="121"/>
    <cellStyle name="Akcent 1" xfId="77"/>
    <cellStyle name="Akcent 2" xfId="78"/>
    <cellStyle name="Akcent 3" xfId="79"/>
    <cellStyle name="Akcent 4" xfId="80"/>
    <cellStyle name="Akcent 5" xfId="81"/>
    <cellStyle name="Akcent 6" xfId="82"/>
    <cellStyle name="ans" xfId="122"/>
    <cellStyle name="Bad" xfId="35"/>
    <cellStyle name="Calculation" xfId="31"/>
    <cellStyle name="CCS_Normal" xfId="32"/>
    <cellStyle name="Celda vinculada" xfId="159" builtinId="24" customBuiltin="1"/>
    <cellStyle name="Check Cell" xfId="55"/>
    <cellStyle name="cmh" xfId="123"/>
    <cellStyle name="col" xfId="124"/>
    <cellStyle name="col/h" xfId="125"/>
    <cellStyle name="Comma 2" xfId="33"/>
    <cellStyle name="Comma 3" xfId="248"/>
    <cellStyle name="Currency 2" xfId="126"/>
    <cellStyle name="Currency 3" xfId="249"/>
    <cellStyle name="Dane wejściowe" xfId="83"/>
    <cellStyle name="Dane wyjściowe" xfId="84"/>
    <cellStyle name="dmh" xfId="127"/>
    <cellStyle name="Dobre" xfId="85"/>
    <cellStyle name="Emploi" xfId="128"/>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148" builtinId="20" customBuiltin="1"/>
    <cellStyle name="Estilo 1" xfId="103"/>
    <cellStyle name="Euro" xfId="34"/>
    <cellStyle name="Explanatory Text" xfId="48"/>
    <cellStyle name="F" xfId="129"/>
    <cellStyle name="F2" xfId="130"/>
    <cellStyle name="F3" xfId="131"/>
    <cellStyle name="F4" xfId="132"/>
    <cellStyle name="F5" xfId="133"/>
    <cellStyle name="F6" xfId="134"/>
    <cellStyle name="F7" xfId="135"/>
    <cellStyle name="F8" xfId="136"/>
    <cellStyle name="Followed Hyperlink" xfId="137"/>
    <cellStyle name="g" xfId="138"/>
    <cellStyle name="gamme" xfId="139"/>
    <cellStyle name="Good" xfId="45"/>
    <cellStyle name="Grey" xfId="140"/>
    <cellStyle name="h" xfId="141"/>
    <cellStyle name="h/j" xfId="142"/>
    <cellStyle name="Header1" xfId="143"/>
    <cellStyle name="Header2" xfId="144"/>
    <cellStyle name="Heading" xfId="145"/>
    <cellStyle name="Heading 1" xfId="50"/>
    <cellStyle name="Heading 2" xfId="51"/>
    <cellStyle name="Heading 3" xfId="52"/>
    <cellStyle name="Heading 4" xfId="53"/>
    <cellStyle name="Hipervínculo" xfId="146" builtinId="8"/>
    <cellStyle name="Hipervínculo 2" xfId="110"/>
    <cellStyle name="Hyperlink 2" xfId="251"/>
    <cellStyle name="Indicateur" xfId="147"/>
    <cellStyle name="Input [yellow]" xfId="149"/>
    <cellStyle name="j" xfId="150"/>
    <cellStyle name="k€" xfId="151"/>
    <cellStyle name="kf" xfId="152"/>
    <cellStyle name="kg" xfId="153"/>
    <cellStyle name="km" xfId="154"/>
    <cellStyle name="Komórka połączona" xfId="86"/>
    <cellStyle name="Komórka zaznaczona" xfId="87"/>
    <cellStyle name="l" xfId="155"/>
    <cellStyle name="lig" xfId="156"/>
    <cellStyle name="ligneActivite" xfId="157"/>
    <cellStyle name="ligneTotal" xfId="158"/>
    <cellStyle name="m" xfId="160"/>
    <cellStyle name="m/s" xfId="161"/>
    <cellStyle name="m²" xfId="162"/>
    <cellStyle name="m3" xfId="163"/>
    <cellStyle name="mf" xfId="164"/>
    <cellStyle name="Millares" xfId="36" builtinId="3"/>
    <cellStyle name="Millares 2" xfId="244"/>
    <cellStyle name="Milliers_Budget_RD" xfId="165"/>
    <cellStyle name="min" xfId="166"/>
    <cellStyle name="mm" xfId="167"/>
    <cellStyle name="Moeda [0]_aola" xfId="168"/>
    <cellStyle name="Moeda_aola" xfId="169"/>
    <cellStyle name="Moneda" xfId="252" builtinId="4"/>
    <cellStyle name="Moneda 2" xfId="170"/>
    <cellStyle name="Monétaire 2" xfId="37"/>
    <cellStyle name="Nagłówek 1" xfId="88"/>
    <cellStyle name="Nagłówek 2" xfId="89"/>
    <cellStyle name="Nagłówek 3" xfId="90"/>
    <cellStyle name="Nagłówek 4" xfId="91"/>
    <cellStyle name="Nature" xfId="171"/>
    <cellStyle name="Neutral" xfId="38"/>
    <cellStyle name="Neutralne" xfId="92"/>
    <cellStyle name="Normal" xfId="0" builtinId="0"/>
    <cellStyle name="Normal - Style1" xfId="172"/>
    <cellStyle name="Normal 2" xfId="39"/>
    <cellStyle name="Normal 2 2" xfId="173"/>
    <cellStyle name="Normal 2_Copia de Note Engagement DSF-NOT-2012-0008" xfId="174"/>
    <cellStyle name="Normal 2_PLANILLA MODELO BP1" xfId="109"/>
    <cellStyle name="Normal 3" xfId="40"/>
    <cellStyle name="Normal 4" xfId="41"/>
    <cellStyle name="Normal 4 2" xfId="42"/>
    <cellStyle name="Normal 4_Copia de Note Engagement DSF-NOT-2012-0008" xfId="175"/>
    <cellStyle name="Normal 5" xfId="58"/>
    <cellStyle name="Normal 6" xfId="245"/>
    <cellStyle name="Normal 7" xfId="247"/>
    <cellStyle name="Normal_BP_PRA07_001-00" xfId="106"/>
    <cellStyle name="Normal_Cotización de Proyectos GM - Proy" xfId="108"/>
    <cellStyle name="Normal_Deposito Goodyear - MO" xfId="105"/>
    <cellStyle name="Normal_Kazakhstan Budget" xfId="43"/>
    <cellStyle name="Normal_Modèles Excel" xfId="102"/>
    <cellStyle name="Normal_NP-004-JIT_asientos_Googyear x 24_20080103" xfId="107"/>
    <cellStyle name="Normal_PLANILLA MODELO BP1" xfId="104"/>
    <cellStyle name="Normal_PWC Table Wizard" xfId="101"/>
    <cellStyle name="Normale_BDGWKFEB" xfId="176"/>
    <cellStyle name="normální_260301surfacebumper_MK" xfId="177"/>
    <cellStyle name="Notas" xfId="180" builtinId="10" customBuiltin="1"/>
    <cellStyle name="Notas 2" xfId="178"/>
    <cellStyle name="Notas 3" xfId="179"/>
    <cellStyle name="Numeros" xfId="181"/>
    <cellStyle name="Obliczenia" xfId="93"/>
    <cellStyle name="op" xfId="182"/>
    <cellStyle name="Output" xfId="46"/>
    <cellStyle name="p" xfId="183"/>
    <cellStyle name="pal" xfId="184"/>
    <cellStyle name="pal/j" xfId="185"/>
    <cellStyle name="Percent (0)" xfId="186"/>
    <cellStyle name="Percent [2]" xfId="187"/>
    <cellStyle name="Percent 2" xfId="94"/>
    <cellStyle name="Percent 3" xfId="250"/>
    <cellStyle name="pièce" xfId="188"/>
    <cellStyle name="Porcentual" xfId="44" builtinId="5"/>
    <cellStyle name="Porcentual 2" xfId="189"/>
    <cellStyle name="Porcentual 3" xfId="246"/>
    <cellStyle name="process" xfId="190"/>
    <cellStyle name="Puntos" xfId="191"/>
    <cellStyle name="Resultados" xfId="192"/>
    <cellStyle name="s" xfId="193"/>
    <cellStyle name="s_A2AVENTIS" xfId="194"/>
    <cellStyle name="Saisie" xfId="195"/>
    <cellStyle name="SAPBEXaggData" xfId="196"/>
    <cellStyle name="SAPBEXaggDataEmph" xfId="197"/>
    <cellStyle name="SAPBEXaggItem" xfId="198"/>
    <cellStyle name="SAPBEXaggItemX" xfId="199"/>
    <cellStyle name="SAPBEXchaText" xfId="200"/>
    <cellStyle name="SAPBEXexcBad7" xfId="201"/>
    <cellStyle name="SAPBEXexcBad8" xfId="202"/>
    <cellStyle name="SAPBEXexcBad9" xfId="203"/>
    <cellStyle name="SAPBEXexcCritical4" xfId="204"/>
    <cellStyle name="SAPBEXexcCritical5" xfId="205"/>
    <cellStyle name="SAPBEXexcCritical6" xfId="206"/>
    <cellStyle name="SAPBEXexcGood1" xfId="207"/>
    <cellStyle name="SAPBEXexcGood2" xfId="208"/>
    <cellStyle name="SAPBEXexcGood3" xfId="209"/>
    <cellStyle name="SAPBEXfilterDrill" xfId="210"/>
    <cellStyle name="SAPBEXfilterItem" xfId="211"/>
    <cellStyle name="SAPBEXfilterText" xfId="212"/>
    <cellStyle name="SAPBEXformats" xfId="213"/>
    <cellStyle name="SAPBEXheaderItem" xfId="214"/>
    <cellStyle name="SAPBEXheaderText" xfId="215"/>
    <cellStyle name="SAPBEXHLevel0" xfId="216"/>
    <cellStyle name="SAPBEXHLevel0X" xfId="217"/>
    <cellStyle name="SAPBEXHLevel1" xfId="218"/>
    <cellStyle name="SAPBEXHLevel1X" xfId="219"/>
    <cellStyle name="SAPBEXHLevel2" xfId="220"/>
    <cellStyle name="SAPBEXHLevel2X" xfId="221"/>
    <cellStyle name="SAPBEXHLevel3" xfId="222"/>
    <cellStyle name="SAPBEXHLevel3X" xfId="223"/>
    <cellStyle name="SAPBEXresData" xfId="224"/>
    <cellStyle name="SAPBEXresDataEmph" xfId="225"/>
    <cellStyle name="SAPBEXresItem" xfId="226"/>
    <cellStyle name="SAPBEXresItemX" xfId="227"/>
    <cellStyle name="SAPBEXstdData" xfId="228"/>
    <cellStyle name="SAPBEXstdDataEmph" xfId="229"/>
    <cellStyle name="SAPBEXstdItem" xfId="230"/>
    <cellStyle name="SAPBEXstdItemX" xfId="231"/>
    <cellStyle name="SAPBEXtitle" xfId="232"/>
    <cellStyle name="SAPBEXundefined" xfId="233"/>
    <cellStyle name="Separador de milhares [0]_Person" xfId="234"/>
    <cellStyle name="Separador de milhares_Person" xfId="235"/>
    <cellStyle name="Standard" xfId="236"/>
    <cellStyle name="Style 1" xfId="47"/>
    <cellStyle name="Suma" xfId="95"/>
    <cellStyle name="Tekst objaśnienia" xfId="96"/>
    <cellStyle name="Tekst ostrzeżenia" xfId="97"/>
    <cellStyle name="Texto de advertencia" xfId="239" builtinId="11" customBuiltin="1"/>
    <cellStyle name="Tickmark" xfId="237"/>
    <cellStyle name="Title" xfId="49"/>
    <cellStyle name="Titre_Copia de Note Engagement DSF-NOT-2012-0008" xfId="238"/>
    <cellStyle name="Total" xfId="54" builtinId="25" customBuiltin="1"/>
    <cellStyle name="Tytuł" xfId="98"/>
    <cellStyle name="Uwaga" xfId="99"/>
    <cellStyle name="Währung [0]_IT-Budget 2002" xfId="56"/>
    <cellStyle name="Währung_IT-Budget 2002" xfId="57"/>
    <cellStyle name="Złe" xfId="100"/>
    <cellStyle name="콤마 [0]_관리항목_업종별 " xfId="240"/>
    <cellStyle name="콤마_관리항목_업종별 " xfId="241"/>
    <cellStyle name="표준_CF00_LGEAR_Logistic CBM Brief" xfId="242"/>
    <cellStyle name="常规_零件清单10月4日" xfId="243"/>
  </cellStyles>
  <dxfs count="117">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ont>
        <b val="0"/>
        <i val="0"/>
        <condense val="0"/>
        <extend val="0"/>
      </font>
      <fill>
        <patternFill>
          <bgColor indexed="11"/>
        </patternFill>
      </fill>
    </dxf>
    <dxf>
      <font>
        <b val="0"/>
        <i val="0"/>
        <condense val="0"/>
        <extend val="0"/>
      </font>
      <fill>
        <patternFill>
          <bgColor indexed="11"/>
        </patternFill>
      </fill>
    </dxf>
    <dxf>
      <fill>
        <patternFill>
          <bgColor indexed="11"/>
        </patternFill>
      </fill>
    </dxf>
    <dxf>
      <fill>
        <patternFill>
          <bgColor indexed="52"/>
        </patternFill>
      </fill>
    </dxf>
    <dxf>
      <fill>
        <patternFill>
          <bgColor indexed="11"/>
        </patternFill>
      </fill>
    </dxf>
    <dxf>
      <fill>
        <patternFill>
          <bgColor indexed="51"/>
        </patternFill>
      </fill>
    </dxf>
    <dxf>
      <fill>
        <patternFill>
          <bgColor indexed="22"/>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2D050"/>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9FF99"/>
        </patternFill>
      </fill>
    </dxf>
    <dxf>
      <font>
        <color auto="1"/>
      </font>
      <fill>
        <patternFill>
          <bgColor rgb="FF99FF99"/>
        </patternFill>
      </fill>
    </dxf>
    <dxf>
      <font>
        <color auto="1"/>
      </font>
      <fill>
        <patternFill>
          <bgColor rgb="FF99FF99"/>
        </patternFill>
      </fill>
    </dxf>
    <dxf>
      <font>
        <color rgb="FF00B050"/>
      </font>
      <fill>
        <patternFill>
          <bgColor rgb="FFFF9900"/>
        </patternFill>
      </fill>
    </dxf>
    <dxf>
      <fill>
        <patternFill>
          <bgColor rgb="FF92D050"/>
        </patternFill>
      </fill>
    </dxf>
    <dxf>
      <fill>
        <patternFill>
          <bgColor rgb="FF92D050"/>
        </patternFill>
      </fill>
    </dxf>
    <dxf>
      <fill>
        <patternFill>
          <bgColor rgb="FF92D050"/>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s>
  <tableStyles count="0" defaultTableStyle="TableStyleMedium9" defaultPivotStyle="PivotStyleLight16"/>
  <colors>
    <mruColors>
      <color rgb="FF99FF99"/>
      <color rgb="FFD2AA00"/>
      <color rgb="FFFFFF99"/>
      <color rgb="FF66FF99"/>
      <color rgb="FF99FF66"/>
      <color rgb="FF66FF66"/>
      <color rgb="FFCCFFCC"/>
      <color rgb="FFFFCC66"/>
      <color rgb="FF99CCFF"/>
      <color rgb="FFFFFF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66" Type="http://schemas.openxmlformats.org/officeDocument/2006/relationships/externalLink" Target="externalLinks/externalLink23.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87" Type="http://schemas.openxmlformats.org/officeDocument/2006/relationships/externalLink" Target="externalLinks/externalLink44.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title>
      <c:txPr>
        <a:bodyPr/>
        <a:lstStyle/>
        <a:p>
          <a:pPr>
            <a:defRPr sz="1600"/>
          </a:pPr>
          <a:endParaRPr lang="es-AR"/>
        </a:p>
      </c:txPr>
    </c:title>
    <c:plotArea>
      <c:layout/>
      <c:lineChart>
        <c:grouping val="standard"/>
        <c:ser>
          <c:idx val="0"/>
          <c:order val="0"/>
          <c:tx>
            <c:strRef>
              <c:f>Pendientes!$I$38</c:f>
              <c:strCache>
                <c:ptCount val="1"/>
                <c:pt idx="0">
                  <c:v>Curva de demanda (silla)</c:v>
                </c:pt>
              </c:strCache>
            </c:strRef>
          </c:tx>
          <c:spPr>
            <a:ln cap="sq"/>
          </c:spPr>
          <c:marker>
            <c:symbol val="x"/>
            <c:size val="5"/>
          </c:marker>
          <c:cat>
            <c:strRef>
              <c:f>Pendientes!$J$39:$J$43</c:f>
              <c:strCache>
                <c:ptCount val="5"/>
                <c:pt idx="0">
                  <c:v>&lt;$600</c:v>
                </c:pt>
                <c:pt idx="1">
                  <c:v>600-900</c:v>
                </c:pt>
                <c:pt idx="2">
                  <c:v>900-1200</c:v>
                </c:pt>
                <c:pt idx="3">
                  <c:v>1200-1500</c:v>
                </c:pt>
                <c:pt idx="4">
                  <c:v>&gt;$1500</c:v>
                </c:pt>
              </c:strCache>
            </c:strRef>
          </c:cat>
          <c:val>
            <c:numRef>
              <c:f>Pendientes!$I$39:$I$43</c:f>
              <c:numCache>
                <c:formatCode>0%</c:formatCode>
                <c:ptCount val="5"/>
                <c:pt idx="0">
                  <c:v>1</c:v>
                </c:pt>
                <c:pt idx="1">
                  <c:v>0.9</c:v>
                </c:pt>
                <c:pt idx="2">
                  <c:v>0.5</c:v>
                </c:pt>
                <c:pt idx="3">
                  <c:v>0.1</c:v>
                </c:pt>
                <c:pt idx="4">
                  <c:v>0.1</c:v>
                </c:pt>
              </c:numCache>
            </c:numRef>
          </c:val>
        </c:ser>
        <c:marker val="1"/>
        <c:axId val="48435584"/>
        <c:axId val="48437120"/>
      </c:lineChart>
      <c:catAx>
        <c:axId val="48435584"/>
        <c:scaling>
          <c:orientation val="minMax"/>
        </c:scaling>
        <c:axPos val="b"/>
        <c:tickLblPos val="nextTo"/>
        <c:crossAx val="48437120"/>
        <c:crosses val="autoZero"/>
        <c:auto val="1"/>
        <c:lblAlgn val="ctr"/>
        <c:lblOffset val="100"/>
      </c:catAx>
      <c:valAx>
        <c:axId val="48437120"/>
        <c:scaling>
          <c:orientation val="minMax"/>
          <c:max val="1"/>
        </c:scaling>
        <c:axPos val="l"/>
        <c:majorGridlines/>
        <c:numFmt formatCode="0%" sourceLinked="1"/>
        <c:tickLblPos val="nextTo"/>
        <c:crossAx val="48435584"/>
        <c:crosses val="autoZero"/>
        <c:crossBetween val="between"/>
      </c:valAx>
    </c:plotArea>
    <c:plotVisOnly val="1"/>
  </c:chart>
  <c:spPr>
    <a:ln>
      <a:noFill/>
    </a:ln>
  </c:sp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a:pPr>
            <a:r>
              <a:rPr lang="en-US"/>
              <a:t>Matrice des principaux risques du projet</a:t>
            </a:r>
          </a:p>
        </c:rich>
      </c:tx>
      <c:spPr>
        <a:noFill/>
      </c:spPr>
    </c:title>
    <c:plotArea>
      <c:layout>
        <c:manualLayout>
          <c:layoutTarget val="inner"/>
          <c:xMode val="edge"/>
          <c:yMode val="edge"/>
          <c:x val="0.18872792099931246"/>
          <c:y val="0.10371196012207953"/>
          <c:w val="0.64055092798224456"/>
          <c:h val="0.55188621069364963"/>
        </c:manualLayout>
      </c:layout>
      <c:scatterChart>
        <c:scatterStyle val="lineMarker"/>
        <c:ser>
          <c:idx val="0"/>
          <c:order val="0"/>
          <c:tx>
            <c:strRef>
              <c:f>Risques!$B$9</c:f>
              <c:strCache>
                <c:ptCount val="1"/>
                <c:pt idx="0">
                  <c:v>Pilotage</c:v>
                </c:pt>
              </c:strCache>
            </c:strRef>
          </c:tx>
          <c:spPr>
            <a:ln w="28575">
              <a:noFill/>
            </a:ln>
          </c:spPr>
          <c:xVal>
            <c:numRef>
              <c:f>Risques!$E$9</c:f>
              <c:numCache>
                <c:formatCode>General</c:formatCode>
                <c:ptCount val="1"/>
              </c:numCache>
            </c:numRef>
          </c:xVal>
          <c:yVal>
            <c:numRef>
              <c:f>Risques!$D$9</c:f>
              <c:numCache>
                <c:formatCode>General</c:formatCode>
                <c:ptCount val="1"/>
              </c:numCache>
            </c:numRef>
          </c:yVal>
        </c:ser>
        <c:ser>
          <c:idx val="1"/>
          <c:order val="1"/>
          <c:tx>
            <c:strRef>
              <c:f>Risques!$B$10</c:f>
              <c:strCache>
                <c:ptCount val="1"/>
                <c:pt idx="0">
                  <c:v>Gestion administrative et finances</c:v>
                </c:pt>
              </c:strCache>
            </c:strRef>
          </c:tx>
          <c:spPr>
            <a:ln w="28575">
              <a:noFill/>
            </a:ln>
          </c:spPr>
          <c:xVal>
            <c:numRef>
              <c:f>Risques!$E$10</c:f>
              <c:numCache>
                <c:formatCode>General</c:formatCode>
                <c:ptCount val="1"/>
              </c:numCache>
            </c:numRef>
          </c:xVal>
          <c:yVal>
            <c:numRef>
              <c:f>Risques!$D$10</c:f>
              <c:numCache>
                <c:formatCode>General</c:formatCode>
                <c:ptCount val="1"/>
              </c:numCache>
            </c:numRef>
          </c:yVal>
        </c:ser>
        <c:ser>
          <c:idx val="2"/>
          <c:order val="2"/>
          <c:tx>
            <c:strRef>
              <c:f>Risques!$B$11</c:f>
              <c:strCache>
                <c:ptCount val="1"/>
                <c:pt idx="0">
                  <c:v>Juridique</c:v>
                </c:pt>
              </c:strCache>
            </c:strRef>
          </c:tx>
          <c:spPr>
            <a:ln w="28575">
              <a:noFill/>
            </a:ln>
          </c:spPr>
          <c:xVal>
            <c:numRef>
              <c:f>Risques!$E$11</c:f>
              <c:numCache>
                <c:formatCode>General</c:formatCode>
                <c:ptCount val="1"/>
              </c:numCache>
            </c:numRef>
          </c:xVal>
          <c:yVal>
            <c:numRef>
              <c:f>Risques!$D$11</c:f>
              <c:numCache>
                <c:formatCode>General</c:formatCode>
                <c:ptCount val="1"/>
              </c:numCache>
            </c:numRef>
          </c:yVal>
        </c:ser>
        <c:ser>
          <c:idx val="5"/>
          <c:order val="3"/>
          <c:tx>
            <c:strRef>
              <c:f>Risques!#REF!</c:f>
              <c:strCache>
                <c:ptCount val="1"/>
                <c:pt idx="0">
                  <c:v>#REF!</c:v>
                </c:pt>
              </c:strCache>
            </c:strRef>
          </c:tx>
          <c:spPr>
            <a:ln w="28575">
              <a:noFill/>
            </a:ln>
          </c:spPr>
          <c:xVal>
            <c:numRef>
              <c:f>Risques!#REF!</c:f>
            </c:numRef>
          </c:xVal>
          <c:yVal>
            <c:numRef>
              <c:f>Risques!#REF!</c:f>
              <c:numCache>
                <c:formatCode>General</c:formatCode>
                <c:ptCount val="1"/>
                <c:pt idx="0">
                  <c:v>1</c:v>
                </c:pt>
              </c:numCache>
            </c:numRef>
          </c:yVal>
        </c:ser>
        <c:ser>
          <c:idx val="6"/>
          <c:order val="4"/>
          <c:tx>
            <c:strRef>
              <c:f>Risques!$B$12</c:f>
              <c:strCache>
                <c:ptCount val="1"/>
                <c:pt idx="0">
                  <c:v>Systèmes d'information</c:v>
                </c:pt>
              </c:strCache>
            </c:strRef>
          </c:tx>
          <c:spPr>
            <a:ln w="28575">
              <a:noFill/>
            </a:ln>
          </c:spPr>
          <c:xVal>
            <c:numRef>
              <c:f>Risques!$E$12</c:f>
              <c:numCache>
                <c:formatCode>General</c:formatCode>
                <c:ptCount val="1"/>
              </c:numCache>
            </c:numRef>
          </c:xVal>
          <c:yVal>
            <c:numRef>
              <c:f>Risques!$D$12</c:f>
              <c:numCache>
                <c:formatCode>General</c:formatCode>
                <c:ptCount val="1"/>
              </c:numCache>
            </c:numRef>
          </c:yVal>
        </c:ser>
        <c:ser>
          <c:idx val="7"/>
          <c:order val="5"/>
          <c:tx>
            <c:strRef>
              <c:f>Risques!$B$13</c:f>
              <c:strCache>
                <c:ptCount val="1"/>
                <c:pt idx="0">
                  <c:v>Projet</c:v>
                </c:pt>
              </c:strCache>
            </c:strRef>
          </c:tx>
          <c:spPr>
            <a:ln w="28575">
              <a:noFill/>
            </a:ln>
          </c:spPr>
          <c:xVal>
            <c:numRef>
              <c:f>Risques!$E$13</c:f>
              <c:numCache>
                <c:formatCode>General</c:formatCode>
                <c:ptCount val="1"/>
              </c:numCache>
            </c:numRef>
          </c:xVal>
          <c:yVal>
            <c:numRef>
              <c:f>Risques!$D$13</c:f>
              <c:numCache>
                <c:formatCode>General</c:formatCode>
                <c:ptCount val="1"/>
              </c:numCache>
            </c:numRef>
          </c:yVal>
        </c:ser>
        <c:ser>
          <c:idx val="8"/>
          <c:order val="6"/>
          <c:tx>
            <c:strRef>
              <c:f>Risques!$B$14</c:f>
              <c:strCache>
                <c:ptCount val="1"/>
                <c:pt idx="0">
                  <c:v>Client, commerce, service</c:v>
                </c:pt>
              </c:strCache>
            </c:strRef>
          </c:tx>
          <c:spPr>
            <a:ln w="28575">
              <a:noFill/>
            </a:ln>
          </c:spPr>
          <c:xVal>
            <c:numRef>
              <c:f>Risques!$E$14</c:f>
              <c:numCache>
                <c:formatCode>General</c:formatCode>
                <c:ptCount val="1"/>
              </c:numCache>
            </c:numRef>
          </c:xVal>
          <c:yVal>
            <c:numRef>
              <c:f>Risques!$D$14</c:f>
              <c:numCache>
                <c:formatCode>General</c:formatCode>
                <c:ptCount val="1"/>
              </c:numCache>
            </c:numRef>
          </c:yVal>
        </c:ser>
        <c:ser>
          <c:idx val="9"/>
          <c:order val="7"/>
          <c:tx>
            <c:strRef>
              <c:f>Risques!$B$15</c:f>
              <c:strCache>
                <c:ptCount val="1"/>
                <c:pt idx="0">
                  <c:v>Ressources humaines</c:v>
                </c:pt>
              </c:strCache>
            </c:strRef>
          </c:tx>
          <c:spPr>
            <a:ln w="28575">
              <a:noFill/>
            </a:ln>
          </c:spPr>
          <c:xVal>
            <c:numRef>
              <c:f>Risques!$E$15</c:f>
              <c:numCache>
                <c:formatCode>General</c:formatCode>
                <c:ptCount val="1"/>
              </c:numCache>
            </c:numRef>
          </c:xVal>
          <c:yVal>
            <c:numRef>
              <c:f>Risques!$D$15</c:f>
              <c:numCache>
                <c:formatCode>General</c:formatCode>
                <c:ptCount val="1"/>
              </c:numCache>
            </c:numRef>
          </c:yVal>
        </c:ser>
        <c:ser>
          <c:idx val="10"/>
          <c:order val="8"/>
          <c:tx>
            <c:strRef>
              <c:f>Risques!#REF!</c:f>
              <c:strCache>
                <c:ptCount val="1"/>
                <c:pt idx="0">
                  <c:v>#REF!</c:v>
                </c:pt>
              </c:strCache>
            </c:strRef>
          </c:tx>
          <c:spPr>
            <a:ln w="28575">
              <a:noFill/>
            </a:ln>
          </c:spPr>
          <c:xVal>
            <c:numRef>
              <c:f>Risques!#REF!</c:f>
            </c:numRef>
          </c:xVal>
          <c:yVal>
            <c:numRef>
              <c:f>Risques!#REF!</c:f>
              <c:numCache>
                <c:formatCode>General</c:formatCode>
                <c:ptCount val="1"/>
                <c:pt idx="0">
                  <c:v>1</c:v>
                </c:pt>
              </c:numCache>
            </c:numRef>
          </c:yVal>
        </c:ser>
        <c:ser>
          <c:idx val="3"/>
          <c:order val="9"/>
          <c:tx>
            <c:v>Plan de déploiement</c:v>
          </c:tx>
          <c:spPr>
            <a:ln w="28575">
              <a:noFill/>
            </a:ln>
          </c:spPr>
          <c:xVal>
            <c:numRef>
              <c:f>Risques!$E$16</c:f>
              <c:numCache>
                <c:formatCode>General</c:formatCode>
                <c:ptCount val="1"/>
              </c:numCache>
            </c:numRef>
          </c:xVal>
          <c:yVal>
            <c:numRef>
              <c:f>Risques!$D$16</c:f>
              <c:numCache>
                <c:formatCode>General</c:formatCode>
                <c:ptCount val="1"/>
              </c:numCache>
            </c:numRef>
          </c:yVal>
        </c:ser>
        <c:ser>
          <c:idx val="11"/>
          <c:order val="10"/>
          <c:tx>
            <c:v>Qualité de l'expression des besoins</c:v>
          </c:tx>
          <c:spPr>
            <a:ln w="28575">
              <a:noFill/>
            </a:ln>
          </c:spPr>
          <c:xVal>
            <c:numRef>
              <c:f>Risques!$E$17</c:f>
              <c:numCache>
                <c:formatCode>General</c:formatCode>
                <c:ptCount val="1"/>
              </c:numCache>
            </c:numRef>
          </c:xVal>
          <c:yVal>
            <c:numRef>
              <c:f>Risques!$D$17</c:f>
              <c:numCache>
                <c:formatCode>General</c:formatCode>
                <c:ptCount val="1"/>
              </c:numCache>
            </c:numRef>
          </c:yVal>
        </c:ser>
        <c:ser>
          <c:idx val="4"/>
          <c:order val="11"/>
          <c:tx>
            <c:strRef>
              <c:f>Risques!$B$20</c:f>
              <c:strCache>
                <c:ptCount val="1"/>
                <c:pt idx="0">
                  <c:v>Immobilier</c:v>
                </c:pt>
              </c:strCache>
            </c:strRef>
          </c:tx>
          <c:spPr>
            <a:ln w="28575">
              <a:noFill/>
            </a:ln>
          </c:spPr>
          <c:xVal>
            <c:numRef>
              <c:f>Risques!$E$20</c:f>
              <c:numCache>
                <c:formatCode>General</c:formatCode>
                <c:ptCount val="1"/>
              </c:numCache>
            </c:numRef>
          </c:xVal>
          <c:yVal>
            <c:numRef>
              <c:f>Risques!$D$20</c:f>
              <c:numCache>
                <c:formatCode>General</c:formatCode>
                <c:ptCount val="1"/>
              </c:numCache>
            </c:numRef>
          </c:yVal>
        </c:ser>
        <c:axId val="113064192"/>
        <c:axId val="113074560"/>
      </c:scatterChart>
      <c:valAx>
        <c:axId val="113064192"/>
        <c:scaling>
          <c:orientation val="minMax"/>
          <c:max val="3"/>
          <c:min val="0"/>
        </c:scaling>
        <c:axPos val="b"/>
        <c:majorGridlines>
          <c:spPr>
            <a:ln w="25400">
              <a:solidFill>
                <a:schemeClr val="bg1"/>
              </a:solidFill>
              <a:prstDash val="dash"/>
            </a:ln>
          </c:spPr>
        </c:majorGridlines>
        <c:title>
          <c:tx>
            <c:rich>
              <a:bodyPr/>
              <a:lstStyle/>
              <a:p>
                <a:pPr>
                  <a:defRPr/>
                </a:pPr>
                <a:r>
                  <a:rPr lang="fr-FR"/>
                  <a:t>Probabilité de survenance</a:t>
                </a:r>
              </a:p>
            </c:rich>
          </c:tx>
        </c:title>
        <c:numFmt formatCode="General" sourceLinked="1"/>
        <c:tickLblPos val="nextTo"/>
        <c:crossAx val="113074560"/>
        <c:crosses val="autoZero"/>
        <c:crossBetween val="midCat"/>
        <c:majorUnit val="1"/>
        <c:minorUnit val="1"/>
      </c:valAx>
      <c:valAx>
        <c:axId val="113074560"/>
        <c:scaling>
          <c:orientation val="minMax"/>
          <c:max val="3"/>
          <c:min val="0"/>
        </c:scaling>
        <c:axPos val="l"/>
        <c:majorGridlines>
          <c:spPr>
            <a:ln w="25400">
              <a:solidFill>
                <a:schemeClr val="bg1"/>
              </a:solidFill>
              <a:prstDash val="dash"/>
            </a:ln>
          </c:spPr>
        </c:majorGridlines>
        <c:title>
          <c:tx>
            <c:rich>
              <a:bodyPr/>
              <a:lstStyle/>
              <a:p>
                <a:pPr>
                  <a:defRPr/>
                </a:pPr>
                <a:r>
                  <a:rPr lang="fr-FR"/>
                  <a:t>Gravité</a:t>
                </a:r>
              </a:p>
            </c:rich>
          </c:tx>
        </c:title>
        <c:numFmt formatCode="General" sourceLinked="1"/>
        <c:tickLblPos val="nextTo"/>
        <c:crossAx val="113064192"/>
        <c:crosses val="autoZero"/>
        <c:crossBetween val="midCat"/>
        <c:majorUnit val="1"/>
        <c:minorUnit val="1"/>
      </c:valAx>
      <c:spPr>
        <a:gradFill>
          <a:gsLst>
            <a:gs pos="0">
              <a:schemeClr val="accent3">
                <a:lumMod val="40000"/>
                <a:lumOff val="60000"/>
              </a:schemeClr>
            </a:gs>
            <a:gs pos="100000">
              <a:schemeClr val="accent6">
                <a:lumMod val="46000"/>
                <a:lumOff val="54000"/>
              </a:schemeClr>
            </a:gs>
          </a:gsLst>
          <a:lin ang="18000000" scaled="0"/>
        </a:gradFill>
        <a:ln w="6350"/>
      </c:spPr>
    </c:plotArea>
    <c:legend>
      <c:legendPos val="b"/>
      <c:layout>
        <c:manualLayout>
          <c:xMode val="edge"/>
          <c:yMode val="edge"/>
          <c:x val="6.2526999811382114E-2"/>
          <c:y val="0.76898272816494639"/>
          <c:w val="0.7635649078972081"/>
          <c:h val="0.23101724645839741"/>
        </c:manualLayout>
      </c:layout>
    </c:legend>
    <c:plotVisOnly val="1"/>
    <c:dispBlanksAs val="gap"/>
  </c:chart>
  <c:spPr>
    <a:ln w="38100">
      <a:solidFill>
        <a:schemeClr val="tx2">
          <a:lumMod val="75000"/>
        </a:schemeClr>
      </a:solidFill>
    </a:ln>
  </c:spPr>
  <c:txPr>
    <a:bodyPr/>
    <a:lstStyle/>
    <a:p>
      <a:pPr>
        <a:defRPr>
          <a:latin typeface="Arial Narrow" pitchFamily="34" charset="0"/>
          <a:cs typeface="Arial" pitchFamily="34" charset="0"/>
        </a:defRPr>
      </a:pPr>
      <a:endParaRPr lang="es-AR"/>
    </a:p>
  </c:txPr>
  <c:printSettings>
    <c:headerFooter/>
    <c:pageMargins b="0.75000000000001044" l="0.70000000000000062" r="0.70000000000000062" t="0.750000000000010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sz="1800" b="1"/>
            </a:pPr>
            <a:r>
              <a:rPr lang="fr-FR" sz="1800" b="1"/>
              <a:t>Radar des principaux risques du projet par rapport à la cible</a:t>
            </a:r>
          </a:p>
        </c:rich>
      </c:tx>
    </c:title>
    <c:plotArea>
      <c:layout/>
      <c:radarChart>
        <c:radarStyle val="filled"/>
        <c:ser>
          <c:idx val="0"/>
          <c:order val="0"/>
          <c:tx>
            <c:strRef>
              <c:f>Risques!$F$8</c:f>
              <c:strCache>
                <c:ptCount val="1"/>
                <c:pt idx="0">
                  <c:v>Criticité</c:v>
                </c:pt>
              </c:strCache>
            </c:strRef>
          </c:tx>
          <c:spPr>
            <a:solidFill>
              <a:srgbClr val="FFC000"/>
            </a:solidFill>
            <a:ln w="25400" cmpd="sng">
              <a:solidFill>
                <a:srgbClr val="A27B00"/>
              </a:solidFill>
              <a:prstDash val="solid"/>
            </a:ln>
          </c:spPr>
          <c:cat>
            <c:strRef>
              <c:f>Risques!$B$9:$B$20</c:f>
              <c:strCache>
                <c:ptCount val="12"/>
                <c:pt idx="0">
                  <c:v>Pilotage</c:v>
                </c:pt>
                <c:pt idx="1">
                  <c:v>Gestion administrative et finances</c:v>
                </c:pt>
                <c:pt idx="2">
                  <c:v>Juridique</c:v>
                </c:pt>
                <c:pt idx="3">
                  <c:v>Systèmes d'information</c:v>
                </c:pt>
                <c:pt idx="4">
                  <c:v>Projet</c:v>
                </c:pt>
                <c:pt idx="5">
                  <c:v>Client, commerce, service</c:v>
                </c:pt>
                <c:pt idx="6">
                  <c:v>Ressources humaines</c:v>
                </c:pt>
                <c:pt idx="7">
                  <c:v>Exploitation</c:v>
                </c:pt>
                <c:pt idx="8">
                  <c:v>Fournisseurs/ partenaires</c:v>
                </c:pt>
                <c:pt idx="9">
                  <c:v>Financement</c:v>
                </c:pt>
                <c:pt idx="10">
                  <c:v>Fiscal</c:v>
                </c:pt>
                <c:pt idx="11">
                  <c:v>Immobilier</c:v>
                </c:pt>
              </c:strCache>
            </c:strRef>
          </c:cat>
          <c:val>
            <c:numRef>
              <c:f>Risques!$F$9:$F$20</c:f>
              <c:numCache>
                <c:formatCode>_(* #,##0_);_(* \(#,##0\);_(* "-"_);_(@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Risques!$G$8</c:f>
              <c:strCache>
                <c:ptCount val="1"/>
                <c:pt idx="0">
                  <c:v>Cible</c:v>
                </c:pt>
              </c:strCache>
            </c:strRef>
          </c:tx>
          <c:spPr>
            <a:solidFill>
              <a:schemeClr val="tx2">
                <a:alpha val="61000"/>
              </a:schemeClr>
            </a:solidFill>
            <a:ln w="25400">
              <a:solidFill>
                <a:schemeClr val="tx2">
                  <a:lumMod val="50000"/>
                </a:schemeClr>
              </a:solidFill>
            </a:ln>
          </c:spPr>
          <c:cat>
            <c:strRef>
              <c:f>Risques!$B$9:$B$20</c:f>
              <c:strCache>
                <c:ptCount val="12"/>
                <c:pt idx="0">
                  <c:v>Pilotage</c:v>
                </c:pt>
                <c:pt idx="1">
                  <c:v>Gestion administrative et finances</c:v>
                </c:pt>
                <c:pt idx="2">
                  <c:v>Juridique</c:v>
                </c:pt>
                <c:pt idx="3">
                  <c:v>Systèmes d'information</c:v>
                </c:pt>
                <c:pt idx="4">
                  <c:v>Projet</c:v>
                </c:pt>
                <c:pt idx="5">
                  <c:v>Client, commerce, service</c:v>
                </c:pt>
                <c:pt idx="6">
                  <c:v>Ressources humaines</c:v>
                </c:pt>
                <c:pt idx="7">
                  <c:v>Exploitation</c:v>
                </c:pt>
                <c:pt idx="8">
                  <c:v>Fournisseurs/ partenaires</c:v>
                </c:pt>
                <c:pt idx="9">
                  <c:v>Financement</c:v>
                </c:pt>
                <c:pt idx="10">
                  <c:v>Fiscal</c:v>
                </c:pt>
                <c:pt idx="11">
                  <c:v>Immobilier</c:v>
                </c:pt>
              </c:strCache>
            </c:strRef>
          </c:cat>
          <c:val>
            <c:numRef>
              <c:f>Risques!$G$9:$G$20</c:f>
              <c:numCache>
                <c:formatCode>_(* #,##0_);_(* \(#,##0\);_(* "-"_);_(@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er>
        <c:axId val="113104000"/>
        <c:axId val="113105536"/>
      </c:radarChart>
      <c:catAx>
        <c:axId val="113104000"/>
        <c:scaling>
          <c:orientation val="minMax"/>
        </c:scaling>
        <c:axPos val="b"/>
        <c:majorGridlines/>
        <c:numFmt formatCode="@" sourceLinked="1"/>
        <c:majorTickMark val="none"/>
        <c:tickLblPos val="nextTo"/>
        <c:spPr>
          <a:ln w="9525">
            <a:noFill/>
          </a:ln>
        </c:spPr>
        <c:txPr>
          <a:bodyPr rot="0" vert="horz"/>
          <a:lstStyle/>
          <a:p>
            <a:pPr>
              <a:defRPr/>
            </a:pPr>
            <a:endParaRPr lang="es-AR"/>
          </a:p>
        </c:txPr>
        <c:crossAx val="113105536"/>
        <c:crosses val="autoZero"/>
        <c:lblAlgn val="ctr"/>
        <c:lblOffset val="100"/>
      </c:catAx>
      <c:valAx>
        <c:axId val="113105536"/>
        <c:scaling>
          <c:orientation val="minMax"/>
          <c:max val="9"/>
          <c:min val="0"/>
        </c:scaling>
        <c:axPos val="l"/>
        <c:majorGridlines/>
        <c:numFmt formatCode="_(* #,##0_);_(* \(#,##0\);_(* &quot;-&quot;_);_(@" sourceLinked="1"/>
        <c:majorTickMark val="none"/>
        <c:tickLblPos val="high"/>
        <c:txPr>
          <a:bodyPr rot="0" vert="horz"/>
          <a:lstStyle/>
          <a:p>
            <a:pPr>
              <a:defRPr/>
            </a:pPr>
            <a:endParaRPr lang="es-AR"/>
          </a:p>
        </c:txPr>
        <c:crossAx val="113104000"/>
        <c:crosses val="autoZero"/>
        <c:crossBetween val="between"/>
      </c:valAx>
    </c:plotArea>
    <c:legend>
      <c:legendPos val="b"/>
      <c:txPr>
        <a:bodyPr/>
        <a:lstStyle/>
        <a:p>
          <a:pPr>
            <a:defRPr sz="1600" b="1"/>
          </a:pPr>
          <a:endParaRPr lang="es-AR"/>
        </a:p>
      </c:txPr>
    </c:legend>
    <c:plotVisOnly val="1"/>
    <c:dispBlanksAs val="gap"/>
  </c:chart>
  <c:spPr>
    <a:ln w="38100">
      <a:solidFill>
        <a:schemeClr val="tx2">
          <a:lumMod val="75000"/>
        </a:schemeClr>
      </a:solidFill>
    </a:ln>
  </c:spPr>
  <c:txPr>
    <a:bodyPr/>
    <a:lstStyle/>
    <a:p>
      <a:pPr>
        <a:defRPr sz="1100" b="0" i="0" u="none" strike="noStrike" baseline="0">
          <a:solidFill>
            <a:srgbClr val="000000"/>
          </a:solidFill>
          <a:latin typeface="Arial Narrow" pitchFamily="34" charset="0"/>
          <a:ea typeface="Calibri"/>
          <a:cs typeface="Calibri"/>
        </a:defRPr>
      </a:pPr>
      <a:endParaRPr lang="es-AR"/>
    </a:p>
  </c:txPr>
  <c:printSettings>
    <c:headerFooter/>
    <c:pageMargins b="0.7500000000000111" l="0.70000000000000062" r="0.70000000000000062" t="0.75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AR"/>
  <c:chart>
    <c:plotArea>
      <c:layout>
        <c:manualLayout>
          <c:layoutTarget val="inner"/>
          <c:xMode val="edge"/>
          <c:yMode val="edge"/>
          <c:x val="7.6054430813021393E-2"/>
          <c:y val="5.1400554097404488E-2"/>
          <c:w val="0.74499642090193252"/>
          <c:h val="0.77348062600469902"/>
        </c:manualLayout>
      </c:layout>
      <c:lineChart>
        <c:grouping val="standard"/>
        <c:ser>
          <c:idx val="3"/>
          <c:order val="0"/>
          <c:tx>
            <c:strRef>
              <c:f>graph!$A$69</c:f>
              <c:strCache>
                <c:ptCount val="1"/>
                <c:pt idx="0">
                  <c:v>CAPEX cumulated (net fixed assets)</c:v>
                </c:pt>
              </c:strCache>
            </c:strRef>
          </c:tx>
          <c:marker>
            <c:symbol val="none"/>
          </c:marker>
          <c:val>
            <c:numRef>
              <c:f>graph!$D$69:$J$69</c:f>
              <c:numCache>
                <c:formatCode>#,##0</c:formatCode>
                <c:ptCount val="7"/>
                <c:pt idx="0">
                  <c:v>0</c:v>
                </c:pt>
                <c:pt idx="1">
                  <c:v>0</c:v>
                </c:pt>
                <c:pt idx="2">
                  <c:v>0</c:v>
                </c:pt>
                <c:pt idx="3">
                  <c:v>0</c:v>
                </c:pt>
                <c:pt idx="4">
                  <c:v>0</c:v>
                </c:pt>
                <c:pt idx="5">
                  <c:v>0</c:v>
                </c:pt>
                <c:pt idx="6">
                  <c:v>0</c:v>
                </c:pt>
              </c:numCache>
            </c:numRef>
          </c:val>
        </c:ser>
        <c:ser>
          <c:idx val="4"/>
          <c:order val="1"/>
          <c:tx>
            <c:strRef>
              <c:f>graph!$A$70</c:f>
              <c:strCache>
                <c:ptCount val="1"/>
                <c:pt idx="0">
                  <c:v>BFR d'exploitation</c:v>
                </c:pt>
              </c:strCache>
            </c:strRef>
          </c:tx>
          <c:marker>
            <c:symbol val="none"/>
          </c:marker>
          <c:val>
            <c:numRef>
              <c:f>graph!$D$70:$J$70</c:f>
              <c:numCache>
                <c:formatCode>#,##0</c:formatCode>
                <c:ptCount val="7"/>
                <c:pt idx="0">
                  <c:v>0</c:v>
                </c:pt>
                <c:pt idx="1">
                  <c:v>0</c:v>
                </c:pt>
                <c:pt idx="2">
                  <c:v>0</c:v>
                </c:pt>
                <c:pt idx="3">
                  <c:v>0</c:v>
                </c:pt>
                <c:pt idx="4">
                  <c:v>0</c:v>
                </c:pt>
                <c:pt idx="5">
                  <c:v>0</c:v>
                </c:pt>
                <c:pt idx="6">
                  <c:v>0</c:v>
                </c:pt>
              </c:numCache>
            </c:numRef>
          </c:val>
        </c:ser>
        <c:ser>
          <c:idx val="5"/>
          <c:order val="2"/>
          <c:tx>
            <c:strRef>
              <c:f>graph!$A$71</c:f>
              <c:strCache>
                <c:ptCount val="1"/>
                <c:pt idx="0">
                  <c:v>Capital employed</c:v>
                </c:pt>
              </c:strCache>
            </c:strRef>
          </c:tx>
          <c:marker>
            <c:symbol val="none"/>
          </c:marker>
          <c:val>
            <c:numRef>
              <c:f>graph!$D$71:$J$71</c:f>
              <c:numCache>
                <c:formatCode>#,##0</c:formatCode>
                <c:ptCount val="7"/>
                <c:pt idx="0">
                  <c:v>0</c:v>
                </c:pt>
                <c:pt idx="1">
                  <c:v>0</c:v>
                </c:pt>
                <c:pt idx="2">
                  <c:v>0</c:v>
                </c:pt>
                <c:pt idx="3">
                  <c:v>0</c:v>
                </c:pt>
                <c:pt idx="4">
                  <c:v>0</c:v>
                </c:pt>
                <c:pt idx="5">
                  <c:v>0</c:v>
                </c:pt>
                <c:pt idx="6">
                  <c:v>0</c:v>
                </c:pt>
              </c:numCache>
            </c:numRef>
          </c:val>
        </c:ser>
        <c:ser>
          <c:idx val="6"/>
          <c:order val="3"/>
          <c:tx>
            <c:strRef>
              <c:f>graph!$A$72</c:f>
              <c:strCache>
                <c:ptCount val="1"/>
                <c:pt idx="0">
                  <c:v>ROCE %</c:v>
                </c:pt>
              </c:strCache>
            </c:strRef>
          </c:tx>
          <c:marker>
            <c:symbol val="none"/>
          </c:marker>
          <c:val>
            <c:numRef>
              <c:f>graph!$D$72:$J$72</c:f>
              <c:numCache>
                <c:formatCode>0.0%</c:formatCode>
                <c:ptCount val="7"/>
                <c:pt idx="0">
                  <c:v>0</c:v>
                </c:pt>
                <c:pt idx="1">
                  <c:v>0</c:v>
                </c:pt>
                <c:pt idx="2">
                  <c:v>0</c:v>
                </c:pt>
                <c:pt idx="3">
                  <c:v>0</c:v>
                </c:pt>
                <c:pt idx="4">
                  <c:v>0</c:v>
                </c:pt>
                <c:pt idx="5">
                  <c:v>0</c:v>
                </c:pt>
                <c:pt idx="6">
                  <c:v>0</c:v>
                </c:pt>
              </c:numCache>
            </c:numRef>
          </c:val>
        </c:ser>
        <c:marker val="1"/>
        <c:axId val="111109632"/>
        <c:axId val="111111168"/>
      </c:lineChart>
      <c:catAx>
        <c:axId val="111109632"/>
        <c:scaling>
          <c:orientation val="minMax"/>
        </c:scaling>
        <c:axPos val="b"/>
        <c:numFmt formatCode="#,##0" sourceLinked="1"/>
        <c:tickLblPos val="nextTo"/>
        <c:crossAx val="111111168"/>
        <c:crosses val="autoZero"/>
        <c:auto val="1"/>
        <c:lblAlgn val="ctr"/>
        <c:lblOffset val="100"/>
      </c:catAx>
      <c:valAx>
        <c:axId val="111111168"/>
        <c:scaling>
          <c:orientation val="minMax"/>
        </c:scaling>
        <c:axPos val="l"/>
        <c:majorGridlines/>
        <c:numFmt formatCode="#,##0" sourceLinked="1"/>
        <c:tickLblPos val="nextTo"/>
        <c:crossAx val="111109632"/>
        <c:crosses val="autoZero"/>
        <c:crossBetween val="between"/>
      </c:valAx>
    </c:plotArea>
    <c:legend>
      <c:legendPos val="b"/>
    </c:legend>
    <c:plotVisOnly val="1"/>
    <c:dispBlanksAs val="gap"/>
  </c:chart>
  <c:printSettings>
    <c:headerFooter/>
    <c:pageMargins b="0.75000000000000755" l="0.70000000000000062" r="0.70000000000000062" t="0.750000000000007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sz="2575" b="1" i="0" u="none" strike="noStrike" baseline="0">
                <a:solidFill>
                  <a:srgbClr val="000000"/>
                </a:solidFill>
                <a:latin typeface="Arial"/>
                <a:ea typeface="Arial"/>
                <a:cs typeface="Arial"/>
              </a:defRPr>
            </a:pPr>
            <a:r>
              <a:rPr lang="fr-FR"/>
              <a:t>Cashflow forecast</a:t>
            </a:r>
          </a:p>
        </c:rich>
      </c:tx>
      <c:layout>
        <c:manualLayout>
          <c:xMode val="edge"/>
          <c:yMode val="edge"/>
          <c:x val="0.39891081457424793"/>
          <c:y val="5.7228874497196727E-2"/>
        </c:manualLayout>
      </c:layout>
      <c:spPr>
        <a:noFill/>
        <a:ln w="25400">
          <a:noFill/>
        </a:ln>
      </c:spPr>
    </c:title>
    <c:plotArea>
      <c:layout>
        <c:manualLayout>
          <c:layoutTarget val="inner"/>
          <c:xMode val="edge"/>
          <c:yMode val="edge"/>
          <c:x val="4.2886317222600924E-2"/>
          <c:y val="7.5301204819279806E-3"/>
          <c:w val="0.91490810074880868"/>
          <c:h val="0.97138554216869222"/>
        </c:manualLayout>
      </c:layout>
      <c:lineChart>
        <c:grouping val="standard"/>
        <c:ser>
          <c:idx val="0"/>
          <c:order val="0"/>
          <c:tx>
            <c:strRef>
              <c:f>'Cashflow forecast'!$A$79</c:f>
              <c:strCache>
                <c:ptCount val="1"/>
                <c:pt idx="0">
                  <c:v>Closing treasury balance</c:v>
                </c:pt>
              </c:strCache>
            </c:strRef>
          </c:tx>
          <c:spPr>
            <a:ln w="38100">
              <a:solidFill>
                <a:srgbClr val="000080"/>
              </a:solidFill>
              <a:prstDash val="solid"/>
            </a:ln>
          </c:spPr>
          <c:marker>
            <c:symbol val="diamond"/>
            <c:size val="11"/>
            <c:spPr>
              <a:solidFill>
                <a:srgbClr val="000080"/>
              </a:solidFill>
              <a:ln>
                <a:solidFill>
                  <a:srgbClr val="000080"/>
                </a:solidFill>
                <a:prstDash val="solid"/>
              </a:ln>
            </c:spPr>
          </c:marker>
          <c:dLbls>
            <c:dLbl>
              <c:idx val="1"/>
              <c:delete val="1"/>
            </c:dLbl>
            <c:dLbl>
              <c:idx val="2"/>
              <c:delete val="1"/>
            </c:dLbl>
            <c:dLbl>
              <c:idx val="3"/>
              <c:delete val="1"/>
            </c:dLbl>
            <c:dLbl>
              <c:idx val="6"/>
              <c:delete val="1"/>
            </c:dLbl>
            <c:dLbl>
              <c:idx val="7"/>
              <c:delete val="1"/>
            </c:dLbl>
            <c:dLbl>
              <c:idx val="9"/>
              <c:delete val="1"/>
            </c:dLbl>
            <c:dLbl>
              <c:idx val="10"/>
              <c:delete val="1"/>
            </c:dLbl>
            <c:dLbl>
              <c:idx val="11"/>
              <c:delete val="1"/>
            </c:dLbl>
            <c:dLbl>
              <c:idx val="13"/>
              <c:delete val="1"/>
            </c:dLbl>
            <c:dLbl>
              <c:idx val="14"/>
              <c:delete val="1"/>
            </c:dLbl>
            <c:dLbl>
              <c:idx val="15"/>
              <c:delete val="1"/>
            </c:dLbl>
            <c:dLbl>
              <c:idx val="17"/>
              <c:delete val="1"/>
            </c:dLbl>
            <c:dLbl>
              <c:idx val="18"/>
              <c:delete val="1"/>
            </c:dLbl>
            <c:dLbl>
              <c:idx val="19"/>
              <c:delete val="1"/>
            </c:dLbl>
            <c:dLbl>
              <c:idx val="21"/>
              <c:delete val="1"/>
            </c:dLbl>
            <c:dLbl>
              <c:idx val="22"/>
              <c:delete val="1"/>
            </c:dLbl>
            <c:dLbl>
              <c:idx val="23"/>
              <c:delete val="1"/>
            </c:dLbl>
            <c:dLbl>
              <c:idx val="25"/>
              <c:delete val="1"/>
            </c:dLbl>
            <c:dLbl>
              <c:idx val="26"/>
              <c:delete val="1"/>
            </c:dLbl>
            <c:dLbl>
              <c:idx val="28"/>
              <c:delete val="1"/>
            </c:dLbl>
            <c:dLbl>
              <c:idx val="29"/>
              <c:delete val="1"/>
            </c:dLbl>
            <c:dLbl>
              <c:idx val="31"/>
              <c:delete val="1"/>
            </c:dLbl>
            <c:dLbl>
              <c:idx val="33"/>
              <c:delete val="1"/>
            </c:dLbl>
            <c:dLbl>
              <c:idx val="34"/>
              <c:delete val="1"/>
            </c:dLbl>
            <c:spPr>
              <a:noFill/>
              <a:ln w="25400">
                <a:noFill/>
              </a:ln>
            </c:spPr>
            <c:txPr>
              <a:bodyPr/>
              <a:lstStyle/>
              <a:p>
                <a:pPr>
                  <a:defRPr sz="2150" b="1" i="0" u="none" strike="noStrike" baseline="0">
                    <a:solidFill>
                      <a:srgbClr val="000000"/>
                    </a:solidFill>
                    <a:latin typeface="Arial"/>
                    <a:ea typeface="Arial"/>
                    <a:cs typeface="Arial"/>
                  </a:defRPr>
                </a:pPr>
                <a:endParaRPr lang="es-AR"/>
              </a:p>
            </c:txPr>
            <c:dLblPos val="t"/>
            <c:showVal val="1"/>
          </c:dLbls>
          <c:cat>
            <c:strRef>
              <c:f>'Cashflow forecast'!$D$4:$AM$4</c:f>
              <c:strCache>
                <c:ptCount val="36"/>
                <c:pt idx="0">
                  <c:v>Jan  2014</c:v>
                </c:pt>
                <c:pt idx="1">
                  <c:v>Fev  2014</c:v>
                </c:pt>
                <c:pt idx="2">
                  <c:v>Mar 2014</c:v>
                </c:pt>
                <c:pt idx="3">
                  <c:v>Avr  2014</c:v>
                </c:pt>
                <c:pt idx="4">
                  <c:v>Mai 2014</c:v>
                </c:pt>
                <c:pt idx="5">
                  <c:v>Jun 2014</c:v>
                </c:pt>
                <c:pt idx="6">
                  <c:v>Jui 2014</c:v>
                </c:pt>
                <c:pt idx="7">
                  <c:v>Aou  2014</c:v>
                </c:pt>
                <c:pt idx="8">
                  <c:v>Sep  2014</c:v>
                </c:pt>
                <c:pt idx="9">
                  <c:v>Oct  2014</c:v>
                </c:pt>
                <c:pt idx="10">
                  <c:v>Nov 2014</c:v>
                </c:pt>
                <c:pt idx="11">
                  <c:v>Dec  2015</c:v>
                </c:pt>
                <c:pt idx="12">
                  <c:v>Jan  2015</c:v>
                </c:pt>
                <c:pt idx="13">
                  <c:v>Fev  2015</c:v>
                </c:pt>
                <c:pt idx="14">
                  <c:v>Mar 2015</c:v>
                </c:pt>
                <c:pt idx="15">
                  <c:v>Avr  2015</c:v>
                </c:pt>
                <c:pt idx="16">
                  <c:v>Mai 2015</c:v>
                </c:pt>
                <c:pt idx="17">
                  <c:v>Jun 2015</c:v>
                </c:pt>
                <c:pt idx="18">
                  <c:v>Jui 2015</c:v>
                </c:pt>
                <c:pt idx="19">
                  <c:v>Aou  2015</c:v>
                </c:pt>
                <c:pt idx="20">
                  <c:v>Sep  2015</c:v>
                </c:pt>
                <c:pt idx="21">
                  <c:v>Oct  2015</c:v>
                </c:pt>
                <c:pt idx="22">
                  <c:v>Nov 2015</c:v>
                </c:pt>
                <c:pt idx="23">
                  <c:v>Dec  2015</c:v>
                </c:pt>
                <c:pt idx="24">
                  <c:v>Jan  2016</c:v>
                </c:pt>
                <c:pt idx="25">
                  <c:v>Fev  2016</c:v>
                </c:pt>
                <c:pt idx="26">
                  <c:v>Mar 2016</c:v>
                </c:pt>
                <c:pt idx="27">
                  <c:v>Avr  2016</c:v>
                </c:pt>
                <c:pt idx="28">
                  <c:v>Mai 2016</c:v>
                </c:pt>
                <c:pt idx="29">
                  <c:v>Jun 2016</c:v>
                </c:pt>
                <c:pt idx="30">
                  <c:v>Jui 2016</c:v>
                </c:pt>
                <c:pt idx="31">
                  <c:v>Aou  2016</c:v>
                </c:pt>
                <c:pt idx="32">
                  <c:v>Sep  2016</c:v>
                </c:pt>
                <c:pt idx="33">
                  <c:v>Oct  2016</c:v>
                </c:pt>
                <c:pt idx="34">
                  <c:v>Nov 2016</c:v>
                </c:pt>
                <c:pt idx="35">
                  <c:v>Dec  2016</c:v>
                </c:pt>
              </c:strCache>
            </c:strRef>
          </c:cat>
          <c:val>
            <c:numRef>
              <c:f>'Cashflow forecast'!$D$79:$AM$79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er>
        <c:marker val="1"/>
        <c:axId val="114627328"/>
        <c:axId val="114628864"/>
      </c:lineChart>
      <c:dateAx>
        <c:axId val="114627328"/>
        <c:scaling>
          <c:orientation val="minMax"/>
        </c:scaling>
        <c:axPos val="b"/>
        <c:numFmt formatCode="mmm\-yy" sourceLinked="0"/>
        <c:tickLblPos val="nextTo"/>
        <c:spPr>
          <a:ln w="3175">
            <a:solidFill>
              <a:srgbClr val="000000"/>
            </a:solidFill>
            <a:prstDash val="solid"/>
          </a:ln>
        </c:spPr>
        <c:txPr>
          <a:bodyPr rot="0" vert="horz"/>
          <a:lstStyle/>
          <a:p>
            <a:pPr>
              <a:defRPr sz="2150" b="0" i="0" u="none" strike="noStrike" baseline="0">
                <a:solidFill>
                  <a:srgbClr val="000000"/>
                </a:solidFill>
                <a:latin typeface="Arial"/>
                <a:ea typeface="Arial"/>
                <a:cs typeface="Arial"/>
              </a:defRPr>
            </a:pPr>
            <a:endParaRPr lang="es-AR"/>
          </a:p>
        </c:txPr>
        <c:crossAx val="114628864"/>
        <c:crosses val="autoZero"/>
        <c:auto val="1"/>
        <c:lblOffset val="100"/>
        <c:baseTimeUnit val="months"/>
        <c:majorUnit val="4"/>
        <c:majorTimeUnit val="months"/>
        <c:minorUnit val="2"/>
        <c:minorTimeUnit val="months"/>
      </c:dateAx>
      <c:valAx>
        <c:axId val="114628864"/>
        <c:scaling>
          <c:orientation val="minMax"/>
        </c:scaling>
        <c:axPos val="l"/>
        <c:numFmt formatCode="#,##0;\-#,##0;;" sourceLinked="1"/>
        <c:majorTickMark val="none"/>
        <c:tickLblPos val="none"/>
        <c:spPr>
          <a:ln w="9525">
            <a:noFill/>
          </a:ln>
        </c:spPr>
        <c:crossAx val="114627328"/>
        <c:crosses val="autoZero"/>
        <c:crossBetween val="between"/>
      </c:valAx>
      <c:spPr>
        <a:noFill/>
        <a:ln w="25400">
          <a:noFill/>
        </a:ln>
      </c:spPr>
    </c:plotArea>
    <c:legend>
      <c:legendPos val="r"/>
      <c:layout>
        <c:manualLayout>
          <c:xMode val="edge"/>
          <c:yMode val="edge"/>
          <c:x val="0.38941669604733575"/>
          <c:y val="0.17603565826461037"/>
          <c:w val="0.21166899931267091"/>
          <c:h val="4.7337278106509013E-2"/>
        </c:manualLayout>
      </c:layout>
      <c:spPr>
        <a:noFill/>
        <a:ln w="25400">
          <a:noFill/>
        </a:ln>
      </c:spPr>
      <c:txPr>
        <a:bodyPr/>
        <a:lstStyle/>
        <a:p>
          <a:pPr>
            <a:defRPr sz="1015" b="1" i="0" u="none" strike="noStrike" baseline="0">
              <a:solidFill>
                <a:srgbClr val="000000"/>
              </a:solidFill>
              <a:latin typeface="Arial"/>
              <a:ea typeface="Arial"/>
              <a:cs typeface="Arial"/>
            </a:defRPr>
          </a:pPr>
          <a:endParaRPr lang="es-AR"/>
        </a:p>
      </c:txPr>
    </c:legend>
    <c:plotVisOnly val="1"/>
    <c:dispBlanksAs val="gap"/>
  </c:chart>
  <c:spPr>
    <a:noFill/>
    <a:ln w="9525">
      <a:noFill/>
    </a:ln>
  </c:spPr>
  <c:txPr>
    <a:bodyPr/>
    <a:lstStyle/>
    <a:p>
      <a:pPr>
        <a:defRPr sz="2150" b="0" i="0" u="none" strike="noStrike" baseline="0">
          <a:solidFill>
            <a:srgbClr val="000000"/>
          </a:solidFill>
          <a:latin typeface="Arial"/>
          <a:ea typeface="Arial"/>
          <a:cs typeface="Arial"/>
        </a:defRPr>
      </a:pPr>
      <a:endParaRPr lang="es-AR"/>
    </a:p>
  </c:txPr>
  <c:printSettings>
    <c:headerFooter alignWithMargins="0"/>
    <c:pageMargins b="0.98425196899999956" l="0.78740157499999996" r="0.78740157499999996" t="0.98425196899999956" header="0.49212598450000788" footer="0.4921259845000078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a:pPr>
            <a:r>
              <a:rPr lang="en-US"/>
              <a:t>Curva de demanda (sillón)</a:t>
            </a:r>
          </a:p>
        </c:rich>
      </c:tx>
    </c:title>
    <c:plotArea>
      <c:layout/>
      <c:lineChart>
        <c:grouping val="standard"/>
        <c:ser>
          <c:idx val="0"/>
          <c:order val="0"/>
          <c:tx>
            <c:strRef>
              <c:f>Pendientes!$I$45</c:f>
              <c:strCache>
                <c:ptCount val="1"/>
                <c:pt idx="0">
                  <c:v>Curva de demanda (sillón)</c:v>
                </c:pt>
              </c:strCache>
            </c:strRef>
          </c:tx>
          <c:spPr>
            <a:ln>
              <a:solidFill>
                <a:srgbClr val="00B050"/>
              </a:solidFill>
            </a:ln>
          </c:spPr>
          <c:marker>
            <c:spPr>
              <a:ln>
                <a:solidFill>
                  <a:srgbClr val="00B050"/>
                </a:solidFill>
              </a:ln>
            </c:spPr>
          </c:marker>
          <c:cat>
            <c:strRef>
              <c:f>Pendientes!$J$46:$J$50</c:f>
              <c:strCache>
                <c:ptCount val="5"/>
                <c:pt idx="0">
                  <c:v>&lt;$4000</c:v>
                </c:pt>
                <c:pt idx="1">
                  <c:v>4000-7000</c:v>
                </c:pt>
                <c:pt idx="2">
                  <c:v>7000-10000</c:v>
                </c:pt>
                <c:pt idx="3">
                  <c:v>10000-13000</c:v>
                </c:pt>
                <c:pt idx="4">
                  <c:v>&gt;$13000</c:v>
                </c:pt>
              </c:strCache>
            </c:strRef>
          </c:cat>
          <c:val>
            <c:numRef>
              <c:f>Pendientes!$I$46:$I$50</c:f>
              <c:numCache>
                <c:formatCode>0%</c:formatCode>
                <c:ptCount val="5"/>
                <c:pt idx="0">
                  <c:v>1</c:v>
                </c:pt>
                <c:pt idx="1">
                  <c:v>0.8</c:v>
                </c:pt>
                <c:pt idx="2">
                  <c:v>0.8</c:v>
                </c:pt>
                <c:pt idx="3">
                  <c:v>0.5</c:v>
                </c:pt>
                <c:pt idx="4">
                  <c:v>0.1</c:v>
                </c:pt>
              </c:numCache>
            </c:numRef>
          </c:val>
        </c:ser>
        <c:marker val="1"/>
        <c:axId val="48476160"/>
        <c:axId val="48478080"/>
      </c:lineChart>
      <c:catAx>
        <c:axId val="48476160"/>
        <c:scaling>
          <c:orientation val="minMax"/>
        </c:scaling>
        <c:axPos val="b"/>
        <c:tickLblPos val="nextTo"/>
        <c:crossAx val="48478080"/>
        <c:crosses val="autoZero"/>
        <c:auto val="1"/>
        <c:lblAlgn val="ctr"/>
        <c:lblOffset val="100"/>
      </c:catAx>
      <c:valAx>
        <c:axId val="48478080"/>
        <c:scaling>
          <c:orientation val="minMax"/>
          <c:max val="1"/>
        </c:scaling>
        <c:axPos val="l"/>
        <c:majorGridlines/>
        <c:numFmt formatCode="0%" sourceLinked="1"/>
        <c:tickLblPos val="nextTo"/>
        <c:crossAx val="48476160"/>
        <c:crosses val="autoZero"/>
        <c:crossBetween val="between"/>
      </c:valAx>
    </c:plotArea>
    <c:plotVisOnly val="1"/>
  </c:chart>
  <c:spPr>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AR"/>
  <c:style val="4"/>
  <c:chart>
    <c:title>
      <c:txPr>
        <a:bodyPr/>
        <a:lstStyle/>
        <a:p>
          <a:pPr>
            <a:defRPr sz="1400"/>
          </a:pPr>
          <a:endParaRPr lang="es-AR"/>
        </a:p>
      </c:txPr>
    </c:title>
    <c:plotArea>
      <c:layout/>
      <c:lineChart>
        <c:grouping val="stacked"/>
        <c:ser>
          <c:idx val="0"/>
          <c:order val="0"/>
          <c:tx>
            <c:strRef>
              <c:f>Pendientes!$I$52</c:f>
              <c:strCache>
                <c:ptCount val="1"/>
                <c:pt idx="0">
                  <c:v>Curva de demanda (mesa de comedor)</c:v>
                </c:pt>
              </c:strCache>
            </c:strRef>
          </c:tx>
          <c:cat>
            <c:strRef>
              <c:f>Pendientes!$J$53:$J$57</c:f>
              <c:strCache>
                <c:ptCount val="5"/>
                <c:pt idx="0">
                  <c:v>&lt;$2500</c:v>
                </c:pt>
                <c:pt idx="1">
                  <c:v>2500-4000</c:v>
                </c:pt>
                <c:pt idx="2">
                  <c:v>4000-6000</c:v>
                </c:pt>
                <c:pt idx="3">
                  <c:v>6000-9000</c:v>
                </c:pt>
                <c:pt idx="4">
                  <c:v>&gt;$9000</c:v>
                </c:pt>
              </c:strCache>
            </c:strRef>
          </c:cat>
          <c:val>
            <c:numRef>
              <c:f>Pendientes!$I$53:$I$57</c:f>
              <c:numCache>
                <c:formatCode>0%</c:formatCode>
                <c:ptCount val="5"/>
                <c:pt idx="0">
                  <c:v>1</c:v>
                </c:pt>
                <c:pt idx="1">
                  <c:v>0.9</c:v>
                </c:pt>
                <c:pt idx="2">
                  <c:v>0.7</c:v>
                </c:pt>
                <c:pt idx="3">
                  <c:v>0.3</c:v>
                </c:pt>
                <c:pt idx="4">
                  <c:v>0.2</c:v>
                </c:pt>
              </c:numCache>
            </c:numRef>
          </c:val>
        </c:ser>
        <c:marker val="1"/>
        <c:axId val="49416448"/>
        <c:axId val="49426432"/>
      </c:lineChart>
      <c:catAx>
        <c:axId val="49416448"/>
        <c:scaling>
          <c:orientation val="minMax"/>
        </c:scaling>
        <c:axPos val="b"/>
        <c:tickLblPos val="nextTo"/>
        <c:crossAx val="49426432"/>
        <c:crosses val="autoZero"/>
        <c:auto val="1"/>
        <c:lblAlgn val="ctr"/>
        <c:lblOffset val="100"/>
      </c:catAx>
      <c:valAx>
        <c:axId val="49426432"/>
        <c:scaling>
          <c:orientation val="minMax"/>
          <c:max val="1"/>
        </c:scaling>
        <c:axPos val="l"/>
        <c:majorGridlines/>
        <c:numFmt formatCode="0%" sourceLinked="1"/>
        <c:tickLblPos val="nextTo"/>
        <c:crossAx val="49416448"/>
        <c:crosses val="autoZero"/>
        <c:crossBetween val="between"/>
      </c:valAx>
    </c:plotArea>
    <c:plotVisOnly val="1"/>
  </c:chart>
  <c:spPr>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AR"/>
  <c:style val="8"/>
  <c:chart>
    <c:title>
      <c:txPr>
        <a:bodyPr/>
        <a:lstStyle/>
        <a:p>
          <a:pPr>
            <a:defRPr sz="1600"/>
          </a:pPr>
          <a:endParaRPr lang="es-AR"/>
        </a:p>
      </c:txPr>
    </c:title>
    <c:plotArea>
      <c:layout/>
      <c:lineChart>
        <c:grouping val="stacked"/>
        <c:ser>
          <c:idx val="0"/>
          <c:order val="0"/>
          <c:tx>
            <c:strRef>
              <c:f>Pendientes!$I$59</c:f>
              <c:strCache>
                <c:ptCount val="1"/>
                <c:pt idx="0">
                  <c:v>Curva de demanda (mesa ratona)</c:v>
                </c:pt>
              </c:strCache>
            </c:strRef>
          </c:tx>
          <c:cat>
            <c:strRef>
              <c:f>Pendientes!$J$60:$J$64</c:f>
              <c:strCache>
                <c:ptCount val="5"/>
                <c:pt idx="0">
                  <c:v>&lt;$1500</c:v>
                </c:pt>
                <c:pt idx="1">
                  <c:v>1500-3000</c:v>
                </c:pt>
                <c:pt idx="2">
                  <c:v>3000-5000</c:v>
                </c:pt>
                <c:pt idx="3">
                  <c:v>5000-7500</c:v>
                </c:pt>
                <c:pt idx="4">
                  <c:v>&gt;$7500</c:v>
                </c:pt>
              </c:strCache>
            </c:strRef>
          </c:cat>
          <c:val>
            <c:numRef>
              <c:f>Pendientes!$I$60:$I$64</c:f>
              <c:numCache>
                <c:formatCode>0%</c:formatCode>
                <c:ptCount val="5"/>
                <c:pt idx="0">
                  <c:v>1</c:v>
                </c:pt>
                <c:pt idx="1">
                  <c:v>1</c:v>
                </c:pt>
                <c:pt idx="2">
                  <c:v>0.3</c:v>
                </c:pt>
                <c:pt idx="3">
                  <c:v>0</c:v>
                </c:pt>
                <c:pt idx="4">
                  <c:v>0</c:v>
                </c:pt>
              </c:numCache>
            </c:numRef>
          </c:val>
        </c:ser>
        <c:marker val="1"/>
        <c:axId val="49466368"/>
        <c:axId val="49472256"/>
      </c:lineChart>
      <c:catAx>
        <c:axId val="49466368"/>
        <c:scaling>
          <c:orientation val="minMax"/>
        </c:scaling>
        <c:axPos val="b"/>
        <c:tickLblPos val="nextTo"/>
        <c:crossAx val="49472256"/>
        <c:crosses val="autoZero"/>
        <c:auto val="1"/>
        <c:lblAlgn val="ctr"/>
        <c:lblOffset val="100"/>
      </c:catAx>
      <c:valAx>
        <c:axId val="49472256"/>
        <c:scaling>
          <c:orientation val="minMax"/>
          <c:max val="1"/>
        </c:scaling>
        <c:axPos val="l"/>
        <c:majorGridlines/>
        <c:numFmt formatCode="0%" sourceLinked="1"/>
        <c:tickLblPos val="nextTo"/>
        <c:crossAx val="49466368"/>
        <c:crosses val="autoZero"/>
        <c:crossBetween val="between"/>
      </c:valAx>
    </c:plotArea>
    <c:plotVisOnly val="1"/>
  </c:chart>
  <c:spPr>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AR"/>
  <c:style val="5"/>
  <c:chart>
    <c:title>
      <c:layout/>
      <c:txPr>
        <a:bodyPr/>
        <a:lstStyle/>
        <a:p>
          <a:pPr>
            <a:defRPr sz="1600"/>
          </a:pPr>
          <a:endParaRPr lang="es-AR"/>
        </a:p>
      </c:txPr>
    </c:title>
    <c:plotArea>
      <c:layout/>
      <c:lineChart>
        <c:grouping val="standard"/>
        <c:ser>
          <c:idx val="0"/>
          <c:order val="0"/>
          <c:tx>
            <c:strRef>
              <c:f>'Mercado potencial'!$J$53</c:f>
              <c:strCache>
                <c:ptCount val="1"/>
                <c:pt idx="0">
                  <c:v>Market Share (% GBA)</c:v>
                </c:pt>
              </c:strCache>
            </c:strRef>
          </c:tx>
          <c:marker>
            <c:symbol val="none"/>
          </c:marker>
          <c:cat>
            <c:numRef>
              <c:f>'Mercado potencial'!$I$54:$I$89</c:f>
              <c:numCache>
                <c:formatCode>mmm\-yy</c:formatCode>
                <c:ptCount val="3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numCache>
            </c:numRef>
          </c:cat>
          <c:val>
            <c:numRef>
              <c:f>'Mercado potencial'!$J$54:$J$89</c:f>
              <c:numCache>
                <c:formatCode>0.000%</c:formatCode>
                <c:ptCount val="36"/>
                <c:pt idx="0">
                  <c:v>1.8224578138385588E-5</c:v>
                </c:pt>
                <c:pt idx="1">
                  <c:v>6.3786023484349545E-5</c:v>
                </c:pt>
                <c:pt idx="2">
                  <c:v>4.8749999999999998E-4</c:v>
                </c:pt>
                <c:pt idx="3">
                  <c:v>6.4999999999999997E-4</c:v>
                </c:pt>
                <c:pt idx="4">
                  <c:v>8.1249999999999985E-4</c:v>
                </c:pt>
                <c:pt idx="5">
                  <c:v>9.7499999999999996E-4</c:v>
                </c:pt>
                <c:pt idx="6">
                  <c:v>1.1374999999999998E-3</c:v>
                </c:pt>
                <c:pt idx="7">
                  <c:v>1.2999999999999999E-3</c:v>
                </c:pt>
                <c:pt idx="8">
                  <c:v>1.4624999999999996E-3</c:v>
                </c:pt>
                <c:pt idx="9">
                  <c:v>1.6249999999999997E-3</c:v>
                </c:pt>
                <c:pt idx="10">
                  <c:v>1.7874999999999996E-3</c:v>
                </c:pt>
                <c:pt idx="11">
                  <c:v>1.9499999999999999E-3</c:v>
                </c:pt>
                <c:pt idx="12">
                  <c:v>2.0223912448050522E-3</c:v>
                </c:pt>
                <c:pt idx="13">
                  <c:v>2.122119356817683E-3</c:v>
                </c:pt>
                <c:pt idx="14">
                  <c:v>2.5374999999999998E-3</c:v>
                </c:pt>
                <c:pt idx="15">
                  <c:v>2.7333333333333333E-3</c:v>
                </c:pt>
                <c:pt idx="16">
                  <c:v>2.9291666666666667E-3</c:v>
                </c:pt>
                <c:pt idx="17">
                  <c:v>3.1249999999999997E-3</c:v>
                </c:pt>
                <c:pt idx="18">
                  <c:v>3.3390579114717192E-3</c:v>
                </c:pt>
                <c:pt idx="19">
                  <c:v>3.5804526901510158E-3</c:v>
                </c:pt>
                <c:pt idx="20">
                  <c:v>4.0499999999999998E-3</c:v>
                </c:pt>
                <c:pt idx="21">
                  <c:v>4.358333333333333E-3</c:v>
                </c:pt>
                <c:pt idx="22">
                  <c:v>4.6666666666666662E-3</c:v>
                </c:pt>
                <c:pt idx="23">
                  <c:v>4.9750000000000003E-3</c:v>
                </c:pt>
                <c:pt idx="24">
                  <c:v>5.2028769841269843E-3</c:v>
                </c:pt>
                <c:pt idx="25">
                  <c:v>5.4307539682539683E-3</c:v>
                </c:pt>
                <c:pt idx="26">
                  <c:v>5.6586309523809514E-3</c:v>
                </c:pt>
                <c:pt idx="27">
                  <c:v>5.8865079365079363E-3</c:v>
                </c:pt>
                <c:pt idx="28">
                  <c:v>6.1143849206349203E-3</c:v>
                </c:pt>
                <c:pt idx="29">
                  <c:v>6.3422619047619035E-3</c:v>
                </c:pt>
                <c:pt idx="30">
                  <c:v>6.5701388888888893E-3</c:v>
                </c:pt>
                <c:pt idx="31">
                  <c:v>6.7980158730158724E-3</c:v>
                </c:pt>
                <c:pt idx="32">
                  <c:v>7.0258928571428564E-3</c:v>
                </c:pt>
                <c:pt idx="33">
                  <c:v>7.2537698412698413E-3</c:v>
                </c:pt>
                <c:pt idx="34">
                  <c:v>7.4816468253968245E-3</c:v>
                </c:pt>
                <c:pt idx="35">
                  <c:v>7.7095238095238085E-3</c:v>
                </c:pt>
              </c:numCache>
            </c:numRef>
          </c:val>
        </c:ser>
        <c:marker val="1"/>
        <c:axId val="49579520"/>
        <c:axId val="49581056"/>
      </c:lineChart>
      <c:dateAx>
        <c:axId val="49579520"/>
        <c:scaling>
          <c:orientation val="minMax"/>
        </c:scaling>
        <c:axPos val="b"/>
        <c:numFmt formatCode="mmm\-yy" sourceLinked="1"/>
        <c:tickLblPos val="nextTo"/>
        <c:crossAx val="49581056"/>
        <c:crosses val="autoZero"/>
        <c:auto val="1"/>
        <c:lblOffset val="100"/>
      </c:dateAx>
      <c:valAx>
        <c:axId val="49581056"/>
        <c:scaling>
          <c:orientation val="minMax"/>
        </c:scaling>
        <c:axPos val="l"/>
        <c:majorGridlines/>
        <c:numFmt formatCode="0.000%" sourceLinked="1"/>
        <c:tickLblPos val="nextTo"/>
        <c:crossAx val="49579520"/>
        <c:crosses val="autoZero"/>
        <c:crossBetween val="between"/>
      </c:valAx>
    </c:plotArea>
    <c:plotVisOnly val="1"/>
  </c:chart>
  <c:spPr>
    <a:ln>
      <a:noFill/>
    </a:ln>
  </c:spPr>
  <c:printSettings>
    <c:headerFooter/>
    <c:pageMargins b="0.75000000000000466" l="0.70000000000000062" r="0.70000000000000062" t="0.750000000000004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sz="1600"/>
            </a:pPr>
            <a:r>
              <a:rPr lang="en-US" sz="1600"/>
              <a:t>Facturación esperada</a:t>
            </a:r>
          </a:p>
        </c:rich>
      </c:tx>
    </c:title>
    <c:plotArea>
      <c:layout/>
      <c:lineChart>
        <c:grouping val="standard"/>
        <c:ser>
          <c:idx val="0"/>
          <c:order val="0"/>
          <c:tx>
            <c:strRef>
              <c:f>'Mercado potencial'!$E$92</c:f>
              <c:strCache>
                <c:ptCount val="1"/>
                <c:pt idx="0">
                  <c:v>Facturación</c:v>
                </c:pt>
              </c:strCache>
            </c:strRef>
          </c:tx>
          <c:spPr>
            <a:ln>
              <a:solidFill>
                <a:srgbClr val="00B050"/>
              </a:solidFill>
            </a:ln>
          </c:spPr>
          <c:marker>
            <c:symbol val="none"/>
          </c:marker>
          <c:cat>
            <c:numRef>
              <c:f>'Mercado potencial'!$D$93:$D$152</c:f>
              <c:numCache>
                <c:formatCode>mmm\-yy</c:formatCode>
                <c:ptCount val="6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numCache>
            </c:numRef>
          </c:cat>
          <c:val>
            <c:numRef>
              <c:f>'Mercado potencial'!$E$93:$E$152</c:f>
              <c:numCache>
                <c:formatCode>#,##0" KARS"</c:formatCode>
                <c:ptCount val="60"/>
                <c:pt idx="0">
                  <c:v>2</c:v>
                </c:pt>
                <c:pt idx="1">
                  <c:v>7</c:v>
                </c:pt>
                <c:pt idx="2">
                  <c:v>53.499180754500017</c:v>
                </c:pt>
                <c:pt idx="3">
                  <c:v>71.332241006000018</c:v>
                </c:pt>
                <c:pt idx="4">
                  <c:v>89.165301257500019</c:v>
                </c:pt>
                <c:pt idx="5">
                  <c:v>106.99836150900003</c:v>
                </c:pt>
                <c:pt idx="6">
                  <c:v>124.83142176050004</c:v>
                </c:pt>
                <c:pt idx="7">
                  <c:v>142.66448201200004</c:v>
                </c:pt>
                <c:pt idx="8">
                  <c:v>160.49754226350004</c:v>
                </c:pt>
                <c:pt idx="9">
                  <c:v>178.33060251500004</c:v>
                </c:pt>
                <c:pt idx="10">
                  <c:v>196.16366276650004</c:v>
                </c:pt>
                <c:pt idx="11">
                  <c:v>213.99672301800007</c:v>
                </c:pt>
                <c:pt idx="12">
                  <c:v>221.94107643516676</c:v>
                </c:pt>
                <c:pt idx="13">
                  <c:v>232.8854298523334</c:v>
                </c:pt>
                <c:pt idx="14">
                  <c:v>278.4700946965001</c:v>
                </c:pt>
                <c:pt idx="15">
                  <c:v>299.96121858933344</c:v>
                </c:pt>
                <c:pt idx="16">
                  <c:v>321.45234248216678</c:v>
                </c:pt>
                <c:pt idx="17">
                  <c:v>342.94346637500013</c:v>
                </c:pt>
                <c:pt idx="18">
                  <c:v>366.43459026783347</c:v>
                </c:pt>
                <c:pt idx="19">
                  <c:v>392.92571416066676</c:v>
                </c:pt>
                <c:pt idx="20">
                  <c:v>444.45473242200018</c:v>
                </c:pt>
                <c:pt idx="21">
                  <c:v>478.29182110433345</c:v>
                </c:pt>
                <c:pt idx="22">
                  <c:v>512.12890978666678</c:v>
                </c:pt>
                <c:pt idx="23">
                  <c:v>545.96599846900017</c:v>
                </c:pt>
                <c:pt idx="24">
                  <c:v>570.97365377894869</c:v>
                </c:pt>
                <c:pt idx="25">
                  <c:v>595.98130908889709</c:v>
                </c:pt>
                <c:pt idx="26">
                  <c:v>620.98896439884538</c:v>
                </c:pt>
                <c:pt idx="27">
                  <c:v>645.9966197087939</c:v>
                </c:pt>
                <c:pt idx="28">
                  <c:v>671.00427501874231</c:v>
                </c:pt>
                <c:pt idx="29">
                  <c:v>696.0119303286906</c:v>
                </c:pt>
                <c:pt idx="30">
                  <c:v>721.01958563863923</c:v>
                </c:pt>
                <c:pt idx="31">
                  <c:v>746.02724094858752</c:v>
                </c:pt>
                <c:pt idx="32">
                  <c:v>771.03489625853592</c:v>
                </c:pt>
                <c:pt idx="33">
                  <c:v>796.04255156848444</c:v>
                </c:pt>
                <c:pt idx="34">
                  <c:v>821.05020687843273</c:v>
                </c:pt>
                <c:pt idx="35">
                  <c:v>846.05786218838114</c:v>
                </c:pt>
                <c:pt idx="36">
                  <c:v>846.05786218838114</c:v>
                </c:pt>
                <c:pt idx="37">
                  <c:v>846.05786218838114</c:v>
                </c:pt>
                <c:pt idx="38">
                  <c:v>846.05786218838114</c:v>
                </c:pt>
                <c:pt idx="39">
                  <c:v>846.05786218838114</c:v>
                </c:pt>
                <c:pt idx="40">
                  <c:v>846.05786218838114</c:v>
                </c:pt>
                <c:pt idx="41">
                  <c:v>846.05786218838114</c:v>
                </c:pt>
                <c:pt idx="42">
                  <c:v>846.05786218838114</c:v>
                </c:pt>
                <c:pt idx="43">
                  <c:v>846.05786218838114</c:v>
                </c:pt>
                <c:pt idx="44">
                  <c:v>846.05786218838114</c:v>
                </c:pt>
                <c:pt idx="45">
                  <c:v>846.05786218838114</c:v>
                </c:pt>
                <c:pt idx="46">
                  <c:v>846.05786218838114</c:v>
                </c:pt>
                <c:pt idx="47">
                  <c:v>846.05786218838114</c:v>
                </c:pt>
                <c:pt idx="48">
                  <c:v>846.05786218838114</c:v>
                </c:pt>
                <c:pt idx="49">
                  <c:v>846.05786218838114</c:v>
                </c:pt>
                <c:pt idx="50">
                  <c:v>846.05786218838114</c:v>
                </c:pt>
                <c:pt idx="51">
                  <c:v>846.05786218838114</c:v>
                </c:pt>
                <c:pt idx="52">
                  <c:v>846.05786218838114</c:v>
                </c:pt>
                <c:pt idx="53">
                  <c:v>846.05786218838114</c:v>
                </c:pt>
                <c:pt idx="54">
                  <c:v>846.05786218838114</c:v>
                </c:pt>
                <c:pt idx="55">
                  <c:v>846.05786218838114</c:v>
                </c:pt>
                <c:pt idx="56">
                  <c:v>846.05786218838114</c:v>
                </c:pt>
                <c:pt idx="57">
                  <c:v>846.05786218838114</c:v>
                </c:pt>
                <c:pt idx="58">
                  <c:v>846.05786218838114</c:v>
                </c:pt>
                <c:pt idx="59">
                  <c:v>846.05786218838114</c:v>
                </c:pt>
              </c:numCache>
            </c:numRef>
          </c:val>
        </c:ser>
        <c:marker val="1"/>
        <c:axId val="49654784"/>
        <c:axId val="49677056"/>
      </c:lineChart>
      <c:dateAx>
        <c:axId val="49654784"/>
        <c:scaling>
          <c:orientation val="minMax"/>
        </c:scaling>
        <c:axPos val="b"/>
        <c:numFmt formatCode="mmm\-yy" sourceLinked="1"/>
        <c:tickLblPos val="nextTo"/>
        <c:txPr>
          <a:bodyPr rot="-4200000"/>
          <a:lstStyle/>
          <a:p>
            <a:pPr>
              <a:defRPr/>
            </a:pPr>
            <a:endParaRPr lang="es-AR"/>
          </a:p>
        </c:txPr>
        <c:crossAx val="49677056"/>
        <c:crosses val="autoZero"/>
        <c:auto val="1"/>
        <c:lblOffset val="100"/>
      </c:dateAx>
      <c:valAx>
        <c:axId val="49677056"/>
        <c:scaling>
          <c:orientation val="minMax"/>
        </c:scaling>
        <c:axPos val="l"/>
        <c:majorGridlines/>
        <c:numFmt formatCode="#,##0&quot; KARS&quot;" sourceLinked="1"/>
        <c:tickLblPos val="nextTo"/>
        <c:crossAx val="49654784"/>
        <c:crosses val="autoZero"/>
        <c:crossBetween val="between"/>
      </c:valAx>
    </c:plotArea>
    <c:plotVisOnly val="1"/>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AR"/>
  <c:chart>
    <c:plotArea>
      <c:layout>
        <c:manualLayout>
          <c:layoutTarget val="inner"/>
          <c:xMode val="edge"/>
          <c:yMode val="edge"/>
          <c:x val="0.32377663318401123"/>
          <c:y val="0.13695964785702225"/>
          <c:w val="0.63240305488129778"/>
          <c:h val="0.8178806513327016"/>
        </c:manualLayout>
      </c:layout>
      <c:barChart>
        <c:barDir val="bar"/>
        <c:grouping val="stacked"/>
        <c:ser>
          <c:idx val="0"/>
          <c:order val="0"/>
          <c:tx>
            <c:strRef>
              <c:f>'Cronograma de implementación'!$B$2</c:f>
              <c:strCache>
                <c:ptCount val="1"/>
                <c:pt idx="0">
                  <c:v>Fecha I</c:v>
                </c:pt>
              </c:strCache>
            </c:strRef>
          </c:tx>
          <c:spPr>
            <a:noFill/>
            <a:ln w="25400">
              <a:noFill/>
            </a:ln>
          </c:spPr>
          <c:cat>
            <c:strRef>
              <c:f>'Cronograma de implementación'!$A$3:$A$21</c:f>
              <c:strCache>
                <c:ptCount val="19"/>
                <c:pt idx="0">
                  <c:v>Relevamiento de proveedores de fabricación</c:v>
                </c:pt>
                <c:pt idx="1">
                  <c:v>Fabricación de primeras muestras</c:v>
                </c:pt>
                <c:pt idx="2">
                  <c:v>Contratación de desarrollo de aplicación web</c:v>
                </c:pt>
                <c:pt idx="3">
                  <c:v>Relevamiento de operadores logísticos</c:v>
                </c:pt>
                <c:pt idx="4">
                  <c:v>Diseño de material promocional</c:v>
                </c:pt>
                <c:pt idx="5">
                  <c:v>Desarrollo de sitio web</c:v>
                </c:pt>
                <c:pt idx="6">
                  <c:v>Relevamiento de proveedores de marketing</c:v>
                </c:pt>
                <c:pt idx="7">
                  <c:v>Desarrollo de material promocional</c:v>
                </c:pt>
                <c:pt idx="8">
                  <c:v>Relevamiento de mueblerías zona Norte</c:v>
                </c:pt>
                <c:pt idx="9">
                  <c:v>Fabricación del primer lote de productos</c:v>
                </c:pt>
                <c:pt idx="10">
                  <c:v>Capacitación a mueblerías</c:v>
                </c:pt>
                <c:pt idx="11">
                  <c:v>Promoción en inmobiliarias</c:v>
                </c:pt>
                <c:pt idx="12">
                  <c:v>Promoción en neg. De ambientación</c:v>
                </c:pt>
                <c:pt idx="13">
                  <c:v>Preparación del evento promocional de rugby</c:v>
                </c:pt>
                <c:pt idx="14">
                  <c:v>Relevamiento de oficinas administrativas</c:v>
                </c:pt>
                <c:pt idx="15">
                  <c:v>Compra de equipamiento para oficina</c:v>
                </c:pt>
                <c:pt idx="16">
                  <c:v>Preparación del evento promocional de rugby</c:v>
                </c:pt>
                <c:pt idx="17">
                  <c:v>Promoción en revista online</c:v>
                </c:pt>
                <c:pt idx="18">
                  <c:v>Relevamiento de mueblerías zona Oeste</c:v>
                </c:pt>
              </c:strCache>
            </c:strRef>
          </c:cat>
          <c:val>
            <c:numRef>
              <c:f>'Cronograma de implementación'!$B$3:$B$21</c:f>
              <c:numCache>
                <c:formatCode>dd\-mmm</c:formatCode>
                <c:ptCount val="19"/>
                <c:pt idx="0">
                  <c:v>42370</c:v>
                </c:pt>
                <c:pt idx="1">
                  <c:v>42377</c:v>
                </c:pt>
                <c:pt idx="2">
                  <c:v>42379</c:v>
                </c:pt>
                <c:pt idx="3">
                  <c:v>42381</c:v>
                </c:pt>
                <c:pt idx="4">
                  <c:v>42381</c:v>
                </c:pt>
                <c:pt idx="5">
                  <c:v>42384</c:v>
                </c:pt>
                <c:pt idx="6">
                  <c:v>42384</c:v>
                </c:pt>
                <c:pt idx="7">
                  <c:v>42384</c:v>
                </c:pt>
                <c:pt idx="8">
                  <c:v>42386</c:v>
                </c:pt>
                <c:pt idx="9">
                  <c:v>42401</c:v>
                </c:pt>
                <c:pt idx="10">
                  <c:v>42406</c:v>
                </c:pt>
                <c:pt idx="11">
                  <c:v>42430</c:v>
                </c:pt>
                <c:pt idx="12">
                  <c:v>42437</c:v>
                </c:pt>
                <c:pt idx="13">
                  <c:v>42461</c:v>
                </c:pt>
                <c:pt idx="14">
                  <c:v>42505</c:v>
                </c:pt>
                <c:pt idx="15" formatCode="dd/mm/yyyy">
                  <c:v>42536</c:v>
                </c:pt>
                <c:pt idx="16">
                  <c:v>42614</c:v>
                </c:pt>
                <c:pt idx="17" formatCode="dd/mm/yyyy">
                  <c:v>42644</c:v>
                </c:pt>
                <c:pt idx="18">
                  <c:v>42675</c:v>
                </c:pt>
              </c:numCache>
            </c:numRef>
          </c:val>
        </c:ser>
        <c:ser>
          <c:idx val="1"/>
          <c:order val="1"/>
          <c:tx>
            <c:strRef>
              <c:f>'Cronograma de implementación'!$C$2</c:f>
              <c:strCache>
                <c:ptCount val="1"/>
                <c:pt idx="0">
                  <c:v>Dura</c:v>
                </c:pt>
              </c:strCache>
            </c:strRef>
          </c:tx>
          <c:spPr>
            <a:gradFill rotWithShape="0">
              <a:gsLst>
                <a:gs pos="0">
                  <a:srgbClr val="99CC00"/>
                </a:gs>
                <a:gs pos="100000">
                  <a:srgbClr val="FF0000"/>
                </a:gs>
              </a:gsLst>
              <a:lin ang="0" scaled="1"/>
            </a:gradFill>
            <a:ln w="12700">
              <a:solidFill>
                <a:srgbClr val="000000"/>
              </a:solidFill>
              <a:prstDash val="solid"/>
            </a:ln>
          </c:spPr>
          <c:cat>
            <c:strRef>
              <c:f>'Cronograma de implementación'!$A$3:$A$21</c:f>
              <c:strCache>
                <c:ptCount val="19"/>
                <c:pt idx="0">
                  <c:v>Relevamiento de proveedores de fabricación</c:v>
                </c:pt>
                <c:pt idx="1">
                  <c:v>Fabricación de primeras muestras</c:v>
                </c:pt>
                <c:pt idx="2">
                  <c:v>Contratación de desarrollo de aplicación web</c:v>
                </c:pt>
                <c:pt idx="3">
                  <c:v>Relevamiento de operadores logísticos</c:v>
                </c:pt>
                <c:pt idx="4">
                  <c:v>Diseño de material promocional</c:v>
                </c:pt>
                <c:pt idx="5">
                  <c:v>Desarrollo de sitio web</c:v>
                </c:pt>
                <c:pt idx="6">
                  <c:v>Relevamiento de proveedores de marketing</c:v>
                </c:pt>
                <c:pt idx="7">
                  <c:v>Desarrollo de material promocional</c:v>
                </c:pt>
                <c:pt idx="8">
                  <c:v>Relevamiento de mueblerías zona Norte</c:v>
                </c:pt>
                <c:pt idx="9">
                  <c:v>Fabricación del primer lote de productos</c:v>
                </c:pt>
                <c:pt idx="10">
                  <c:v>Capacitación a mueblerías</c:v>
                </c:pt>
                <c:pt idx="11">
                  <c:v>Promoción en inmobiliarias</c:v>
                </c:pt>
                <c:pt idx="12">
                  <c:v>Promoción en neg. De ambientación</c:v>
                </c:pt>
                <c:pt idx="13">
                  <c:v>Preparación del evento promocional de rugby</c:v>
                </c:pt>
                <c:pt idx="14">
                  <c:v>Relevamiento de oficinas administrativas</c:v>
                </c:pt>
                <c:pt idx="15">
                  <c:v>Compra de equipamiento para oficina</c:v>
                </c:pt>
                <c:pt idx="16">
                  <c:v>Preparación del evento promocional de rugby</c:v>
                </c:pt>
                <c:pt idx="17">
                  <c:v>Promoción en revista online</c:v>
                </c:pt>
                <c:pt idx="18">
                  <c:v>Relevamiento de mueblerías zona Oeste</c:v>
                </c:pt>
              </c:strCache>
            </c:strRef>
          </c:cat>
          <c:val>
            <c:numRef>
              <c:f>'Cronograma de implementación'!$C$3:$C$21</c:f>
              <c:numCache>
                <c:formatCode>General</c:formatCode>
                <c:ptCount val="19"/>
                <c:pt idx="0">
                  <c:v>15</c:v>
                </c:pt>
                <c:pt idx="1">
                  <c:v>15</c:v>
                </c:pt>
                <c:pt idx="2">
                  <c:v>5</c:v>
                </c:pt>
                <c:pt idx="3">
                  <c:v>30</c:v>
                </c:pt>
                <c:pt idx="4">
                  <c:v>3</c:v>
                </c:pt>
                <c:pt idx="5">
                  <c:v>60</c:v>
                </c:pt>
                <c:pt idx="6">
                  <c:v>5</c:v>
                </c:pt>
                <c:pt idx="7">
                  <c:v>15</c:v>
                </c:pt>
                <c:pt idx="8">
                  <c:v>20</c:v>
                </c:pt>
                <c:pt idx="9">
                  <c:v>15</c:v>
                </c:pt>
                <c:pt idx="10">
                  <c:v>3</c:v>
                </c:pt>
                <c:pt idx="11">
                  <c:v>7</c:v>
                </c:pt>
                <c:pt idx="12">
                  <c:v>5</c:v>
                </c:pt>
                <c:pt idx="13">
                  <c:v>30</c:v>
                </c:pt>
                <c:pt idx="14">
                  <c:v>30</c:v>
                </c:pt>
                <c:pt idx="15">
                  <c:v>7</c:v>
                </c:pt>
                <c:pt idx="16">
                  <c:v>30</c:v>
                </c:pt>
                <c:pt idx="17">
                  <c:v>20</c:v>
                </c:pt>
                <c:pt idx="18">
                  <c:v>30</c:v>
                </c:pt>
              </c:numCache>
            </c:numRef>
          </c:val>
        </c:ser>
        <c:overlap val="100"/>
        <c:axId val="48601728"/>
        <c:axId val="48603520"/>
      </c:barChart>
      <c:catAx>
        <c:axId val="486017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AR"/>
          </a:p>
        </c:txPr>
        <c:crossAx val="48603520"/>
        <c:crosses val="autoZero"/>
        <c:auto val="1"/>
        <c:lblAlgn val="ctr"/>
        <c:lblOffset val="100"/>
        <c:tickLblSkip val="1"/>
        <c:tickMarkSkip val="1"/>
      </c:catAx>
      <c:valAx>
        <c:axId val="48603520"/>
        <c:scaling>
          <c:orientation val="minMax"/>
          <c:min val="42370"/>
        </c:scaling>
        <c:axPos val="t"/>
        <c:majorGridlines>
          <c:spPr>
            <a:ln w="3175">
              <a:solidFill>
                <a:srgbClr val="000000"/>
              </a:solidFill>
              <a:prstDash val="solid"/>
            </a:ln>
          </c:spPr>
        </c:majorGridlines>
        <c:numFmt formatCode="d/m/yy;@"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AR"/>
          </a:p>
        </c:txPr>
        <c:crossAx val="48601728"/>
        <c:crosses val="autoZero"/>
        <c:crossBetween val="between"/>
        <c:majorUnit val="45"/>
      </c:valAx>
      <c:spPr>
        <a:noFill/>
        <a:ln w="25400">
          <a:noFill/>
        </a:ln>
      </c:spPr>
    </c:plotArea>
    <c:plotVisOnly val="1"/>
    <c:dispBlanksAs val="gap"/>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s-AR"/>
    </a:p>
  </c:txPr>
  <c:printSettings>
    <c:headerFooter alignWithMargins="0"/>
    <c:pageMargins b="1" l="0.75000000000000444" r="0.75000000000000444" t="1" header="0" footer="0"/>
    <c:pageSetup paperSize="0"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a:pPr>
            <a:r>
              <a:rPr lang="en-US"/>
              <a:t>Matrice des principaux risques du projet</a:t>
            </a:r>
          </a:p>
        </c:rich>
      </c:tx>
      <c:spPr>
        <a:noFill/>
      </c:spPr>
    </c:title>
    <c:plotArea>
      <c:layout>
        <c:manualLayout>
          <c:layoutTarget val="inner"/>
          <c:xMode val="edge"/>
          <c:yMode val="edge"/>
          <c:x val="0.18872792099931246"/>
          <c:y val="0.10371196012207953"/>
          <c:w val="0.64055092798224456"/>
          <c:h val="0.55188621069364963"/>
        </c:manualLayout>
      </c:layout>
      <c:scatterChart>
        <c:scatterStyle val="lineMarker"/>
        <c:ser>
          <c:idx val="0"/>
          <c:order val="0"/>
          <c:tx>
            <c:strRef>
              <c:f>Risques!$B$9</c:f>
              <c:strCache>
                <c:ptCount val="1"/>
                <c:pt idx="0">
                  <c:v>Pilotage</c:v>
                </c:pt>
              </c:strCache>
            </c:strRef>
          </c:tx>
          <c:spPr>
            <a:ln w="28575">
              <a:noFill/>
            </a:ln>
          </c:spPr>
          <c:xVal>
            <c:numRef>
              <c:f>Risques!$E$9</c:f>
              <c:numCache>
                <c:formatCode>General</c:formatCode>
                <c:ptCount val="1"/>
              </c:numCache>
            </c:numRef>
          </c:xVal>
          <c:yVal>
            <c:numRef>
              <c:f>Risques!$D$9</c:f>
              <c:numCache>
                <c:formatCode>General</c:formatCode>
                <c:ptCount val="1"/>
              </c:numCache>
            </c:numRef>
          </c:yVal>
        </c:ser>
        <c:ser>
          <c:idx val="1"/>
          <c:order val="1"/>
          <c:tx>
            <c:strRef>
              <c:f>Risques!$B$10</c:f>
              <c:strCache>
                <c:ptCount val="1"/>
                <c:pt idx="0">
                  <c:v>Gestion administrative et finances</c:v>
                </c:pt>
              </c:strCache>
            </c:strRef>
          </c:tx>
          <c:spPr>
            <a:ln w="28575">
              <a:noFill/>
            </a:ln>
          </c:spPr>
          <c:xVal>
            <c:numRef>
              <c:f>Risques!$E$10</c:f>
              <c:numCache>
                <c:formatCode>General</c:formatCode>
                <c:ptCount val="1"/>
              </c:numCache>
            </c:numRef>
          </c:xVal>
          <c:yVal>
            <c:numRef>
              <c:f>Risques!$D$10</c:f>
              <c:numCache>
                <c:formatCode>General</c:formatCode>
                <c:ptCount val="1"/>
              </c:numCache>
            </c:numRef>
          </c:yVal>
        </c:ser>
        <c:ser>
          <c:idx val="2"/>
          <c:order val="2"/>
          <c:tx>
            <c:strRef>
              <c:f>Risques!$B$11</c:f>
              <c:strCache>
                <c:ptCount val="1"/>
                <c:pt idx="0">
                  <c:v>Juridique</c:v>
                </c:pt>
              </c:strCache>
            </c:strRef>
          </c:tx>
          <c:spPr>
            <a:ln w="28575">
              <a:noFill/>
            </a:ln>
          </c:spPr>
          <c:xVal>
            <c:numRef>
              <c:f>Risques!$E$11</c:f>
              <c:numCache>
                <c:formatCode>General</c:formatCode>
                <c:ptCount val="1"/>
              </c:numCache>
            </c:numRef>
          </c:xVal>
          <c:yVal>
            <c:numRef>
              <c:f>Risques!$D$11</c:f>
              <c:numCache>
                <c:formatCode>General</c:formatCode>
                <c:ptCount val="1"/>
              </c:numCache>
            </c:numRef>
          </c:yVal>
        </c:ser>
        <c:ser>
          <c:idx val="5"/>
          <c:order val="3"/>
          <c:tx>
            <c:strRef>
              <c:f>Risques!#REF!</c:f>
              <c:strCache>
                <c:ptCount val="1"/>
                <c:pt idx="0">
                  <c:v>#REF!</c:v>
                </c:pt>
              </c:strCache>
            </c:strRef>
          </c:tx>
          <c:spPr>
            <a:ln w="28575">
              <a:noFill/>
            </a:ln>
          </c:spPr>
          <c:xVal>
            <c:numRef>
              <c:f>Risques!#REF!</c:f>
            </c:numRef>
          </c:xVal>
          <c:yVal>
            <c:numRef>
              <c:f>Risques!#REF!</c:f>
              <c:numCache>
                <c:formatCode>General</c:formatCode>
                <c:ptCount val="1"/>
                <c:pt idx="0">
                  <c:v>1</c:v>
                </c:pt>
              </c:numCache>
            </c:numRef>
          </c:yVal>
        </c:ser>
        <c:ser>
          <c:idx val="6"/>
          <c:order val="4"/>
          <c:tx>
            <c:strRef>
              <c:f>Risques!$B$12</c:f>
              <c:strCache>
                <c:ptCount val="1"/>
                <c:pt idx="0">
                  <c:v>Systèmes d'information</c:v>
                </c:pt>
              </c:strCache>
            </c:strRef>
          </c:tx>
          <c:spPr>
            <a:ln w="28575">
              <a:noFill/>
            </a:ln>
          </c:spPr>
          <c:xVal>
            <c:numRef>
              <c:f>Risques!$E$12</c:f>
              <c:numCache>
                <c:formatCode>General</c:formatCode>
                <c:ptCount val="1"/>
              </c:numCache>
            </c:numRef>
          </c:xVal>
          <c:yVal>
            <c:numRef>
              <c:f>Risques!$D$12</c:f>
              <c:numCache>
                <c:formatCode>General</c:formatCode>
                <c:ptCount val="1"/>
              </c:numCache>
            </c:numRef>
          </c:yVal>
        </c:ser>
        <c:ser>
          <c:idx val="7"/>
          <c:order val="5"/>
          <c:tx>
            <c:strRef>
              <c:f>Risques!$B$13</c:f>
              <c:strCache>
                <c:ptCount val="1"/>
                <c:pt idx="0">
                  <c:v>Projet</c:v>
                </c:pt>
              </c:strCache>
            </c:strRef>
          </c:tx>
          <c:spPr>
            <a:ln w="28575">
              <a:noFill/>
            </a:ln>
          </c:spPr>
          <c:xVal>
            <c:numRef>
              <c:f>Risques!$E$13</c:f>
              <c:numCache>
                <c:formatCode>General</c:formatCode>
                <c:ptCount val="1"/>
              </c:numCache>
            </c:numRef>
          </c:xVal>
          <c:yVal>
            <c:numRef>
              <c:f>Risques!$D$13</c:f>
              <c:numCache>
                <c:formatCode>General</c:formatCode>
                <c:ptCount val="1"/>
              </c:numCache>
            </c:numRef>
          </c:yVal>
        </c:ser>
        <c:ser>
          <c:idx val="8"/>
          <c:order val="6"/>
          <c:tx>
            <c:strRef>
              <c:f>Risques!$B$14</c:f>
              <c:strCache>
                <c:ptCount val="1"/>
                <c:pt idx="0">
                  <c:v>Client, commerce, service</c:v>
                </c:pt>
              </c:strCache>
            </c:strRef>
          </c:tx>
          <c:spPr>
            <a:ln w="28575">
              <a:noFill/>
            </a:ln>
          </c:spPr>
          <c:xVal>
            <c:numRef>
              <c:f>Risques!$E$14</c:f>
              <c:numCache>
                <c:formatCode>General</c:formatCode>
                <c:ptCount val="1"/>
              </c:numCache>
            </c:numRef>
          </c:xVal>
          <c:yVal>
            <c:numRef>
              <c:f>Risques!$D$14</c:f>
              <c:numCache>
                <c:formatCode>General</c:formatCode>
                <c:ptCount val="1"/>
              </c:numCache>
            </c:numRef>
          </c:yVal>
        </c:ser>
        <c:ser>
          <c:idx val="9"/>
          <c:order val="7"/>
          <c:tx>
            <c:strRef>
              <c:f>Risques!$B$15</c:f>
              <c:strCache>
                <c:ptCount val="1"/>
                <c:pt idx="0">
                  <c:v>Ressources humaines</c:v>
                </c:pt>
              </c:strCache>
            </c:strRef>
          </c:tx>
          <c:spPr>
            <a:ln w="28575">
              <a:noFill/>
            </a:ln>
          </c:spPr>
          <c:xVal>
            <c:numRef>
              <c:f>Risques!$E$15</c:f>
              <c:numCache>
                <c:formatCode>General</c:formatCode>
                <c:ptCount val="1"/>
              </c:numCache>
            </c:numRef>
          </c:xVal>
          <c:yVal>
            <c:numRef>
              <c:f>Risques!$D$15</c:f>
              <c:numCache>
                <c:formatCode>General</c:formatCode>
                <c:ptCount val="1"/>
              </c:numCache>
            </c:numRef>
          </c:yVal>
        </c:ser>
        <c:ser>
          <c:idx val="10"/>
          <c:order val="8"/>
          <c:tx>
            <c:strRef>
              <c:f>Risques!#REF!</c:f>
              <c:strCache>
                <c:ptCount val="1"/>
                <c:pt idx="0">
                  <c:v>#REF!</c:v>
                </c:pt>
              </c:strCache>
            </c:strRef>
          </c:tx>
          <c:spPr>
            <a:ln w="28575">
              <a:noFill/>
            </a:ln>
          </c:spPr>
          <c:xVal>
            <c:numRef>
              <c:f>Risques!#REF!</c:f>
            </c:numRef>
          </c:xVal>
          <c:yVal>
            <c:numRef>
              <c:f>Risques!#REF!</c:f>
              <c:numCache>
                <c:formatCode>General</c:formatCode>
                <c:ptCount val="1"/>
                <c:pt idx="0">
                  <c:v>1</c:v>
                </c:pt>
              </c:numCache>
            </c:numRef>
          </c:yVal>
        </c:ser>
        <c:ser>
          <c:idx val="3"/>
          <c:order val="9"/>
          <c:tx>
            <c:v>Plan de déploiement</c:v>
          </c:tx>
          <c:spPr>
            <a:ln w="28575">
              <a:noFill/>
            </a:ln>
          </c:spPr>
          <c:xVal>
            <c:numRef>
              <c:f>Risques!$E$16</c:f>
              <c:numCache>
                <c:formatCode>General</c:formatCode>
                <c:ptCount val="1"/>
              </c:numCache>
            </c:numRef>
          </c:xVal>
          <c:yVal>
            <c:numRef>
              <c:f>Risques!$D$16</c:f>
              <c:numCache>
                <c:formatCode>General</c:formatCode>
                <c:ptCount val="1"/>
              </c:numCache>
            </c:numRef>
          </c:yVal>
        </c:ser>
        <c:ser>
          <c:idx val="11"/>
          <c:order val="10"/>
          <c:tx>
            <c:v>Qualité de l'expression des besoins</c:v>
          </c:tx>
          <c:spPr>
            <a:ln w="28575">
              <a:noFill/>
            </a:ln>
          </c:spPr>
          <c:xVal>
            <c:numRef>
              <c:f>Risques!$E$17</c:f>
              <c:numCache>
                <c:formatCode>General</c:formatCode>
                <c:ptCount val="1"/>
              </c:numCache>
            </c:numRef>
          </c:xVal>
          <c:yVal>
            <c:numRef>
              <c:f>Risques!$D$17</c:f>
              <c:numCache>
                <c:formatCode>General</c:formatCode>
                <c:ptCount val="1"/>
              </c:numCache>
            </c:numRef>
          </c:yVal>
        </c:ser>
        <c:ser>
          <c:idx val="4"/>
          <c:order val="11"/>
          <c:tx>
            <c:strRef>
              <c:f>Risques!$B$20</c:f>
              <c:strCache>
                <c:ptCount val="1"/>
                <c:pt idx="0">
                  <c:v>Immobilier</c:v>
                </c:pt>
              </c:strCache>
            </c:strRef>
          </c:tx>
          <c:spPr>
            <a:ln w="28575">
              <a:noFill/>
            </a:ln>
          </c:spPr>
          <c:xVal>
            <c:numRef>
              <c:f>Risques!$E$20</c:f>
              <c:numCache>
                <c:formatCode>General</c:formatCode>
                <c:ptCount val="1"/>
              </c:numCache>
            </c:numRef>
          </c:xVal>
          <c:yVal>
            <c:numRef>
              <c:f>Risques!$D$20</c:f>
              <c:numCache>
                <c:formatCode>General</c:formatCode>
                <c:ptCount val="1"/>
              </c:numCache>
            </c:numRef>
          </c:yVal>
        </c:ser>
        <c:axId val="112924160"/>
        <c:axId val="112926080"/>
      </c:scatterChart>
      <c:valAx>
        <c:axId val="112924160"/>
        <c:scaling>
          <c:orientation val="minMax"/>
          <c:max val="3"/>
          <c:min val="0"/>
        </c:scaling>
        <c:axPos val="b"/>
        <c:majorGridlines>
          <c:spPr>
            <a:ln w="25400">
              <a:solidFill>
                <a:schemeClr val="bg1"/>
              </a:solidFill>
              <a:prstDash val="dash"/>
            </a:ln>
          </c:spPr>
        </c:majorGridlines>
        <c:title>
          <c:tx>
            <c:rich>
              <a:bodyPr/>
              <a:lstStyle/>
              <a:p>
                <a:pPr>
                  <a:defRPr/>
                </a:pPr>
                <a:r>
                  <a:rPr lang="fr-FR"/>
                  <a:t>Probabilité de survenance</a:t>
                </a:r>
              </a:p>
            </c:rich>
          </c:tx>
        </c:title>
        <c:numFmt formatCode="General" sourceLinked="1"/>
        <c:tickLblPos val="nextTo"/>
        <c:crossAx val="112926080"/>
        <c:crosses val="autoZero"/>
        <c:crossBetween val="midCat"/>
        <c:majorUnit val="1"/>
        <c:minorUnit val="1"/>
      </c:valAx>
      <c:valAx>
        <c:axId val="112926080"/>
        <c:scaling>
          <c:orientation val="minMax"/>
          <c:max val="3"/>
          <c:min val="0"/>
        </c:scaling>
        <c:axPos val="l"/>
        <c:majorGridlines>
          <c:spPr>
            <a:ln w="25400">
              <a:solidFill>
                <a:schemeClr val="bg1"/>
              </a:solidFill>
              <a:prstDash val="dash"/>
            </a:ln>
          </c:spPr>
        </c:majorGridlines>
        <c:title>
          <c:tx>
            <c:rich>
              <a:bodyPr/>
              <a:lstStyle/>
              <a:p>
                <a:pPr>
                  <a:defRPr/>
                </a:pPr>
                <a:r>
                  <a:rPr lang="fr-FR"/>
                  <a:t>Gravité</a:t>
                </a:r>
              </a:p>
            </c:rich>
          </c:tx>
        </c:title>
        <c:numFmt formatCode="General" sourceLinked="1"/>
        <c:tickLblPos val="nextTo"/>
        <c:crossAx val="112924160"/>
        <c:crosses val="autoZero"/>
        <c:crossBetween val="midCat"/>
        <c:majorUnit val="1"/>
        <c:minorUnit val="1"/>
      </c:valAx>
      <c:spPr>
        <a:gradFill>
          <a:gsLst>
            <a:gs pos="0">
              <a:schemeClr val="accent3">
                <a:lumMod val="40000"/>
                <a:lumOff val="60000"/>
              </a:schemeClr>
            </a:gs>
            <a:gs pos="100000">
              <a:schemeClr val="accent6">
                <a:lumMod val="46000"/>
                <a:lumOff val="54000"/>
              </a:schemeClr>
            </a:gs>
          </a:gsLst>
          <a:lin ang="18000000" scaled="0"/>
        </a:gradFill>
        <a:ln w="6350"/>
      </c:spPr>
    </c:plotArea>
    <c:legend>
      <c:legendPos val="b"/>
      <c:layout>
        <c:manualLayout>
          <c:xMode val="edge"/>
          <c:yMode val="edge"/>
          <c:x val="6.2526999811382114E-2"/>
          <c:y val="0.76898272816494639"/>
          <c:w val="0.76356490789720832"/>
          <c:h val="0.2310172464583973"/>
        </c:manualLayout>
      </c:layout>
    </c:legend>
    <c:plotVisOnly val="1"/>
    <c:dispBlanksAs val="gap"/>
  </c:chart>
  <c:spPr>
    <a:ln w="38100">
      <a:solidFill>
        <a:schemeClr val="tx2">
          <a:lumMod val="75000"/>
        </a:schemeClr>
      </a:solidFill>
    </a:ln>
  </c:spPr>
  <c:txPr>
    <a:bodyPr/>
    <a:lstStyle/>
    <a:p>
      <a:pPr>
        <a:defRPr>
          <a:latin typeface="Arial Narrow" pitchFamily="34" charset="0"/>
          <a:cs typeface="Arial" pitchFamily="34" charset="0"/>
        </a:defRPr>
      </a:pPr>
      <a:endParaRPr lang="es-AR"/>
    </a:p>
  </c:txPr>
  <c:printSettings>
    <c:headerFooter/>
    <c:pageMargins b="0.75000000000001021" l="0.70000000000000062" r="0.70000000000000062" t="0.7500000000000102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AR"/>
  <c:chart>
    <c:title>
      <c:tx>
        <c:rich>
          <a:bodyPr/>
          <a:lstStyle/>
          <a:p>
            <a:pPr>
              <a:defRPr sz="1800" b="1"/>
            </a:pPr>
            <a:r>
              <a:rPr lang="fr-FR" sz="1800" b="1"/>
              <a:t>Radar des principaux risques du projet par rapport à la cible</a:t>
            </a:r>
          </a:p>
        </c:rich>
      </c:tx>
    </c:title>
    <c:plotArea>
      <c:layout/>
      <c:radarChart>
        <c:radarStyle val="filled"/>
        <c:ser>
          <c:idx val="0"/>
          <c:order val="0"/>
          <c:tx>
            <c:strRef>
              <c:f>Risques!$F$8</c:f>
              <c:strCache>
                <c:ptCount val="1"/>
                <c:pt idx="0">
                  <c:v>Criticité</c:v>
                </c:pt>
              </c:strCache>
            </c:strRef>
          </c:tx>
          <c:spPr>
            <a:solidFill>
              <a:srgbClr val="FFC000"/>
            </a:solidFill>
            <a:ln w="25400" cmpd="sng">
              <a:solidFill>
                <a:srgbClr val="A27B00"/>
              </a:solidFill>
              <a:prstDash val="solid"/>
            </a:ln>
          </c:spPr>
          <c:cat>
            <c:strRef>
              <c:f>Risques!$B$9:$B$20</c:f>
              <c:strCache>
                <c:ptCount val="12"/>
                <c:pt idx="0">
                  <c:v>Pilotage</c:v>
                </c:pt>
                <c:pt idx="1">
                  <c:v>Gestion administrative et finances</c:v>
                </c:pt>
                <c:pt idx="2">
                  <c:v>Juridique</c:v>
                </c:pt>
                <c:pt idx="3">
                  <c:v>Systèmes d'information</c:v>
                </c:pt>
                <c:pt idx="4">
                  <c:v>Projet</c:v>
                </c:pt>
                <c:pt idx="5">
                  <c:v>Client, commerce, service</c:v>
                </c:pt>
                <c:pt idx="6">
                  <c:v>Ressources humaines</c:v>
                </c:pt>
                <c:pt idx="7">
                  <c:v>Exploitation</c:v>
                </c:pt>
                <c:pt idx="8">
                  <c:v>Fournisseurs/ partenaires</c:v>
                </c:pt>
                <c:pt idx="9">
                  <c:v>Financement</c:v>
                </c:pt>
                <c:pt idx="10">
                  <c:v>Fiscal</c:v>
                </c:pt>
                <c:pt idx="11">
                  <c:v>Immobilier</c:v>
                </c:pt>
              </c:strCache>
            </c:strRef>
          </c:cat>
          <c:val>
            <c:numRef>
              <c:f>Risques!$F$9:$F$20</c:f>
              <c:numCache>
                <c:formatCode>_(* #,##0_);_(* \(#,##0\);_(* "-"_);_(@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Risques!$G$8</c:f>
              <c:strCache>
                <c:ptCount val="1"/>
                <c:pt idx="0">
                  <c:v>Cible</c:v>
                </c:pt>
              </c:strCache>
            </c:strRef>
          </c:tx>
          <c:spPr>
            <a:solidFill>
              <a:schemeClr val="tx2">
                <a:alpha val="61000"/>
              </a:schemeClr>
            </a:solidFill>
            <a:ln w="25400">
              <a:solidFill>
                <a:schemeClr val="tx2">
                  <a:lumMod val="50000"/>
                </a:schemeClr>
              </a:solidFill>
            </a:ln>
          </c:spPr>
          <c:cat>
            <c:strRef>
              <c:f>Risques!$B$9:$B$20</c:f>
              <c:strCache>
                <c:ptCount val="12"/>
                <c:pt idx="0">
                  <c:v>Pilotage</c:v>
                </c:pt>
                <c:pt idx="1">
                  <c:v>Gestion administrative et finances</c:v>
                </c:pt>
                <c:pt idx="2">
                  <c:v>Juridique</c:v>
                </c:pt>
                <c:pt idx="3">
                  <c:v>Systèmes d'information</c:v>
                </c:pt>
                <c:pt idx="4">
                  <c:v>Projet</c:v>
                </c:pt>
                <c:pt idx="5">
                  <c:v>Client, commerce, service</c:v>
                </c:pt>
                <c:pt idx="6">
                  <c:v>Ressources humaines</c:v>
                </c:pt>
                <c:pt idx="7">
                  <c:v>Exploitation</c:v>
                </c:pt>
                <c:pt idx="8">
                  <c:v>Fournisseurs/ partenaires</c:v>
                </c:pt>
                <c:pt idx="9">
                  <c:v>Financement</c:v>
                </c:pt>
                <c:pt idx="10">
                  <c:v>Fiscal</c:v>
                </c:pt>
                <c:pt idx="11">
                  <c:v>Immobilier</c:v>
                </c:pt>
              </c:strCache>
            </c:strRef>
          </c:cat>
          <c:val>
            <c:numRef>
              <c:f>Risques!$G$9:$G$20</c:f>
              <c:numCache>
                <c:formatCode>_(* #,##0_);_(* \(#,##0\);_(* "-"_);_(@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er>
        <c:axId val="112980352"/>
        <c:axId val="112981888"/>
      </c:radarChart>
      <c:catAx>
        <c:axId val="112980352"/>
        <c:scaling>
          <c:orientation val="minMax"/>
        </c:scaling>
        <c:axPos val="b"/>
        <c:majorGridlines/>
        <c:numFmt formatCode="@" sourceLinked="1"/>
        <c:majorTickMark val="none"/>
        <c:tickLblPos val="nextTo"/>
        <c:spPr>
          <a:ln w="9525">
            <a:noFill/>
          </a:ln>
        </c:spPr>
        <c:txPr>
          <a:bodyPr rot="0" vert="horz"/>
          <a:lstStyle/>
          <a:p>
            <a:pPr>
              <a:defRPr/>
            </a:pPr>
            <a:endParaRPr lang="es-AR"/>
          </a:p>
        </c:txPr>
        <c:crossAx val="112981888"/>
        <c:crosses val="autoZero"/>
        <c:lblAlgn val="ctr"/>
        <c:lblOffset val="100"/>
      </c:catAx>
      <c:valAx>
        <c:axId val="112981888"/>
        <c:scaling>
          <c:orientation val="minMax"/>
          <c:max val="9"/>
          <c:min val="0"/>
        </c:scaling>
        <c:axPos val="l"/>
        <c:majorGridlines/>
        <c:numFmt formatCode="_(* #,##0_);_(* \(#,##0\);_(* &quot;-&quot;_);_(@" sourceLinked="1"/>
        <c:majorTickMark val="none"/>
        <c:tickLblPos val="high"/>
        <c:txPr>
          <a:bodyPr rot="0" vert="horz"/>
          <a:lstStyle/>
          <a:p>
            <a:pPr>
              <a:defRPr/>
            </a:pPr>
            <a:endParaRPr lang="es-AR"/>
          </a:p>
        </c:txPr>
        <c:crossAx val="112980352"/>
        <c:crosses val="autoZero"/>
        <c:crossBetween val="between"/>
      </c:valAx>
    </c:plotArea>
    <c:legend>
      <c:legendPos val="b"/>
      <c:txPr>
        <a:bodyPr/>
        <a:lstStyle/>
        <a:p>
          <a:pPr>
            <a:defRPr sz="1600" b="1"/>
          </a:pPr>
          <a:endParaRPr lang="es-AR"/>
        </a:p>
      </c:txPr>
    </c:legend>
    <c:plotVisOnly val="1"/>
    <c:dispBlanksAs val="gap"/>
  </c:chart>
  <c:spPr>
    <a:ln w="38100">
      <a:solidFill>
        <a:schemeClr val="tx2">
          <a:lumMod val="75000"/>
        </a:schemeClr>
      </a:solidFill>
    </a:ln>
  </c:spPr>
  <c:txPr>
    <a:bodyPr/>
    <a:lstStyle/>
    <a:p>
      <a:pPr>
        <a:defRPr sz="1100" b="0" i="0" u="none" strike="noStrike" baseline="0">
          <a:solidFill>
            <a:srgbClr val="000000"/>
          </a:solidFill>
          <a:latin typeface="Arial Narrow" pitchFamily="34" charset="0"/>
          <a:ea typeface="Calibri"/>
          <a:cs typeface="Calibri"/>
        </a:defRPr>
      </a:pPr>
      <a:endParaRPr lang="es-AR"/>
    </a:p>
  </c:txPr>
  <c:printSettings>
    <c:headerFooter/>
    <c:pageMargins b="0.75000000000001088" l="0.70000000000000062" r="0.70000000000000062" t="0.7500000000000108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29.jpeg"/><Relationship Id="rId5" Type="http://schemas.openxmlformats.org/officeDocument/2006/relationships/chart" Target="../charts/chart11.xml"/><Relationship Id="rId4"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1.png"/><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123</xdr:row>
      <xdr:rowOff>85726</xdr:rowOff>
    </xdr:from>
    <xdr:to>
      <xdr:col>6</xdr:col>
      <xdr:colOff>647700</xdr:colOff>
      <xdr:row>134</xdr:row>
      <xdr:rowOff>83392</xdr:rowOff>
    </xdr:to>
    <xdr:pic>
      <xdr:nvPicPr>
        <xdr:cNvPr id="129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23825" y="16306801"/>
          <a:ext cx="6229350" cy="1778841"/>
        </a:xfrm>
        <a:prstGeom prst="rect">
          <a:avLst/>
        </a:prstGeom>
        <a:noFill/>
      </xdr:spPr>
    </xdr:pic>
    <xdr:clientData/>
  </xdr:twoCellAnchor>
  <xdr:twoCellAnchor editAs="oneCell">
    <xdr:from>
      <xdr:col>0</xdr:col>
      <xdr:colOff>142876</xdr:colOff>
      <xdr:row>134</xdr:row>
      <xdr:rowOff>133350</xdr:rowOff>
    </xdr:from>
    <xdr:to>
      <xdr:col>6</xdr:col>
      <xdr:colOff>657225</xdr:colOff>
      <xdr:row>141</xdr:row>
      <xdr:rowOff>60304</xdr:rowOff>
    </xdr:to>
    <xdr:pic>
      <xdr:nvPicPr>
        <xdr:cNvPr id="129028"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42876" y="18135600"/>
          <a:ext cx="6219824" cy="1060429"/>
        </a:xfrm>
        <a:prstGeom prst="rect">
          <a:avLst/>
        </a:prstGeom>
        <a:noFill/>
      </xdr:spPr>
    </xdr:pic>
    <xdr:clientData/>
  </xdr:twoCellAnchor>
  <xdr:twoCellAnchor editAs="oneCell">
    <xdr:from>
      <xdr:col>0</xdr:col>
      <xdr:colOff>57151</xdr:colOff>
      <xdr:row>142</xdr:row>
      <xdr:rowOff>28576</xdr:rowOff>
    </xdr:from>
    <xdr:to>
      <xdr:col>6</xdr:col>
      <xdr:colOff>676275</xdr:colOff>
      <xdr:row>155</xdr:row>
      <xdr:rowOff>49411</xdr:rowOff>
    </xdr:to>
    <xdr:pic>
      <xdr:nvPicPr>
        <xdr:cNvPr id="129030"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57151" y="19326226"/>
          <a:ext cx="6324599" cy="2125860"/>
        </a:xfrm>
        <a:prstGeom prst="rect">
          <a:avLst/>
        </a:prstGeom>
        <a:noFill/>
      </xdr:spPr>
    </xdr:pic>
    <xdr:clientData/>
  </xdr:twoCellAnchor>
  <xdr:twoCellAnchor editAs="oneCell">
    <xdr:from>
      <xdr:col>0</xdr:col>
      <xdr:colOff>0</xdr:colOff>
      <xdr:row>156</xdr:row>
      <xdr:rowOff>47625</xdr:rowOff>
    </xdr:from>
    <xdr:to>
      <xdr:col>6</xdr:col>
      <xdr:colOff>666750</xdr:colOff>
      <xdr:row>162</xdr:row>
      <xdr:rowOff>127027</xdr:rowOff>
    </xdr:to>
    <xdr:pic>
      <xdr:nvPicPr>
        <xdr:cNvPr id="129032"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0" y="21612225"/>
          <a:ext cx="6372225" cy="105095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1114426</xdr:colOff>
      <xdr:row>20</xdr:row>
      <xdr:rowOff>0</xdr:rowOff>
    </xdr:from>
    <xdr:to>
      <xdr:col>9</xdr:col>
      <xdr:colOff>133351</xdr:colOff>
      <xdr:row>37</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2411515</xdr:colOff>
      <xdr:row>0</xdr:row>
      <xdr:rowOff>136709</xdr:rowOff>
    </xdr:from>
    <xdr:to>
      <xdr:col>4</xdr:col>
      <xdr:colOff>2196354</xdr:colOff>
      <xdr:row>5</xdr:row>
      <xdr:rowOff>13444</xdr:rowOff>
    </xdr:to>
    <xdr:sp macro="" textlink="">
      <xdr:nvSpPr>
        <xdr:cNvPr id="33" name="32 Cheurón"/>
        <xdr:cNvSpPr/>
      </xdr:nvSpPr>
      <xdr:spPr bwMode="auto">
        <a:xfrm>
          <a:off x="7902397" y="136709"/>
          <a:ext cx="2205310" cy="661147"/>
        </a:xfrm>
        <a:prstGeom prst="chevron">
          <a:avLst/>
        </a:prstGeom>
        <a:blipFill>
          <a:blip xmlns:r="http://schemas.openxmlformats.org/officeDocument/2006/relationships" r:embed="rId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s-AR" sz="1100"/>
        </a:p>
      </xdr:txBody>
    </xdr:sp>
    <xdr:clientData/>
  </xdr:twoCellAnchor>
  <xdr:twoCellAnchor>
    <xdr:from>
      <xdr:col>3</xdr:col>
      <xdr:colOff>17933</xdr:colOff>
      <xdr:row>0</xdr:row>
      <xdr:rowOff>118781</xdr:rowOff>
    </xdr:from>
    <xdr:to>
      <xdr:col>3</xdr:col>
      <xdr:colOff>2319618</xdr:colOff>
      <xdr:row>4</xdr:row>
      <xdr:rowOff>152399</xdr:rowOff>
    </xdr:to>
    <xdr:sp macro="" textlink="">
      <xdr:nvSpPr>
        <xdr:cNvPr id="32" name="31 Cheurón"/>
        <xdr:cNvSpPr/>
      </xdr:nvSpPr>
      <xdr:spPr bwMode="auto">
        <a:xfrm>
          <a:off x="5508815" y="118781"/>
          <a:ext cx="2301685" cy="661147"/>
        </a:xfrm>
        <a:prstGeom prst="chevron">
          <a:avLst/>
        </a:prstGeom>
        <a:blipFill>
          <a:blip xmlns:r="http://schemas.openxmlformats.org/officeDocument/2006/relationships" r:embed="rId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s-AR" sz="1100"/>
        </a:p>
      </xdr:txBody>
    </xdr:sp>
    <xdr:clientData/>
  </xdr:twoCellAnchor>
  <xdr:twoCellAnchor>
    <xdr:from>
      <xdr:col>2</xdr:col>
      <xdr:colOff>134470</xdr:colOff>
      <xdr:row>0</xdr:row>
      <xdr:rowOff>134471</xdr:rowOff>
    </xdr:from>
    <xdr:to>
      <xdr:col>2</xdr:col>
      <xdr:colOff>2431676</xdr:colOff>
      <xdr:row>5</xdr:row>
      <xdr:rowOff>11206</xdr:rowOff>
    </xdr:to>
    <xdr:sp macro="" textlink="">
      <xdr:nvSpPr>
        <xdr:cNvPr id="31" name="30 Cheurón"/>
        <xdr:cNvSpPr/>
      </xdr:nvSpPr>
      <xdr:spPr bwMode="auto">
        <a:xfrm>
          <a:off x="3115235" y="134471"/>
          <a:ext cx="2297206" cy="661147"/>
        </a:xfrm>
        <a:prstGeom prst="chevron">
          <a:avLst/>
        </a:prstGeom>
        <a:blipFill>
          <a:blip xmlns:r="http://schemas.openxmlformats.org/officeDocument/2006/relationships" r:embed="rId1" cstate="print"/>
          <a:tile tx="0" ty="0" sx="100000" sy="100000" flip="none" algn="tl"/>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s-AR" sz="1100"/>
        </a:p>
      </xdr:txBody>
    </xdr:sp>
    <xdr:clientData/>
  </xdr:twoCellAnchor>
  <xdr:twoCellAnchor>
    <xdr:from>
      <xdr:col>2</xdr:col>
      <xdr:colOff>556374</xdr:colOff>
      <xdr:row>1</xdr:row>
      <xdr:rowOff>134471</xdr:rowOff>
    </xdr:from>
    <xdr:to>
      <xdr:col>2</xdr:col>
      <xdr:colOff>1658473</xdr:colOff>
      <xdr:row>4</xdr:row>
      <xdr:rowOff>11206</xdr:rowOff>
    </xdr:to>
    <xdr:sp macro="" textlink="">
      <xdr:nvSpPr>
        <xdr:cNvPr id="3" name="Text Box 5"/>
        <xdr:cNvSpPr txBox="1">
          <a:spLocks noChangeArrowheads="1"/>
        </xdr:cNvSpPr>
      </xdr:nvSpPr>
      <xdr:spPr bwMode="auto">
        <a:xfrm>
          <a:off x="3537139" y="291353"/>
          <a:ext cx="1102099" cy="347382"/>
        </a:xfrm>
        <a:prstGeom prst="rect">
          <a:avLst/>
        </a:prstGeom>
        <a:noFill/>
        <a:ln w="9525">
          <a:noFill/>
          <a:miter lim="800000"/>
          <a:headEnd/>
          <a:tailEnd/>
        </a:ln>
      </xdr:spPr>
      <xdr:txBody>
        <a:bodyPr vertOverflow="clip" wrap="square" lIns="27432" tIns="22860" rIns="0" bIns="0" anchor="t" upright="1"/>
        <a:lstStyle/>
        <a:p>
          <a:pPr algn="l" rtl="0">
            <a:defRPr sz="1000"/>
          </a:pPr>
          <a:r>
            <a:rPr lang="es-AR" sz="1000" b="1" i="0" u="none" strike="noStrike" baseline="0">
              <a:solidFill>
                <a:srgbClr val="000000"/>
              </a:solidFill>
              <a:latin typeface="Arial"/>
              <a:cs typeface="Arial"/>
            </a:rPr>
            <a:t>Producción y abastecimiento</a:t>
          </a:r>
        </a:p>
      </xdr:txBody>
    </xdr:sp>
    <xdr:clientData/>
  </xdr:twoCellAnchor>
  <xdr:twoCellAnchor>
    <xdr:from>
      <xdr:col>1</xdr:col>
      <xdr:colOff>19050</xdr:colOff>
      <xdr:row>0</xdr:row>
      <xdr:rowOff>104775</xdr:rowOff>
    </xdr:from>
    <xdr:to>
      <xdr:col>2</xdr:col>
      <xdr:colOff>67235</xdr:colOff>
      <xdr:row>5</xdr:row>
      <xdr:rowOff>9525</xdr:rowOff>
    </xdr:to>
    <xdr:sp macro="" textlink="">
      <xdr:nvSpPr>
        <xdr:cNvPr id="4" name="AutoShape 3"/>
        <xdr:cNvSpPr>
          <a:spLocks noChangeArrowheads="1"/>
        </xdr:cNvSpPr>
      </xdr:nvSpPr>
      <xdr:spPr bwMode="auto">
        <a:xfrm>
          <a:off x="1150844" y="104775"/>
          <a:ext cx="1897156" cy="689162"/>
        </a:xfrm>
        <a:prstGeom prst="homePlate">
          <a:avLst>
            <a:gd name="adj" fmla="val 54000"/>
          </a:avLst>
        </a:prstGeom>
        <a:blipFill>
          <a:blip xmlns:r="http://schemas.openxmlformats.org/officeDocument/2006/relationships" r:embed="rId1" cstate="print"/>
          <a:tile tx="0" ty="0" sx="100000" sy="100000" flip="none" algn="tl"/>
        </a:blipFill>
        <a:ln w="9525">
          <a:solidFill>
            <a:srgbClr val="000000"/>
          </a:solidFill>
          <a:miter lim="800000"/>
          <a:headEnd/>
          <a:tailEnd/>
        </a:ln>
      </xdr:spPr>
    </xdr:sp>
    <xdr:clientData/>
  </xdr:twoCellAnchor>
  <xdr:twoCellAnchor>
    <xdr:from>
      <xdr:col>1</xdr:col>
      <xdr:colOff>177054</xdr:colOff>
      <xdr:row>2</xdr:row>
      <xdr:rowOff>24656</xdr:rowOff>
    </xdr:from>
    <xdr:to>
      <xdr:col>1</xdr:col>
      <xdr:colOff>874060</xdr:colOff>
      <xdr:row>3</xdr:row>
      <xdr:rowOff>100855</xdr:rowOff>
    </xdr:to>
    <xdr:sp macro="" textlink="">
      <xdr:nvSpPr>
        <xdr:cNvPr id="5" name="Text Box 2"/>
        <xdr:cNvSpPr txBox="1">
          <a:spLocks noChangeArrowheads="1"/>
        </xdr:cNvSpPr>
      </xdr:nvSpPr>
      <xdr:spPr bwMode="auto">
        <a:xfrm>
          <a:off x="1308848" y="338421"/>
          <a:ext cx="697006" cy="233081"/>
        </a:xfrm>
        <a:prstGeom prst="rect">
          <a:avLst/>
        </a:prstGeom>
        <a:noFill/>
        <a:ln w="9525">
          <a:noFill/>
          <a:miter lim="800000"/>
          <a:headEnd/>
          <a:tailEnd/>
        </a:ln>
      </xdr:spPr>
      <xdr:txBody>
        <a:bodyPr vertOverflow="clip" wrap="square" lIns="27432" tIns="22860" rIns="0" bIns="0" anchor="t" upright="1"/>
        <a:lstStyle/>
        <a:p>
          <a:pPr algn="l" rtl="0">
            <a:defRPr sz="1000"/>
          </a:pPr>
          <a:r>
            <a:rPr lang="es-AR" sz="1000" b="1" i="0" u="none" strike="noStrike" baseline="0">
              <a:solidFill>
                <a:srgbClr val="000000"/>
              </a:solidFill>
              <a:latin typeface="Arial"/>
              <a:cs typeface="Arial"/>
            </a:rPr>
            <a:t>Diseño</a:t>
          </a:r>
        </a:p>
      </xdr:txBody>
    </xdr:sp>
    <xdr:clientData/>
  </xdr:twoCellAnchor>
  <xdr:twoCellAnchor>
    <xdr:from>
      <xdr:col>3</xdr:col>
      <xdr:colOff>451037</xdr:colOff>
      <xdr:row>1</xdr:row>
      <xdr:rowOff>117664</xdr:rowOff>
    </xdr:from>
    <xdr:to>
      <xdr:col>3</xdr:col>
      <xdr:colOff>1613648</xdr:colOff>
      <xdr:row>4</xdr:row>
      <xdr:rowOff>8406</xdr:rowOff>
    </xdr:to>
    <xdr:sp macro="" textlink="">
      <xdr:nvSpPr>
        <xdr:cNvPr id="9" name="Text Box 9"/>
        <xdr:cNvSpPr txBox="1">
          <a:spLocks noChangeArrowheads="1"/>
        </xdr:cNvSpPr>
      </xdr:nvSpPr>
      <xdr:spPr bwMode="auto">
        <a:xfrm>
          <a:off x="5941919" y="274546"/>
          <a:ext cx="1162611" cy="361389"/>
        </a:xfrm>
        <a:prstGeom prst="rect">
          <a:avLst/>
        </a:prstGeom>
        <a:noFill/>
        <a:ln w="9525">
          <a:noFill/>
          <a:miter lim="800000"/>
          <a:headEnd/>
          <a:tailEnd/>
        </a:ln>
      </xdr:spPr>
      <xdr:txBody>
        <a:bodyPr vertOverflow="clip" wrap="square" lIns="27432" tIns="22860" rIns="0" bIns="0" anchor="t" upright="1"/>
        <a:lstStyle/>
        <a:p>
          <a:pPr algn="l" rtl="0">
            <a:defRPr sz="1000"/>
          </a:pPr>
          <a:r>
            <a:rPr lang="es-AR" sz="1000" b="1" i="0" u="none" strike="noStrike" baseline="0">
              <a:solidFill>
                <a:srgbClr val="000000"/>
              </a:solidFill>
              <a:latin typeface="Arial"/>
              <a:cs typeface="Arial"/>
            </a:rPr>
            <a:t>Distribución y comercialización</a:t>
          </a:r>
        </a:p>
      </xdr:txBody>
    </xdr:sp>
    <xdr:clientData/>
  </xdr:twoCellAnchor>
  <xdr:twoCellAnchor>
    <xdr:from>
      <xdr:col>4</xdr:col>
      <xdr:colOff>391649</xdr:colOff>
      <xdr:row>2</xdr:row>
      <xdr:rowOff>24653</xdr:rowOff>
    </xdr:from>
    <xdr:to>
      <xdr:col>4</xdr:col>
      <xdr:colOff>1106024</xdr:colOff>
      <xdr:row>4</xdr:row>
      <xdr:rowOff>24654</xdr:rowOff>
    </xdr:to>
    <xdr:sp macro="" textlink="">
      <xdr:nvSpPr>
        <xdr:cNvPr id="13" name="Text Box 13"/>
        <xdr:cNvSpPr txBox="1">
          <a:spLocks noChangeArrowheads="1"/>
        </xdr:cNvSpPr>
      </xdr:nvSpPr>
      <xdr:spPr bwMode="auto">
        <a:xfrm>
          <a:off x="8303002" y="338418"/>
          <a:ext cx="714375" cy="313765"/>
        </a:xfrm>
        <a:prstGeom prst="rect">
          <a:avLst/>
        </a:prstGeom>
        <a:noFill/>
        <a:ln w="9525">
          <a:noFill/>
          <a:miter lim="800000"/>
          <a:headEnd/>
          <a:tailEnd/>
        </a:ln>
      </xdr:spPr>
      <xdr:txBody>
        <a:bodyPr vertOverflow="clip" wrap="square" lIns="27432" tIns="22860" rIns="0" bIns="0" anchor="t" upright="1"/>
        <a:lstStyle/>
        <a:p>
          <a:pPr algn="l" rtl="0">
            <a:defRPr sz="1000"/>
          </a:pPr>
          <a:r>
            <a:rPr lang="es-AR" sz="1000" b="1" i="0" u="none" strike="noStrike" baseline="0">
              <a:solidFill>
                <a:srgbClr val="000000"/>
              </a:solidFill>
              <a:latin typeface="Arial"/>
              <a:cs typeface="Arial"/>
            </a:rPr>
            <a:t>Post Venta</a:t>
          </a:r>
        </a:p>
      </xdr:txBody>
    </xdr:sp>
    <xdr:clientData/>
  </xdr:twoCellAnchor>
  <xdr:twoCellAnchor>
    <xdr:from>
      <xdr:col>0</xdr:col>
      <xdr:colOff>53784</xdr:colOff>
      <xdr:row>1</xdr:row>
      <xdr:rowOff>103096</xdr:rowOff>
    </xdr:from>
    <xdr:to>
      <xdr:col>1</xdr:col>
      <xdr:colOff>11205</xdr:colOff>
      <xdr:row>4</xdr:row>
      <xdr:rowOff>22411</xdr:rowOff>
    </xdr:to>
    <xdr:sp macro="" textlink="">
      <xdr:nvSpPr>
        <xdr:cNvPr id="38" name="Text Box 2"/>
        <xdr:cNvSpPr txBox="1">
          <a:spLocks noChangeArrowheads="1"/>
        </xdr:cNvSpPr>
      </xdr:nvSpPr>
      <xdr:spPr bwMode="auto">
        <a:xfrm>
          <a:off x="53784" y="259978"/>
          <a:ext cx="1089215" cy="389962"/>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AR" sz="1050" b="1" i="0" u="none" strike="noStrike" baseline="0">
              <a:solidFill>
                <a:schemeClr val="tx2">
                  <a:lumMod val="75000"/>
                </a:schemeClr>
              </a:solidFill>
              <a:latin typeface="Arial"/>
              <a:cs typeface="Arial"/>
            </a:rPr>
            <a:t>Factores Diferenciales</a:t>
          </a:r>
        </a:p>
      </xdr:txBody>
    </xdr:sp>
    <xdr:clientData/>
  </xdr:twoCellAnchor>
  <xdr:twoCellAnchor>
    <xdr:from>
      <xdr:col>0</xdr:col>
      <xdr:colOff>145676</xdr:colOff>
      <xdr:row>4</xdr:row>
      <xdr:rowOff>22407</xdr:rowOff>
    </xdr:from>
    <xdr:to>
      <xdr:col>0</xdr:col>
      <xdr:colOff>773205</xdr:colOff>
      <xdr:row>5</xdr:row>
      <xdr:rowOff>89642</xdr:rowOff>
    </xdr:to>
    <xdr:sp macro="" textlink="">
      <xdr:nvSpPr>
        <xdr:cNvPr id="39" name="38 Triángulo isósceles"/>
        <xdr:cNvSpPr/>
      </xdr:nvSpPr>
      <xdr:spPr bwMode="auto">
        <a:xfrm rot="10800000">
          <a:off x="145676" y="649936"/>
          <a:ext cx="627529" cy="224118"/>
        </a:xfrm>
        <a:prstGeom prst="triangle">
          <a:avLst/>
        </a:prstGeom>
        <a:solidFill>
          <a:schemeClr val="accent6">
            <a:lumMod val="50000"/>
          </a:schemeClr>
        </a:solidFill>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es-AR" sz="1100"/>
        </a:p>
      </xdr:txBody>
    </xdr:sp>
    <xdr:clientData/>
  </xdr:twoCellAnchor>
  <xdr:twoCellAnchor>
    <xdr:from>
      <xdr:col>3</xdr:col>
      <xdr:colOff>2133880</xdr:colOff>
      <xdr:row>11</xdr:row>
      <xdr:rowOff>952498</xdr:rowOff>
    </xdr:from>
    <xdr:to>
      <xdr:col>3</xdr:col>
      <xdr:colOff>2360893</xdr:colOff>
      <xdr:row>12</xdr:row>
      <xdr:rowOff>183962</xdr:rowOff>
    </xdr:to>
    <xdr:grpSp>
      <xdr:nvGrpSpPr>
        <xdr:cNvPr id="42" name="Group 28"/>
        <xdr:cNvGrpSpPr>
          <a:grpSpLocks/>
        </xdr:cNvGrpSpPr>
      </xdr:nvGrpSpPr>
      <xdr:grpSpPr bwMode="auto">
        <a:xfrm rot="87968">
          <a:off x="7624762" y="5277969"/>
          <a:ext cx="227013" cy="206375"/>
          <a:chOff x="1686" y="1625"/>
          <a:chExt cx="179" cy="179"/>
        </a:xfrm>
      </xdr:grpSpPr>
      <xdr:sp macro="" textlink="">
        <xdr:nvSpPr>
          <xdr:cNvPr id="48" name="Oval 29"/>
          <xdr:cNvSpPr>
            <a:spLocks noChangeAspect="1" noChangeArrowheads="1"/>
          </xdr:cNvSpPr>
        </xdr:nvSpPr>
        <xdr:spPr bwMode="auto">
          <a:xfrm rot="10800000">
            <a:off x="1688" y="1630"/>
            <a:ext cx="177" cy="174"/>
          </a:xfrm>
          <a:prstGeom prst="ellipse">
            <a:avLst/>
          </a:prstGeom>
          <a:solidFill>
            <a:schemeClr val="tx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sp macro="" textlink="">
        <xdr:nvSpPr>
          <xdr:cNvPr id="49" name="Arc 30"/>
          <xdr:cNvSpPr>
            <a:spLocks noChangeAspect="1"/>
          </xdr:cNvSpPr>
        </xdr:nvSpPr>
        <xdr:spPr bwMode="auto">
          <a:xfrm rot="10800000">
            <a:off x="1686" y="1625"/>
            <a:ext cx="89" cy="176"/>
          </a:xfrm>
          <a:custGeom>
            <a:avLst/>
            <a:gdLst>
              <a:gd name="T0" fmla="*/ 0 w 21600"/>
              <a:gd name="T1" fmla="*/ 0 h 43199"/>
              <a:gd name="T2" fmla="*/ 0 w 21600"/>
              <a:gd name="T3" fmla="*/ 0 h 43199"/>
              <a:gd name="T4" fmla="*/ 0 w 21600"/>
              <a:gd name="T5" fmla="*/ 0 h 43199"/>
              <a:gd name="T6" fmla="*/ 0 60000 65536"/>
              <a:gd name="T7" fmla="*/ 0 60000 65536"/>
              <a:gd name="T8" fmla="*/ 0 60000 65536"/>
              <a:gd name="T9" fmla="*/ 0 w 21600"/>
              <a:gd name="T10" fmla="*/ 0 h 43199"/>
              <a:gd name="T11" fmla="*/ 21600 w 21600"/>
              <a:gd name="T12" fmla="*/ 43199 h 43199"/>
            </a:gdLst>
            <a:ahLst/>
            <a:cxnLst>
              <a:cxn ang="T6">
                <a:pos x="T0" y="T1"/>
              </a:cxn>
              <a:cxn ang="T7">
                <a:pos x="T2" y="T3"/>
              </a:cxn>
              <a:cxn ang="T8">
                <a:pos x="T4" y="T5"/>
              </a:cxn>
            </a:cxnLst>
            <a:rect l="T9" t="T10" r="T11" b="T12"/>
            <a:pathLst>
              <a:path w="21600" h="43199" fill="none" extrusionOk="0">
                <a:moveTo>
                  <a:pt x="-1" y="0"/>
                </a:moveTo>
                <a:cubicBezTo>
                  <a:pt x="11929" y="0"/>
                  <a:pt x="21600" y="9670"/>
                  <a:pt x="21600" y="21600"/>
                </a:cubicBezTo>
                <a:cubicBezTo>
                  <a:pt x="21600" y="33470"/>
                  <a:pt x="12020" y="43117"/>
                  <a:pt x="150" y="43199"/>
                </a:cubicBezTo>
              </a:path>
              <a:path w="21600" h="43199" stroke="0" extrusionOk="0">
                <a:moveTo>
                  <a:pt x="-1" y="0"/>
                </a:moveTo>
                <a:cubicBezTo>
                  <a:pt x="11929" y="0"/>
                  <a:pt x="21600" y="9670"/>
                  <a:pt x="21600" y="21600"/>
                </a:cubicBezTo>
                <a:cubicBezTo>
                  <a:pt x="21600" y="33470"/>
                  <a:pt x="12020" y="43117"/>
                  <a:pt x="150" y="43199"/>
                </a:cubicBezTo>
                <a:lnTo>
                  <a:pt x="0" y="21600"/>
                </a:lnTo>
                <a:close/>
              </a:path>
            </a:pathLst>
          </a:custGeom>
          <a:solidFill>
            <a:schemeClr val="bg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grpSp>
    <xdr:clientData/>
  </xdr:twoCellAnchor>
  <xdr:twoCellAnchor>
    <xdr:from>
      <xdr:col>3</xdr:col>
      <xdr:colOff>2183465</xdr:colOff>
      <xdr:row>10</xdr:row>
      <xdr:rowOff>449916</xdr:rowOff>
    </xdr:from>
    <xdr:to>
      <xdr:col>3</xdr:col>
      <xdr:colOff>2389840</xdr:colOff>
      <xdr:row>11</xdr:row>
      <xdr:rowOff>2988</xdr:rowOff>
    </xdr:to>
    <xdr:sp macro="" textlink="">
      <xdr:nvSpPr>
        <xdr:cNvPr id="43" name="Oval 31"/>
        <xdr:cNvSpPr>
          <a:spLocks noChangeAspect="1" noChangeArrowheads="1"/>
        </xdr:cNvSpPr>
      </xdr:nvSpPr>
      <xdr:spPr bwMode="auto">
        <a:xfrm rot="16200000">
          <a:off x="7664822" y="4112559"/>
          <a:ext cx="225425" cy="206375"/>
        </a:xfrm>
        <a:prstGeom prst="ellipse">
          <a:avLst/>
        </a:prstGeom>
        <a:solidFill>
          <a:schemeClr val="tx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clientData/>
  </xdr:twoCellAnchor>
  <xdr:twoCellAnchor>
    <xdr:from>
      <xdr:col>2</xdr:col>
      <xdr:colOff>2212975</xdr:colOff>
      <xdr:row>12</xdr:row>
      <xdr:rowOff>606893</xdr:rowOff>
    </xdr:from>
    <xdr:to>
      <xdr:col>2</xdr:col>
      <xdr:colOff>2427287</xdr:colOff>
      <xdr:row>13</xdr:row>
      <xdr:rowOff>190128</xdr:rowOff>
    </xdr:to>
    <xdr:grpSp>
      <xdr:nvGrpSpPr>
        <xdr:cNvPr id="44" name="Group 32"/>
        <xdr:cNvGrpSpPr>
          <a:grpSpLocks/>
        </xdr:cNvGrpSpPr>
      </xdr:nvGrpSpPr>
      <xdr:grpSpPr bwMode="auto">
        <a:xfrm rot="-5400000">
          <a:off x="5173102" y="5927913"/>
          <a:ext cx="255588" cy="214312"/>
          <a:chOff x="5129" y="2750"/>
          <a:chExt cx="179" cy="177"/>
        </a:xfrm>
      </xdr:grpSpPr>
      <xdr:sp macro="" textlink="">
        <xdr:nvSpPr>
          <xdr:cNvPr id="46" name="Oval 33"/>
          <xdr:cNvSpPr>
            <a:spLocks noChangeAspect="1" noChangeArrowheads="1"/>
          </xdr:cNvSpPr>
        </xdr:nvSpPr>
        <xdr:spPr bwMode="auto">
          <a:xfrm>
            <a:off x="5129" y="2750"/>
            <a:ext cx="179" cy="177"/>
          </a:xfrm>
          <a:prstGeom prst="ellipse">
            <a:avLst/>
          </a:prstGeom>
          <a:solidFill>
            <a:schemeClr val="tx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sp macro="" textlink="">
        <xdr:nvSpPr>
          <xdr:cNvPr id="47" name="Arc 34"/>
          <xdr:cNvSpPr>
            <a:spLocks noChangeAspect="1"/>
          </xdr:cNvSpPr>
        </xdr:nvSpPr>
        <xdr:spPr bwMode="auto">
          <a:xfrm>
            <a:off x="5213" y="2754"/>
            <a:ext cx="89" cy="90"/>
          </a:xfrm>
          <a:custGeom>
            <a:avLst/>
            <a:gdLst>
              <a:gd name="T0" fmla="*/ 0 w 21599"/>
              <a:gd name="T1" fmla="*/ 0 h 21600"/>
              <a:gd name="T2" fmla="*/ 0 w 21599"/>
              <a:gd name="T3" fmla="*/ 0 h 21600"/>
              <a:gd name="T4" fmla="*/ 0 w 21599"/>
              <a:gd name="T5" fmla="*/ 0 h 21600"/>
              <a:gd name="T6" fmla="*/ 0 60000 65536"/>
              <a:gd name="T7" fmla="*/ 0 60000 65536"/>
              <a:gd name="T8" fmla="*/ 0 60000 65536"/>
              <a:gd name="T9" fmla="*/ 0 w 21599"/>
              <a:gd name="T10" fmla="*/ 0 h 21600"/>
              <a:gd name="T11" fmla="*/ 21599 w 21599"/>
              <a:gd name="T12" fmla="*/ 21600 h 21600"/>
            </a:gdLst>
            <a:ahLst/>
            <a:cxnLst>
              <a:cxn ang="T6">
                <a:pos x="T0" y="T1"/>
              </a:cxn>
              <a:cxn ang="T7">
                <a:pos x="T2" y="T3"/>
              </a:cxn>
              <a:cxn ang="T8">
                <a:pos x="T4" y="T5"/>
              </a:cxn>
            </a:cxnLst>
            <a:rect l="T9" t="T10" r="T11" b="T12"/>
            <a:pathLst>
              <a:path w="21599" h="21600" fill="none" extrusionOk="0">
                <a:moveTo>
                  <a:pt x="-1" y="0"/>
                </a:moveTo>
                <a:cubicBezTo>
                  <a:pt x="11835" y="0"/>
                  <a:pt x="21467" y="9525"/>
                  <a:pt x="21598" y="21360"/>
                </a:cubicBezTo>
              </a:path>
              <a:path w="21599" h="21600" stroke="0" extrusionOk="0">
                <a:moveTo>
                  <a:pt x="-1" y="0"/>
                </a:moveTo>
                <a:cubicBezTo>
                  <a:pt x="11835" y="0"/>
                  <a:pt x="21467" y="9525"/>
                  <a:pt x="21598" y="21360"/>
                </a:cubicBezTo>
                <a:lnTo>
                  <a:pt x="0" y="21600"/>
                </a:lnTo>
                <a:close/>
              </a:path>
            </a:pathLst>
          </a:custGeom>
          <a:solidFill>
            <a:schemeClr val="bg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grpSp>
    <xdr:clientData/>
  </xdr:twoCellAnchor>
  <xdr:twoCellAnchor>
    <xdr:from>
      <xdr:col>1</xdr:col>
      <xdr:colOff>1488701</xdr:colOff>
      <xdr:row>7</xdr:row>
      <xdr:rowOff>672353</xdr:rowOff>
    </xdr:from>
    <xdr:to>
      <xdr:col>1</xdr:col>
      <xdr:colOff>1715713</xdr:colOff>
      <xdr:row>8</xdr:row>
      <xdr:rowOff>83110</xdr:rowOff>
    </xdr:to>
    <xdr:sp macro="" textlink="">
      <xdr:nvSpPr>
        <xdr:cNvPr id="45" name="Oval 35"/>
        <xdr:cNvSpPr>
          <a:spLocks noChangeAspect="1" noChangeArrowheads="1"/>
        </xdr:cNvSpPr>
      </xdr:nvSpPr>
      <xdr:spPr bwMode="auto">
        <a:xfrm>
          <a:off x="2620495" y="1916206"/>
          <a:ext cx="227012" cy="206375"/>
        </a:xfrm>
        <a:prstGeom prst="ellipse">
          <a:avLst/>
        </a:prstGeom>
        <a:solidFill>
          <a:schemeClr val="bg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clientData/>
  </xdr:twoCellAnchor>
  <xdr:twoCellAnchor>
    <xdr:from>
      <xdr:col>2</xdr:col>
      <xdr:colOff>2181411</xdr:colOff>
      <xdr:row>9</xdr:row>
      <xdr:rowOff>567018</xdr:rowOff>
    </xdr:from>
    <xdr:to>
      <xdr:col>2</xdr:col>
      <xdr:colOff>2408423</xdr:colOff>
      <xdr:row>10</xdr:row>
      <xdr:rowOff>134657</xdr:rowOff>
    </xdr:to>
    <xdr:grpSp>
      <xdr:nvGrpSpPr>
        <xdr:cNvPr id="25" name="Group 25"/>
        <xdr:cNvGrpSpPr>
          <a:grpSpLocks/>
        </xdr:cNvGrpSpPr>
      </xdr:nvGrpSpPr>
      <xdr:grpSpPr bwMode="auto">
        <a:xfrm>
          <a:off x="5162176" y="3581400"/>
          <a:ext cx="227012" cy="206375"/>
          <a:chOff x="5075" y="1718"/>
          <a:chExt cx="179" cy="179"/>
        </a:xfrm>
      </xdr:grpSpPr>
      <xdr:sp macro="" textlink="">
        <xdr:nvSpPr>
          <xdr:cNvPr id="26" name="Oval 26"/>
          <xdr:cNvSpPr>
            <a:spLocks noChangeAspect="1" noChangeArrowheads="1"/>
          </xdr:cNvSpPr>
        </xdr:nvSpPr>
        <xdr:spPr bwMode="auto">
          <a:xfrm>
            <a:off x="5075" y="1718"/>
            <a:ext cx="179" cy="179"/>
          </a:xfrm>
          <a:prstGeom prst="ellipse">
            <a:avLst/>
          </a:prstGeom>
          <a:solidFill>
            <a:schemeClr val="bg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sp macro="" textlink="">
        <xdr:nvSpPr>
          <xdr:cNvPr id="27" name="Arc 27"/>
          <xdr:cNvSpPr>
            <a:spLocks noChangeAspect="1"/>
          </xdr:cNvSpPr>
        </xdr:nvSpPr>
        <xdr:spPr bwMode="auto">
          <a:xfrm>
            <a:off x="5164" y="1720"/>
            <a:ext cx="90" cy="90"/>
          </a:xfrm>
          <a:custGeom>
            <a:avLst/>
            <a:gdLst>
              <a:gd name="T0" fmla="*/ 0 w 21575"/>
              <a:gd name="T1" fmla="*/ 0 h 21600"/>
              <a:gd name="T2" fmla="*/ 0 w 21575"/>
              <a:gd name="T3" fmla="*/ 0 h 21600"/>
              <a:gd name="T4" fmla="*/ 0 w 21575"/>
              <a:gd name="T5" fmla="*/ 0 h 21600"/>
              <a:gd name="T6" fmla="*/ 0 60000 65536"/>
              <a:gd name="T7" fmla="*/ 0 60000 65536"/>
              <a:gd name="T8" fmla="*/ 0 60000 65536"/>
              <a:gd name="T9" fmla="*/ 0 w 21575"/>
              <a:gd name="T10" fmla="*/ 0 h 21600"/>
              <a:gd name="T11" fmla="*/ 21575 w 21575"/>
              <a:gd name="T12" fmla="*/ 21600 h 21600"/>
            </a:gdLst>
            <a:ahLst/>
            <a:cxnLst>
              <a:cxn ang="T6">
                <a:pos x="T0" y="T1"/>
              </a:cxn>
              <a:cxn ang="T7">
                <a:pos x="T2" y="T3"/>
              </a:cxn>
              <a:cxn ang="T8">
                <a:pos x="T4" y="T5"/>
              </a:cxn>
            </a:cxnLst>
            <a:rect l="T9" t="T10" r="T11" b="T12"/>
            <a:pathLst>
              <a:path w="21575" h="21600" fill="none" extrusionOk="0">
                <a:moveTo>
                  <a:pt x="-1" y="0"/>
                </a:moveTo>
                <a:cubicBezTo>
                  <a:pt x="11521" y="0"/>
                  <a:pt x="21014" y="9043"/>
                  <a:pt x="21574" y="20551"/>
                </a:cubicBezTo>
              </a:path>
              <a:path w="21575" h="21600" stroke="0" extrusionOk="0">
                <a:moveTo>
                  <a:pt x="-1" y="0"/>
                </a:moveTo>
                <a:cubicBezTo>
                  <a:pt x="11521" y="0"/>
                  <a:pt x="21014" y="9043"/>
                  <a:pt x="21574" y="20551"/>
                </a:cubicBezTo>
                <a:lnTo>
                  <a:pt x="0" y="21600"/>
                </a:lnTo>
                <a:close/>
              </a:path>
            </a:pathLst>
          </a:custGeom>
          <a:solidFill>
            <a:schemeClr val="tx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grpSp>
    <xdr:clientData/>
  </xdr:twoCellAnchor>
  <xdr:twoCellAnchor>
    <xdr:from>
      <xdr:col>4</xdr:col>
      <xdr:colOff>1995581</xdr:colOff>
      <xdr:row>13</xdr:row>
      <xdr:rowOff>568793</xdr:rowOff>
    </xdr:from>
    <xdr:to>
      <xdr:col>4</xdr:col>
      <xdr:colOff>2209893</xdr:colOff>
      <xdr:row>13</xdr:row>
      <xdr:rowOff>824381</xdr:rowOff>
    </xdr:to>
    <xdr:grpSp>
      <xdr:nvGrpSpPr>
        <xdr:cNvPr id="28" name="Group 32"/>
        <xdr:cNvGrpSpPr>
          <a:grpSpLocks/>
        </xdr:cNvGrpSpPr>
      </xdr:nvGrpSpPr>
      <xdr:grpSpPr bwMode="auto">
        <a:xfrm rot="-5400000">
          <a:off x="9886296" y="6562166"/>
          <a:ext cx="255588" cy="214312"/>
          <a:chOff x="5129" y="2750"/>
          <a:chExt cx="179" cy="177"/>
        </a:xfrm>
      </xdr:grpSpPr>
      <xdr:sp macro="" textlink="">
        <xdr:nvSpPr>
          <xdr:cNvPr id="29" name="Oval 33"/>
          <xdr:cNvSpPr>
            <a:spLocks noChangeAspect="1" noChangeArrowheads="1"/>
          </xdr:cNvSpPr>
        </xdr:nvSpPr>
        <xdr:spPr bwMode="auto">
          <a:xfrm>
            <a:off x="5129" y="2750"/>
            <a:ext cx="179" cy="177"/>
          </a:xfrm>
          <a:prstGeom prst="ellipse">
            <a:avLst/>
          </a:prstGeom>
          <a:solidFill>
            <a:schemeClr val="tx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sp macro="" textlink="">
        <xdr:nvSpPr>
          <xdr:cNvPr id="30" name="Arc 34"/>
          <xdr:cNvSpPr>
            <a:spLocks noChangeAspect="1"/>
          </xdr:cNvSpPr>
        </xdr:nvSpPr>
        <xdr:spPr bwMode="auto">
          <a:xfrm>
            <a:off x="5213" y="2754"/>
            <a:ext cx="89" cy="90"/>
          </a:xfrm>
          <a:custGeom>
            <a:avLst/>
            <a:gdLst>
              <a:gd name="T0" fmla="*/ 0 w 21599"/>
              <a:gd name="T1" fmla="*/ 0 h 21600"/>
              <a:gd name="T2" fmla="*/ 0 w 21599"/>
              <a:gd name="T3" fmla="*/ 0 h 21600"/>
              <a:gd name="T4" fmla="*/ 0 w 21599"/>
              <a:gd name="T5" fmla="*/ 0 h 21600"/>
              <a:gd name="T6" fmla="*/ 0 60000 65536"/>
              <a:gd name="T7" fmla="*/ 0 60000 65536"/>
              <a:gd name="T8" fmla="*/ 0 60000 65536"/>
              <a:gd name="T9" fmla="*/ 0 w 21599"/>
              <a:gd name="T10" fmla="*/ 0 h 21600"/>
              <a:gd name="T11" fmla="*/ 21599 w 21599"/>
              <a:gd name="T12" fmla="*/ 21600 h 21600"/>
            </a:gdLst>
            <a:ahLst/>
            <a:cxnLst>
              <a:cxn ang="T6">
                <a:pos x="T0" y="T1"/>
              </a:cxn>
              <a:cxn ang="T7">
                <a:pos x="T2" y="T3"/>
              </a:cxn>
              <a:cxn ang="T8">
                <a:pos x="T4" y="T5"/>
              </a:cxn>
            </a:cxnLst>
            <a:rect l="T9" t="T10" r="T11" b="T12"/>
            <a:pathLst>
              <a:path w="21599" h="21600" fill="none" extrusionOk="0">
                <a:moveTo>
                  <a:pt x="-1" y="0"/>
                </a:moveTo>
                <a:cubicBezTo>
                  <a:pt x="11835" y="0"/>
                  <a:pt x="21467" y="9525"/>
                  <a:pt x="21598" y="21360"/>
                </a:cubicBezTo>
              </a:path>
              <a:path w="21599" h="21600" stroke="0" extrusionOk="0">
                <a:moveTo>
                  <a:pt x="-1" y="0"/>
                </a:moveTo>
                <a:cubicBezTo>
                  <a:pt x="11835" y="0"/>
                  <a:pt x="21467" y="9525"/>
                  <a:pt x="21598" y="21360"/>
                </a:cubicBezTo>
                <a:lnTo>
                  <a:pt x="0" y="21600"/>
                </a:lnTo>
                <a:close/>
              </a:path>
            </a:pathLst>
          </a:custGeom>
          <a:solidFill>
            <a:schemeClr val="bg1"/>
          </a:solidFill>
          <a:ln w="12700">
            <a:solidFill>
              <a:schemeClr val="tx1"/>
            </a:solidFill>
            <a:round/>
            <a:headEnd type="none" w="sm" len="sm"/>
            <a:tailEnd type="none" w="sm" len="sm"/>
          </a:ln>
        </xdr:spPr>
        <xdr:txBody>
          <a:bodyPr wrap="square" anchor="ctr"/>
          <a:lstStyle>
            <a:defPPr>
              <a:defRPr lang="en-US"/>
            </a:defPPr>
            <a:lvl1pPr algn="ctr" rtl="0" fontAlgn="base">
              <a:spcBef>
                <a:spcPct val="0"/>
              </a:spcBef>
              <a:spcAft>
                <a:spcPct val="0"/>
              </a:spcAft>
              <a:defRPr sz="3200" kern="1200">
                <a:solidFill>
                  <a:schemeClr val="tx1"/>
                </a:solidFill>
                <a:latin typeface="Arial" charset="0"/>
                <a:ea typeface="+mn-ea"/>
                <a:cs typeface="+mn-cs"/>
              </a:defRPr>
            </a:lvl1pPr>
            <a:lvl2pPr marL="457200" algn="ctr" rtl="0" fontAlgn="base">
              <a:spcBef>
                <a:spcPct val="0"/>
              </a:spcBef>
              <a:spcAft>
                <a:spcPct val="0"/>
              </a:spcAft>
              <a:defRPr sz="3200" kern="1200">
                <a:solidFill>
                  <a:schemeClr val="tx1"/>
                </a:solidFill>
                <a:latin typeface="Arial" charset="0"/>
                <a:ea typeface="+mn-ea"/>
                <a:cs typeface="+mn-cs"/>
              </a:defRPr>
            </a:lvl2pPr>
            <a:lvl3pPr marL="914400" algn="ctr" rtl="0" fontAlgn="base">
              <a:spcBef>
                <a:spcPct val="0"/>
              </a:spcBef>
              <a:spcAft>
                <a:spcPct val="0"/>
              </a:spcAft>
              <a:defRPr sz="3200" kern="1200">
                <a:solidFill>
                  <a:schemeClr val="tx1"/>
                </a:solidFill>
                <a:latin typeface="Arial" charset="0"/>
                <a:ea typeface="+mn-ea"/>
                <a:cs typeface="+mn-cs"/>
              </a:defRPr>
            </a:lvl3pPr>
            <a:lvl4pPr marL="1371600" algn="ctr" rtl="0" fontAlgn="base">
              <a:spcBef>
                <a:spcPct val="0"/>
              </a:spcBef>
              <a:spcAft>
                <a:spcPct val="0"/>
              </a:spcAft>
              <a:defRPr sz="3200" kern="1200">
                <a:solidFill>
                  <a:schemeClr val="tx1"/>
                </a:solidFill>
                <a:latin typeface="Arial" charset="0"/>
                <a:ea typeface="+mn-ea"/>
                <a:cs typeface="+mn-cs"/>
              </a:defRPr>
            </a:lvl4pPr>
            <a:lvl5pPr marL="1828800" algn="ctr" rtl="0" fontAlgn="base">
              <a:spcBef>
                <a:spcPct val="0"/>
              </a:spcBef>
              <a:spcAft>
                <a:spcPct val="0"/>
              </a:spcAft>
              <a:defRPr sz="3200" kern="1200">
                <a:solidFill>
                  <a:schemeClr val="tx1"/>
                </a:solidFill>
                <a:latin typeface="Arial" charset="0"/>
                <a:ea typeface="+mn-ea"/>
                <a:cs typeface="+mn-cs"/>
              </a:defRPr>
            </a:lvl5pPr>
            <a:lvl6pPr marL="2286000" algn="l" defTabSz="914400" rtl="0" eaLnBrk="1" latinLnBrk="0" hangingPunct="1">
              <a:defRPr sz="3200" kern="1200">
                <a:solidFill>
                  <a:schemeClr val="tx1"/>
                </a:solidFill>
                <a:latin typeface="Arial" charset="0"/>
                <a:ea typeface="+mn-ea"/>
                <a:cs typeface="+mn-cs"/>
              </a:defRPr>
            </a:lvl6pPr>
            <a:lvl7pPr marL="2743200" algn="l" defTabSz="914400" rtl="0" eaLnBrk="1" latinLnBrk="0" hangingPunct="1">
              <a:defRPr sz="3200" kern="1200">
                <a:solidFill>
                  <a:schemeClr val="tx1"/>
                </a:solidFill>
                <a:latin typeface="Arial" charset="0"/>
                <a:ea typeface="+mn-ea"/>
                <a:cs typeface="+mn-cs"/>
              </a:defRPr>
            </a:lvl7pPr>
            <a:lvl8pPr marL="3200400" algn="l" defTabSz="914400" rtl="0" eaLnBrk="1" latinLnBrk="0" hangingPunct="1">
              <a:defRPr sz="3200" kern="1200">
                <a:solidFill>
                  <a:schemeClr val="tx1"/>
                </a:solidFill>
                <a:latin typeface="Arial" charset="0"/>
                <a:ea typeface="+mn-ea"/>
                <a:cs typeface="+mn-cs"/>
              </a:defRPr>
            </a:lvl8pPr>
            <a:lvl9pPr marL="3657600" algn="l" defTabSz="914400" rtl="0" eaLnBrk="1" latinLnBrk="0" hangingPunct="1">
              <a:defRPr sz="3200" kern="1200">
                <a:solidFill>
                  <a:schemeClr val="tx1"/>
                </a:solidFill>
                <a:latin typeface="Arial" charset="0"/>
                <a:ea typeface="+mn-ea"/>
                <a:cs typeface="+mn-cs"/>
              </a:defRPr>
            </a:lvl9pPr>
          </a:lstStyle>
          <a:p>
            <a:endParaRPr lang="es-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xdr:col>
      <xdr:colOff>438150</xdr:colOff>
      <xdr:row>1</xdr:row>
      <xdr:rowOff>123825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1152525" cy="419100"/>
        </a:xfrm>
        <a:prstGeom prst="rect">
          <a:avLst/>
        </a:prstGeom>
        <a:noFill/>
        <a:ln w="1">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323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32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323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1143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1143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24782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247827"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24885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248851"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00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105</xdr:row>
      <xdr:rowOff>0</xdr:rowOff>
    </xdr:from>
    <xdr:to>
      <xdr:col>0</xdr:col>
      <xdr:colOff>533400</xdr:colOff>
      <xdr:row>105</xdr:row>
      <xdr:rowOff>0</xdr:rowOff>
    </xdr:to>
    <xdr:pic>
      <xdr:nvPicPr>
        <xdr:cNvPr id="2480" name="Picture 2"/>
        <xdr:cNvPicPr>
          <a:picLocks noChangeArrowheads="1"/>
        </xdr:cNvPicPr>
      </xdr:nvPicPr>
      <xdr:blipFill>
        <a:blip xmlns:r="http://schemas.openxmlformats.org/officeDocument/2006/relationships" r:embed="rId1"/>
        <a:srcRect/>
        <a:stretch>
          <a:fillRect/>
        </a:stretch>
      </xdr:blipFill>
      <xdr:spPr bwMode="auto">
        <a:xfrm>
          <a:off x="38100" y="18087975"/>
          <a:ext cx="495300" cy="0"/>
        </a:xfrm>
        <a:prstGeom prst="rect">
          <a:avLst/>
        </a:prstGeom>
        <a:noFill/>
        <a:ln w="9525">
          <a:noFill/>
          <a:miter lim="800000"/>
          <a:headEnd/>
          <a:tailEnd/>
        </a:ln>
      </xdr:spPr>
    </xdr:pic>
    <xdr:clientData/>
  </xdr:twoCellAnchor>
  <xdr:twoCellAnchor>
    <xdr:from>
      <xdr:col>0</xdr:col>
      <xdr:colOff>38100</xdr:colOff>
      <xdr:row>103</xdr:row>
      <xdr:rowOff>0</xdr:rowOff>
    </xdr:from>
    <xdr:to>
      <xdr:col>0</xdr:col>
      <xdr:colOff>533400</xdr:colOff>
      <xdr:row>103</xdr:row>
      <xdr:rowOff>0</xdr:rowOff>
    </xdr:to>
    <xdr:pic>
      <xdr:nvPicPr>
        <xdr:cNvPr id="2481" name="Picture 3"/>
        <xdr:cNvPicPr>
          <a:picLocks noChangeArrowheads="1"/>
        </xdr:cNvPicPr>
      </xdr:nvPicPr>
      <xdr:blipFill>
        <a:blip xmlns:r="http://schemas.openxmlformats.org/officeDocument/2006/relationships" r:embed="rId1"/>
        <a:srcRect/>
        <a:stretch>
          <a:fillRect/>
        </a:stretch>
      </xdr:blipFill>
      <xdr:spPr bwMode="auto">
        <a:xfrm>
          <a:off x="38100" y="17630775"/>
          <a:ext cx="495300" cy="0"/>
        </a:xfrm>
        <a:prstGeom prst="rect">
          <a:avLst/>
        </a:prstGeom>
        <a:noFill/>
        <a:ln w="9525">
          <a:noFill/>
          <a:miter lim="800000"/>
          <a:headEnd/>
          <a:tailEnd/>
        </a:ln>
      </xdr:spPr>
    </xdr:pic>
    <xdr:clientData/>
  </xdr:twoCellAnchor>
  <xdr:twoCellAnchor>
    <xdr:from>
      <xdr:col>0</xdr:col>
      <xdr:colOff>38100</xdr:colOff>
      <xdr:row>105</xdr:row>
      <xdr:rowOff>0</xdr:rowOff>
    </xdr:from>
    <xdr:to>
      <xdr:col>0</xdr:col>
      <xdr:colOff>533400</xdr:colOff>
      <xdr:row>105</xdr:row>
      <xdr:rowOff>0</xdr:rowOff>
    </xdr:to>
    <xdr:pic>
      <xdr:nvPicPr>
        <xdr:cNvPr id="2482" name="Picture 5"/>
        <xdr:cNvPicPr>
          <a:picLocks noChangeArrowheads="1"/>
        </xdr:cNvPicPr>
      </xdr:nvPicPr>
      <xdr:blipFill>
        <a:blip xmlns:r="http://schemas.openxmlformats.org/officeDocument/2006/relationships" r:embed="rId1"/>
        <a:srcRect/>
        <a:stretch>
          <a:fillRect/>
        </a:stretch>
      </xdr:blipFill>
      <xdr:spPr bwMode="auto">
        <a:xfrm>
          <a:off x="38100" y="18087975"/>
          <a:ext cx="495300" cy="0"/>
        </a:xfrm>
        <a:prstGeom prst="rect">
          <a:avLst/>
        </a:prstGeom>
        <a:noFill/>
        <a:ln w="9525">
          <a:noFill/>
          <a:miter lim="800000"/>
          <a:headEnd/>
          <a:tailEnd/>
        </a:ln>
      </xdr:spPr>
    </xdr:pic>
    <xdr:clientData/>
  </xdr:twoCellAnchor>
  <xdr:twoCellAnchor>
    <xdr:from>
      <xdr:col>0</xdr:col>
      <xdr:colOff>38100</xdr:colOff>
      <xdr:row>103</xdr:row>
      <xdr:rowOff>0</xdr:rowOff>
    </xdr:from>
    <xdr:to>
      <xdr:col>0</xdr:col>
      <xdr:colOff>533400</xdr:colOff>
      <xdr:row>103</xdr:row>
      <xdr:rowOff>0</xdr:rowOff>
    </xdr:to>
    <xdr:pic>
      <xdr:nvPicPr>
        <xdr:cNvPr id="2483" name="Picture 6"/>
        <xdr:cNvPicPr>
          <a:picLocks noChangeArrowheads="1"/>
        </xdr:cNvPicPr>
      </xdr:nvPicPr>
      <xdr:blipFill>
        <a:blip xmlns:r="http://schemas.openxmlformats.org/officeDocument/2006/relationships" r:embed="rId1"/>
        <a:srcRect/>
        <a:stretch>
          <a:fillRect/>
        </a:stretch>
      </xdr:blipFill>
      <xdr:spPr bwMode="auto">
        <a:xfrm>
          <a:off x="38100" y="17630775"/>
          <a:ext cx="495300" cy="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923925</xdr:colOff>
      <xdr:row>1</xdr:row>
      <xdr:rowOff>66675</xdr:rowOff>
    </xdr:to>
    <xdr:pic>
      <xdr:nvPicPr>
        <xdr:cNvPr id="2484"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76200" y="19050"/>
          <a:ext cx="1381125" cy="428625"/>
        </a:xfrm>
        <a:prstGeom prst="rect">
          <a:avLst/>
        </a:prstGeom>
        <a:noFill/>
        <a:ln w="1">
          <a:noFill/>
          <a:miter lim="800000"/>
          <a:headEnd/>
          <a:tailEnd/>
        </a:ln>
      </xdr:spPr>
    </xdr:pic>
    <xdr:clientData/>
  </xdr:twoCellAnchor>
  <xdr:twoCellAnchor>
    <xdr:from>
      <xdr:col>15</xdr:col>
      <xdr:colOff>38100</xdr:colOff>
      <xdr:row>105</xdr:row>
      <xdr:rowOff>0</xdr:rowOff>
    </xdr:from>
    <xdr:to>
      <xdr:col>15</xdr:col>
      <xdr:colOff>533400</xdr:colOff>
      <xdr:row>105</xdr:row>
      <xdr:rowOff>0</xdr:rowOff>
    </xdr:to>
    <xdr:pic>
      <xdr:nvPicPr>
        <xdr:cNvPr id="7" name="Picture 2"/>
        <xdr:cNvPicPr>
          <a:picLocks noChangeArrowheads="1"/>
        </xdr:cNvPicPr>
      </xdr:nvPicPr>
      <xdr:blipFill>
        <a:blip xmlns:r="http://schemas.openxmlformats.org/officeDocument/2006/relationships" r:embed="rId1"/>
        <a:srcRect/>
        <a:stretch>
          <a:fillRect/>
        </a:stretch>
      </xdr:blipFill>
      <xdr:spPr bwMode="auto">
        <a:xfrm>
          <a:off x="38100" y="17964150"/>
          <a:ext cx="495300" cy="0"/>
        </a:xfrm>
        <a:prstGeom prst="rect">
          <a:avLst/>
        </a:prstGeom>
        <a:noFill/>
        <a:ln w="9525">
          <a:noFill/>
          <a:miter lim="800000"/>
          <a:headEnd/>
          <a:tailEnd/>
        </a:ln>
      </xdr:spPr>
    </xdr:pic>
    <xdr:clientData/>
  </xdr:twoCellAnchor>
  <xdr:twoCellAnchor>
    <xdr:from>
      <xdr:col>15</xdr:col>
      <xdr:colOff>38100</xdr:colOff>
      <xdr:row>103</xdr:row>
      <xdr:rowOff>0</xdr:rowOff>
    </xdr:from>
    <xdr:to>
      <xdr:col>15</xdr:col>
      <xdr:colOff>533400</xdr:colOff>
      <xdr:row>103</xdr:row>
      <xdr:rowOff>0</xdr:rowOff>
    </xdr:to>
    <xdr:pic>
      <xdr:nvPicPr>
        <xdr:cNvPr id="8" name="Picture 3"/>
        <xdr:cNvPicPr>
          <a:picLocks noChangeArrowheads="1"/>
        </xdr:cNvPicPr>
      </xdr:nvPicPr>
      <xdr:blipFill>
        <a:blip xmlns:r="http://schemas.openxmlformats.org/officeDocument/2006/relationships" r:embed="rId1"/>
        <a:srcRect/>
        <a:stretch>
          <a:fillRect/>
        </a:stretch>
      </xdr:blipFill>
      <xdr:spPr bwMode="auto">
        <a:xfrm>
          <a:off x="38100" y="17506950"/>
          <a:ext cx="495300" cy="0"/>
        </a:xfrm>
        <a:prstGeom prst="rect">
          <a:avLst/>
        </a:prstGeom>
        <a:noFill/>
        <a:ln w="9525">
          <a:noFill/>
          <a:miter lim="800000"/>
          <a:headEnd/>
          <a:tailEnd/>
        </a:ln>
      </xdr:spPr>
    </xdr:pic>
    <xdr:clientData/>
  </xdr:twoCellAnchor>
  <xdr:twoCellAnchor>
    <xdr:from>
      <xdr:col>15</xdr:col>
      <xdr:colOff>38100</xdr:colOff>
      <xdr:row>105</xdr:row>
      <xdr:rowOff>0</xdr:rowOff>
    </xdr:from>
    <xdr:to>
      <xdr:col>15</xdr:col>
      <xdr:colOff>533400</xdr:colOff>
      <xdr:row>105</xdr:row>
      <xdr:rowOff>0</xdr:rowOff>
    </xdr:to>
    <xdr:pic>
      <xdr:nvPicPr>
        <xdr:cNvPr id="9" name="Picture 5"/>
        <xdr:cNvPicPr>
          <a:picLocks noChangeArrowheads="1"/>
        </xdr:cNvPicPr>
      </xdr:nvPicPr>
      <xdr:blipFill>
        <a:blip xmlns:r="http://schemas.openxmlformats.org/officeDocument/2006/relationships" r:embed="rId1"/>
        <a:srcRect/>
        <a:stretch>
          <a:fillRect/>
        </a:stretch>
      </xdr:blipFill>
      <xdr:spPr bwMode="auto">
        <a:xfrm>
          <a:off x="38100" y="17964150"/>
          <a:ext cx="495300" cy="0"/>
        </a:xfrm>
        <a:prstGeom prst="rect">
          <a:avLst/>
        </a:prstGeom>
        <a:noFill/>
        <a:ln w="9525">
          <a:noFill/>
          <a:miter lim="800000"/>
          <a:headEnd/>
          <a:tailEnd/>
        </a:ln>
      </xdr:spPr>
    </xdr:pic>
    <xdr:clientData/>
  </xdr:twoCellAnchor>
  <xdr:twoCellAnchor>
    <xdr:from>
      <xdr:col>15</xdr:col>
      <xdr:colOff>38100</xdr:colOff>
      <xdr:row>103</xdr:row>
      <xdr:rowOff>0</xdr:rowOff>
    </xdr:from>
    <xdr:to>
      <xdr:col>15</xdr:col>
      <xdr:colOff>533400</xdr:colOff>
      <xdr:row>103</xdr:row>
      <xdr:rowOff>0</xdr:rowOff>
    </xdr:to>
    <xdr:pic>
      <xdr:nvPicPr>
        <xdr:cNvPr id="10" name="Picture 6"/>
        <xdr:cNvPicPr>
          <a:picLocks noChangeArrowheads="1"/>
        </xdr:cNvPicPr>
      </xdr:nvPicPr>
      <xdr:blipFill>
        <a:blip xmlns:r="http://schemas.openxmlformats.org/officeDocument/2006/relationships" r:embed="rId1"/>
        <a:srcRect/>
        <a:stretch>
          <a:fillRect/>
        </a:stretch>
      </xdr:blipFill>
      <xdr:spPr bwMode="auto">
        <a:xfrm>
          <a:off x="38100" y="17506950"/>
          <a:ext cx="495300" cy="0"/>
        </a:xfrm>
        <a:prstGeom prst="rect">
          <a:avLst/>
        </a:prstGeom>
        <a:noFill/>
        <a:ln w="9525">
          <a:noFill/>
          <a:miter lim="800000"/>
          <a:headEnd/>
          <a:tailEnd/>
        </a:ln>
      </xdr:spPr>
    </xdr:pic>
    <xdr:clientData/>
  </xdr:twoCellAnchor>
  <xdr:twoCellAnchor>
    <xdr:from>
      <xdr:col>18</xdr:col>
      <xdr:colOff>38100</xdr:colOff>
      <xdr:row>105</xdr:row>
      <xdr:rowOff>0</xdr:rowOff>
    </xdr:from>
    <xdr:to>
      <xdr:col>18</xdr:col>
      <xdr:colOff>533400</xdr:colOff>
      <xdr:row>105</xdr:row>
      <xdr:rowOff>0</xdr:rowOff>
    </xdr:to>
    <xdr:pic>
      <xdr:nvPicPr>
        <xdr:cNvPr id="12" name="Picture 2"/>
        <xdr:cNvPicPr>
          <a:picLocks noChangeArrowheads="1"/>
        </xdr:cNvPicPr>
      </xdr:nvPicPr>
      <xdr:blipFill>
        <a:blip xmlns:r="http://schemas.openxmlformats.org/officeDocument/2006/relationships" r:embed="rId1"/>
        <a:srcRect/>
        <a:stretch>
          <a:fillRect/>
        </a:stretch>
      </xdr:blipFill>
      <xdr:spPr bwMode="auto">
        <a:xfrm>
          <a:off x="38100" y="17964150"/>
          <a:ext cx="495300" cy="0"/>
        </a:xfrm>
        <a:prstGeom prst="rect">
          <a:avLst/>
        </a:prstGeom>
        <a:noFill/>
        <a:ln w="9525">
          <a:noFill/>
          <a:miter lim="800000"/>
          <a:headEnd/>
          <a:tailEnd/>
        </a:ln>
      </xdr:spPr>
    </xdr:pic>
    <xdr:clientData/>
  </xdr:twoCellAnchor>
  <xdr:twoCellAnchor>
    <xdr:from>
      <xdr:col>18</xdr:col>
      <xdr:colOff>38100</xdr:colOff>
      <xdr:row>103</xdr:row>
      <xdr:rowOff>0</xdr:rowOff>
    </xdr:from>
    <xdr:to>
      <xdr:col>18</xdr:col>
      <xdr:colOff>533400</xdr:colOff>
      <xdr:row>103</xdr:row>
      <xdr:rowOff>0</xdr:rowOff>
    </xdr:to>
    <xdr:pic>
      <xdr:nvPicPr>
        <xdr:cNvPr id="13" name="Picture 3"/>
        <xdr:cNvPicPr>
          <a:picLocks noChangeArrowheads="1"/>
        </xdr:cNvPicPr>
      </xdr:nvPicPr>
      <xdr:blipFill>
        <a:blip xmlns:r="http://schemas.openxmlformats.org/officeDocument/2006/relationships" r:embed="rId1"/>
        <a:srcRect/>
        <a:stretch>
          <a:fillRect/>
        </a:stretch>
      </xdr:blipFill>
      <xdr:spPr bwMode="auto">
        <a:xfrm>
          <a:off x="38100" y="17506950"/>
          <a:ext cx="495300" cy="0"/>
        </a:xfrm>
        <a:prstGeom prst="rect">
          <a:avLst/>
        </a:prstGeom>
        <a:noFill/>
        <a:ln w="9525">
          <a:noFill/>
          <a:miter lim="800000"/>
          <a:headEnd/>
          <a:tailEnd/>
        </a:ln>
      </xdr:spPr>
    </xdr:pic>
    <xdr:clientData/>
  </xdr:twoCellAnchor>
  <xdr:twoCellAnchor>
    <xdr:from>
      <xdr:col>18</xdr:col>
      <xdr:colOff>38100</xdr:colOff>
      <xdr:row>105</xdr:row>
      <xdr:rowOff>0</xdr:rowOff>
    </xdr:from>
    <xdr:to>
      <xdr:col>18</xdr:col>
      <xdr:colOff>533400</xdr:colOff>
      <xdr:row>105</xdr:row>
      <xdr:rowOff>0</xdr:rowOff>
    </xdr:to>
    <xdr:pic>
      <xdr:nvPicPr>
        <xdr:cNvPr id="14" name="Picture 5"/>
        <xdr:cNvPicPr>
          <a:picLocks noChangeArrowheads="1"/>
        </xdr:cNvPicPr>
      </xdr:nvPicPr>
      <xdr:blipFill>
        <a:blip xmlns:r="http://schemas.openxmlformats.org/officeDocument/2006/relationships" r:embed="rId1"/>
        <a:srcRect/>
        <a:stretch>
          <a:fillRect/>
        </a:stretch>
      </xdr:blipFill>
      <xdr:spPr bwMode="auto">
        <a:xfrm>
          <a:off x="38100" y="17964150"/>
          <a:ext cx="495300" cy="0"/>
        </a:xfrm>
        <a:prstGeom prst="rect">
          <a:avLst/>
        </a:prstGeom>
        <a:noFill/>
        <a:ln w="9525">
          <a:noFill/>
          <a:miter lim="800000"/>
          <a:headEnd/>
          <a:tailEnd/>
        </a:ln>
      </xdr:spPr>
    </xdr:pic>
    <xdr:clientData/>
  </xdr:twoCellAnchor>
  <xdr:twoCellAnchor>
    <xdr:from>
      <xdr:col>18</xdr:col>
      <xdr:colOff>38100</xdr:colOff>
      <xdr:row>103</xdr:row>
      <xdr:rowOff>0</xdr:rowOff>
    </xdr:from>
    <xdr:to>
      <xdr:col>18</xdr:col>
      <xdr:colOff>533400</xdr:colOff>
      <xdr:row>103</xdr:row>
      <xdr:rowOff>0</xdr:rowOff>
    </xdr:to>
    <xdr:pic>
      <xdr:nvPicPr>
        <xdr:cNvPr id="15" name="Picture 6"/>
        <xdr:cNvPicPr>
          <a:picLocks noChangeArrowheads="1"/>
        </xdr:cNvPicPr>
      </xdr:nvPicPr>
      <xdr:blipFill>
        <a:blip xmlns:r="http://schemas.openxmlformats.org/officeDocument/2006/relationships" r:embed="rId1"/>
        <a:srcRect/>
        <a:stretch>
          <a:fillRect/>
        </a:stretch>
      </xdr:blipFill>
      <xdr:spPr bwMode="auto">
        <a:xfrm>
          <a:off x="38100" y="17506950"/>
          <a:ext cx="495300" cy="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0</xdr:rowOff>
    </xdr:from>
    <xdr:to>
      <xdr:col>0</xdr:col>
      <xdr:colOff>923925</xdr:colOff>
      <xdr:row>0</xdr:row>
      <xdr:rowOff>295275</xdr:rowOff>
    </xdr:to>
    <xdr:pic>
      <xdr:nvPicPr>
        <xdr:cNvPr id="6762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10</xdr:col>
      <xdr:colOff>38100</xdr:colOff>
      <xdr:row>0</xdr:row>
      <xdr:rowOff>0</xdr:rowOff>
    </xdr:from>
    <xdr:to>
      <xdr:col>10</xdr:col>
      <xdr:colOff>923925</xdr:colOff>
      <xdr:row>0</xdr:row>
      <xdr:rowOff>295275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20</xdr:col>
      <xdr:colOff>38100</xdr:colOff>
      <xdr:row>0</xdr:row>
      <xdr:rowOff>0</xdr:rowOff>
    </xdr:from>
    <xdr:to>
      <xdr:col>20</xdr:col>
      <xdr:colOff>923925</xdr:colOff>
      <xdr:row>0</xdr:row>
      <xdr:rowOff>295275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181850" y="0"/>
          <a:ext cx="885825" cy="29527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952500</xdr:colOff>
      <xdr:row>3</xdr:row>
      <xdr:rowOff>1</xdr:rowOff>
    </xdr:from>
    <xdr:to>
      <xdr:col>9</xdr:col>
      <xdr:colOff>11218</xdr:colOff>
      <xdr:row>4</xdr:row>
      <xdr:rowOff>173100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68125" y="161926"/>
          <a:ext cx="1201843" cy="373124"/>
        </a:xfrm>
        <a:prstGeom prst="rect">
          <a:avLst/>
        </a:prstGeom>
        <a:noFill/>
        <a:ln w="1">
          <a:noFill/>
          <a:miter lim="800000"/>
          <a:headEnd/>
          <a:tailEnd/>
        </a:ln>
      </xdr:spPr>
    </xdr:pic>
    <xdr:clientData/>
  </xdr:twoCellAnchor>
  <xdr:twoCellAnchor>
    <xdr:from>
      <xdr:col>1</xdr:col>
      <xdr:colOff>67766</xdr:colOff>
      <xdr:row>21</xdr:row>
      <xdr:rowOff>116728</xdr:rowOff>
    </xdr:from>
    <xdr:to>
      <xdr:col>3</xdr:col>
      <xdr:colOff>56562</xdr:colOff>
      <xdr:row>53</xdr:row>
      <xdr:rowOff>74886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285216</xdr:colOff>
      <xdr:row>21</xdr:row>
      <xdr:rowOff>26147</xdr:rowOff>
    </xdr:from>
    <xdr:to>
      <xdr:col>8</xdr:col>
      <xdr:colOff>961572</xdr:colOff>
      <xdr:row>53</xdr:row>
      <xdr:rowOff>14940</xdr:rowOff>
    </xdr:to>
    <xdr:graphicFrame macro="">
      <xdr:nvGraphicFramePr>
        <xdr:cNvPr id="4"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952500</xdr:colOff>
      <xdr:row>3</xdr:row>
      <xdr:rowOff>1</xdr:rowOff>
    </xdr:from>
    <xdr:to>
      <xdr:col>21</xdr:col>
      <xdr:colOff>11218</xdr:colOff>
      <xdr:row>4</xdr:row>
      <xdr:rowOff>173100</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74929" y="163287"/>
          <a:ext cx="1453575" cy="377206"/>
        </a:xfrm>
        <a:prstGeom prst="rect">
          <a:avLst/>
        </a:prstGeom>
        <a:noFill/>
        <a:ln w="1">
          <a:noFill/>
          <a:miter lim="800000"/>
          <a:headEnd/>
          <a:tailEnd/>
        </a:ln>
      </xdr:spPr>
    </xdr:pic>
    <xdr:clientData/>
  </xdr:twoCellAnchor>
  <xdr:twoCellAnchor>
    <xdr:from>
      <xdr:col>13</xdr:col>
      <xdr:colOff>403409</xdr:colOff>
      <xdr:row>24</xdr:row>
      <xdr:rowOff>100853</xdr:rowOff>
    </xdr:from>
    <xdr:to>
      <xdr:col>15</xdr:col>
      <xdr:colOff>392205</xdr:colOff>
      <xdr:row>56</xdr:row>
      <xdr:rowOff>59012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44823</xdr:colOff>
      <xdr:row>24</xdr:row>
      <xdr:rowOff>89647</xdr:rowOff>
    </xdr:from>
    <xdr:to>
      <xdr:col>20</xdr:col>
      <xdr:colOff>721179</xdr:colOff>
      <xdr:row>56</xdr:row>
      <xdr:rowOff>78441</xdr:rowOff>
    </xdr:to>
    <xdr:graphicFrame macro="">
      <xdr:nvGraphicFramePr>
        <xdr:cNvPr id="7"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952500</xdr:colOff>
      <xdr:row>3</xdr:row>
      <xdr:rowOff>1</xdr:rowOff>
    </xdr:from>
    <xdr:to>
      <xdr:col>33</xdr:col>
      <xdr:colOff>11218</xdr:colOff>
      <xdr:row>4</xdr:row>
      <xdr:rowOff>173100</xdr:rowOff>
    </xdr:to>
    <xdr:pic>
      <xdr:nvPicPr>
        <xdr:cNvPr id="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74929" y="163287"/>
          <a:ext cx="1453575" cy="377206"/>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762000</xdr:colOff>
      <xdr:row>1</xdr:row>
      <xdr:rowOff>0</xdr:rowOff>
    </xdr:to>
    <xdr:pic>
      <xdr:nvPicPr>
        <xdr:cNvPr id="5841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23900" cy="228600"/>
        </a:xfrm>
        <a:prstGeom prst="rect">
          <a:avLst/>
        </a:prstGeom>
        <a:noFill/>
        <a:ln w="1">
          <a:noFill/>
          <a:miter lim="800000"/>
          <a:headEnd/>
          <a:tailEnd/>
        </a:ln>
      </xdr:spPr>
    </xdr:pic>
    <xdr:clientData/>
  </xdr:twoCellAnchor>
  <xdr:twoCellAnchor>
    <xdr:from>
      <xdr:col>9</xdr:col>
      <xdr:colOff>38100</xdr:colOff>
      <xdr:row>0</xdr:row>
      <xdr:rowOff>0</xdr:rowOff>
    </xdr:from>
    <xdr:to>
      <xdr:col>9</xdr:col>
      <xdr:colOff>762000</xdr:colOff>
      <xdr:row>1</xdr:row>
      <xdr:rowOff>0</xdr:rowOff>
    </xdr:to>
    <xdr:pic>
      <xdr:nvPicPr>
        <xdr:cNvPr id="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23900" cy="232833"/>
        </a:xfrm>
        <a:prstGeom prst="rect">
          <a:avLst/>
        </a:prstGeom>
        <a:noFill/>
        <a:ln w="1">
          <a:noFill/>
          <a:miter lim="800000"/>
          <a:headEnd/>
          <a:tailEnd/>
        </a:ln>
      </xdr:spPr>
    </xdr:pic>
    <xdr:clientData/>
  </xdr:twoCellAnchor>
  <xdr:twoCellAnchor>
    <xdr:from>
      <xdr:col>17</xdr:col>
      <xdr:colOff>38100</xdr:colOff>
      <xdr:row>0</xdr:row>
      <xdr:rowOff>0</xdr:rowOff>
    </xdr:from>
    <xdr:to>
      <xdr:col>17</xdr:col>
      <xdr:colOff>762000</xdr:colOff>
      <xdr:row>1</xdr:row>
      <xdr:rowOff>0</xdr:rowOff>
    </xdr:to>
    <xdr:pic>
      <xdr:nvPicPr>
        <xdr:cNvPr id="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8100" y="0"/>
          <a:ext cx="723900" cy="228600"/>
        </a:xfrm>
        <a:prstGeom prst="rect">
          <a:avLst/>
        </a:prstGeom>
        <a:noFill/>
        <a:ln w="1">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0</xdr:row>
      <xdr:rowOff>19050</xdr:rowOff>
    </xdr:from>
    <xdr:to>
      <xdr:col>0</xdr:col>
      <xdr:colOff>771525</xdr:colOff>
      <xdr:row>0</xdr:row>
      <xdr:rowOff>304800</xdr:rowOff>
    </xdr:to>
    <xdr:pic>
      <xdr:nvPicPr>
        <xdr:cNvPr id="7172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625" y="19050"/>
          <a:ext cx="723900" cy="285750"/>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304801</xdr:colOff>
      <xdr:row>76</xdr:row>
      <xdr:rowOff>9524</xdr:rowOff>
    </xdr:from>
    <xdr:to>
      <xdr:col>12</xdr:col>
      <xdr:colOff>638176</xdr:colOff>
      <xdr:row>108</xdr:row>
      <xdr:rowOff>57150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180975</xdr:colOff>
      <xdr:row>82</xdr:row>
      <xdr:rowOff>19050</xdr:rowOff>
    </xdr:from>
    <xdr:to>
      <xdr:col>21</xdr:col>
      <xdr:colOff>133350</xdr:colOff>
      <xdr:row>121</xdr:row>
      <xdr:rowOff>142875</xdr:rowOff>
    </xdr:to>
    <xdr:graphicFrame macro="">
      <xdr:nvGraphicFramePr>
        <xdr:cNvPr id="1560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0</xdr:row>
      <xdr:rowOff>0</xdr:rowOff>
    </xdr:from>
    <xdr:to>
      <xdr:col>1</xdr:col>
      <xdr:colOff>923925</xdr:colOff>
      <xdr:row>0</xdr:row>
      <xdr:rowOff>295275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3"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twoCellAnchor>
    <xdr:from>
      <xdr:col>1</xdr:col>
      <xdr:colOff>38100</xdr:colOff>
      <xdr:row>0</xdr:row>
      <xdr:rowOff>0</xdr:rowOff>
    </xdr:from>
    <xdr:to>
      <xdr:col>1</xdr:col>
      <xdr:colOff>923925</xdr:colOff>
      <xdr:row>0</xdr:row>
      <xdr:rowOff>295275</xdr:rowOff>
    </xdr:to>
    <xdr:pic>
      <xdr:nvPicPr>
        <xdr:cNvPr id="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885825" cy="295275"/>
        </a:xfrm>
        <a:prstGeom prst="rect">
          <a:avLst/>
        </a:prstGeom>
        <a:noFill/>
        <a:ln w="1">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64</xdr:row>
      <xdr:rowOff>0</xdr:rowOff>
    </xdr:from>
    <xdr:to>
      <xdr:col>0</xdr:col>
      <xdr:colOff>533400</xdr:colOff>
      <xdr:row>64</xdr:row>
      <xdr:rowOff>0</xdr:rowOff>
    </xdr:to>
    <xdr:pic>
      <xdr:nvPicPr>
        <xdr:cNvPr id="2" name="Picture 2"/>
        <xdr:cNvPicPr>
          <a:picLocks noChangeArrowheads="1"/>
        </xdr:cNvPicPr>
      </xdr:nvPicPr>
      <xdr:blipFill>
        <a:blip xmlns:r="http://schemas.openxmlformats.org/officeDocument/2006/relationships" r:embed="rId1"/>
        <a:srcRect/>
        <a:stretch>
          <a:fillRect/>
        </a:stretch>
      </xdr:blipFill>
      <xdr:spPr bwMode="auto">
        <a:xfrm>
          <a:off x="38100" y="20402550"/>
          <a:ext cx="495300" cy="0"/>
        </a:xfrm>
        <a:prstGeom prst="rect">
          <a:avLst/>
        </a:prstGeom>
        <a:noFill/>
        <a:ln w="9525">
          <a:noFill/>
          <a:miter lim="800000"/>
          <a:headEnd/>
          <a:tailEnd/>
        </a:ln>
      </xdr:spPr>
    </xdr:pic>
    <xdr:clientData/>
  </xdr:twoCellAnchor>
  <xdr:twoCellAnchor>
    <xdr:from>
      <xdr:col>0</xdr:col>
      <xdr:colOff>38100</xdr:colOff>
      <xdr:row>62</xdr:row>
      <xdr:rowOff>0</xdr:rowOff>
    </xdr:from>
    <xdr:to>
      <xdr:col>0</xdr:col>
      <xdr:colOff>533400</xdr:colOff>
      <xdr:row>62</xdr:row>
      <xdr:rowOff>0</xdr:rowOff>
    </xdr:to>
    <xdr:pic>
      <xdr:nvPicPr>
        <xdr:cNvPr id="3" name="Picture 3"/>
        <xdr:cNvPicPr>
          <a:picLocks noChangeArrowheads="1"/>
        </xdr:cNvPicPr>
      </xdr:nvPicPr>
      <xdr:blipFill>
        <a:blip xmlns:r="http://schemas.openxmlformats.org/officeDocument/2006/relationships" r:embed="rId1"/>
        <a:srcRect/>
        <a:stretch>
          <a:fillRect/>
        </a:stretch>
      </xdr:blipFill>
      <xdr:spPr bwMode="auto">
        <a:xfrm>
          <a:off x="38100" y="19945350"/>
          <a:ext cx="495300" cy="0"/>
        </a:xfrm>
        <a:prstGeom prst="rect">
          <a:avLst/>
        </a:prstGeom>
        <a:noFill/>
        <a:ln w="9525">
          <a:noFill/>
          <a:miter lim="800000"/>
          <a:headEnd/>
          <a:tailEnd/>
        </a:ln>
      </xdr:spPr>
    </xdr:pic>
    <xdr:clientData/>
  </xdr:twoCellAnchor>
  <xdr:twoCellAnchor>
    <xdr:from>
      <xdr:col>0</xdr:col>
      <xdr:colOff>38100</xdr:colOff>
      <xdr:row>64</xdr:row>
      <xdr:rowOff>0</xdr:rowOff>
    </xdr:from>
    <xdr:to>
      <xdr:col>0</xdr:col>
      <xdr:colOff>533400</xdr:colOff>
      <xdr:row>64</xdr:row>
      <xdr:rowOff>0</xdr:rowOff>
    </xdr:to>
    <xdr:pic>
      <xdr:nvPicPr>
        <xdr:cNvPr id="4" name="Picture 5"/>
        <xdr:cNvPicPr>
          <a:picLocks noChangeArrowheads="1"/>
        </xdr:cNvPicPr>
      </xdr:nvPicPr>
      <xdr:blipFill>
        <a:blip xmlns:r="http://schemas.openxmlformats.org/officeDocument/2006/relationships" r:embed="rId1"/>
        <a:srcRect/>
        <a:stretch>
          <a:fillRect/>
        </a:stretch>
      </xdr:blipFill>
      <xdr:spPr bwMode="auto">
        <a:xfrm>
          <a:off x="38100" y="20402550"/>
          <a:ext cx="495300" cy="0"/>
        </a:xfrm>
        <a:prstGeom prst="rect">
          <a:avLst/>
        </a:prstGeom>
        <a:noFill/>
        <a:ln w="9525">
          <a:noFill/>
          <a:miter lim="800000"/>
          <a:headEnd/>
          <a:tailEnd/>
        </a:ln>
      </xdr:spPr>
    </xdr:pic>
    <xdr:clientData/>
  </xdr:twoCellAnchor>
  <xdr:twoCellAnchor>
    <xdr:from>
      <xdr:col>0</xdr:col>
      <xdr:colOff>38100</xdr:colOff>
      <xdr:row>62</xdr:row>
      <xdr:rowOff>0</xdr:rowOff>
    </xdr:from>
    <xdr:to>
      <xdr:col>0</xdr:col>
      <xdr:colOff>533400</xdr:colOff>
      <xdr:row>62</xdr:row>
      <xdr:rowOff>0</xdr:rowOff>
    </xdr:to>
    <xdr:pic>
      <xdr:nvPicPr>
        <xdr:cNvPr id="5" name="Picture 6"/>
        <xdr:cNvPicPr>
          <a:picLocks noChangeArrowheads="1"/>
        </xdr:cNvPicPr>
      </xdr:nvPicPr>
      <xdr:blipFill>
        <a:blip xmlns:r="http://schemas.openxmlformats.org/officeDocument/2006/relationships" r:embed="rId1"/>
        <a:srcRect/>
        <a:stretch>
          <a:fillRect/>
        </a:stretch>
      </xdr:blipFill>
      <xdr:spPr bwMode="auto">
        <a:xfrm>
          <a:off x="38100" y="19945350"/>
          <a:ext cx="495300" cy="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923925</xdr:colOff>
      <xdr:row>1</xdr:row>
      <xdr:rowOff>66675</xdr:rowOff>
    </xdr:to>
    <xdr:pic>
      <xdr:nvPicPr>
        <xdr:cNvPr id="6"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76200" y="19050"/>
          <a:ext cx="1381125" cy="428625"/>
        </a:xfrm>
        <a:prstGeom prst="rect">
          <a:avLst/>
        </a:prstGeom>
        <a:noFill/>
        <a:ln w="1">
          <a:noFill/>
          <a:miter lim="800000"/>
          <a:headEnd/>
          <a:tailEnd/>
        </a:ln>
      </xdr:spPr>
    </xdr:pic>
    <xdr:clientData/>
  </xdr:twoCellAnchor>
  <xdr:twoCellAnchor>
    <xdr:from>
      <xdr:col>15</xdr:col>
      <xdr:colOff>38100</xdr:colOff>
      <xdr:row>64</xdr:row>
      <xdr:rowOff>0</xdr:rowOff>
    </xdr:from>
    <xdr:to>
      <xdr:col>15</xdr:col>
      <xdr:colOff>533400</xdr:colOff>
      <xdr:row>64</xdr:row>
      <xdr:rowOff>0</xdr:rowOff>
    </xdr:to>
    <xdr:pic>
      <xdr:nvPicPr>
        <xdr:cNvPr id="7" name="Picture 2"/>
        <xdr:cNvPicPr>
          <a:picLocks noChangeArrowheads="1"/>
        </xdr:cNvPicPr>
      </xdr:nvPicPr>
      <xdr:blipFill>
        <a:blip xmlns:r="http://schemas.openxmlformats.org/officeDocument/2006/relationships" r:embed="rId1"/>
        <a:srcRect/>
        <a:stretch>
          <a:fillRect/>
        </a:stretch>
      </xdr:blipFill>
      <xdr:spPr bwMode="auto">
        <a:xfrm>
          <a:off x="18126075" y="20402550"/>
          <a:ext cx="0" cy="0"/>
        </a:xfrm>
        <a:prstGeom prst="rect">
          <a:avLst/>
        </a:prstGeom>
        <a:noFill/>
        <a:ln w="9525">
          <a:noFill/>
          <a:miter lim="800000"/>
          <a:headEnd/>
          <a:tailEnd/>
        </a:ln>
      </xdr:spPr>
    </xdr:pic>
    <xdr:clientData/>
  </xdr:twoCellAnchor>
  <xdr:twoCellAnchor>
    <xdr:from>
      <xdr:col>15</xdr:col>
      <xdr:colOff>38100</xdr:colOff>
      <xdr:row>62</xdr:row>
      <xdr:rowOff>0</xdr:rowOff>
    </xdr:from>
    <xdr:to>
      <xdr:col>15</xdr:col>
      <xdr:colOff>533400</xdr:colOff>
      <xdr:row>62</xdr:row>
      <xdr:rowOff>0</xdr:rowOff>
    </xdr:to>
    <xdr:pic>
      <xdr:nvPicPr>
        <xdr:cNvPr id="8" name="Picture 3"/>
        <xdr:cNvPicPr>
          <a:picLocks noChangeArrowheads="1"/>
        </xdr:cNvPicPr>
      </xdr:nvPicPr>
      <xdr:blipFill>
        <a:blip xmlns:r="http://schemas.openxmlformats.org/officeDocument/2006/relationships" r:embed="rId1"/>
        <a:srcRect/>
        <a:stretch>
          <a:fillRect/>
        </a:stretch>
      </xdr:blipFill>
      <xdr:spPr bwMode="auto">
        <a:xfrm>
          <a:off x="18126075" y="19945350"/>
          <a:ext cx="0" cy="0"/>
        </a:xfrm>
        <a:prstGeom prst="rect">
          <a:avLst/>
        </a:prstGeom>
        <a:noFill/>
        <a:ln w="9525">
          <a:noFill/>
          <a:miter lim="800000"/>
          <a:headEnd/>
          <a:tailEnd/>
        </a:ln>
      </xdr:spPr>
    </xdr:pic>
    <xdr:clientData/>
  </xdr:twoCellAnchor>
  <xdr:twoCellAnchor>
    <xdr:from>
      <xdr:col>15</xdr:col>
      <xdr:colOff>38100</xdr:colOff>
      <xdr:row>64</xdr:row>
      <xdr:rowOff>0</xdr:rowOff>
    </xdr:from>
    <xdr:to>
      <xdr:col>15</xdr:col>
      <xdr:colOff>533400</xdr:colOff>
      <xdr:row>64</xdr:row>
      <xdr:rowOff>0</xdr:rowOff>
    </xdr:to>
    <xdr:pic>
      <xdr:nvPicPr>
        <xdr:cNvPr id="9" name="Picture 5"/>
        <xdr:cNvPicPr>
          <a:picLocks noChangeArrowheads="1"/>
        </xdr:cNvPicPr>
      </xdr:nvPicPr>
      <xdr:blipFill>
        <a:blip xmlns:r="http://schemas.openxmlformats.org/officeDocument/2006/relationships" r:embed="rId1"/>
        <a:srcRect/>
        <a:stretch>
          <a:fillRect/>
        </a:stretch>
      </xdr:blipFill>
      <xdr:spPr bwMode="auto">
        <a:xfrm>
          <a:off x="18126075" y="20402550"/>
          <a:ext cx="0" cy="0"/>
        </a:xfrm>
        <a:prstGeom prst="rect">
          <a:avLst/>
        </a:prstGeom>
        <a:noFill/>
        <a:ln w="9525">
          <a:noFill/>
          <a:miter lim="800000"/>
          <a:headEnd/>
          <a:tailEnd/>
        </a:ln>
      </xdr:spPr>
    </xdr:pic>
    <xdr:clientData/>
  </xdr:twoCellAnchor>
  <xdr:twoCellAnchor>
    <xdr:from>
      <xdr:col>15</xdr:col>
      <xdr:colOff>38100</xdr:colOff>
      <xdr:row>62</xdr:row>
      <xdr:rowOff>0</xdr:rowOff>
    </xdr:from>
    <xdr:to>
      <xdr:col>15</xdr:col>
      <xdr:colOff>533400</xdr:colOff>
      <xdr:row>62</xdr:row>
      <xdr:rowOff>0</xdr:rowOff>
    </xdr:to>
    <xdr:pic>
      <xdr:nvPicPr>
        <xdr:cNvPr id="10" name="Picture 6"/>
        <xdr:cNvPicPr>
          <a:picLocks noChangeArrowheads="1"/>
        </xdr:cNvPicPr>
      </xdr:nvPicPr>
      <xdr:blipFill>
        <a:blip xmlns:r="http://schemas.openxmlformats.org/officeDocument/2006/relationships" r:embed="rId1"/>
        <a:srcRect/>
        <a:stretch>
          <a:fillRect/>
        </a:stretch>
      </xdr:blipFill>
      <xdr:spPr bwMode="auto">
        <a:xfrm>
          <a:off x="18126075" y="19945350"/>
          <a:ext cx="0" cy="0"/>
        </a:xfrm>
        <a:prstGeom prst="rect">
          <a:avLst/>
        </a:prstGeom>
        <a:noFill/>
        <a:ln w="9525">
          <a:noFill/>
          <a:miter lim="800000"/>
          <a:headEnd/>
          <a:tailEnd/>
        </a:ln>
      </xdr:spPr>
    </xdr:pic>
    <xdr:clientData/>
  </xdr:twoCellAnchor>
  <xdr:twoCellAnchor>
    <xdr:from>
      <xdr:col>18</xdr:col>
      <xdr:colOff>38100</xdr:colOff>
      <xdr:row>64</xdr:row>
      <xdr:rowOff>0</xdr:rowOff>
    </xdr:from>
    <xdr:to>
      <xdr:col>18</xdr:col>
      <xdr:colOff>533400</xdr:colOff>
      <xdr:row>64</xdr:row>
      <xdr:rowOff>0</xdr:rowOff>
    </xdr:to>
    <xdr:pic>
      <xdr:nvPicPr>
        <xdr:cNvPr id="11" name="Picture 2"/>
        <xdr:cNvPicPr>
          <a:picLocks noChangeArrowheads="1"/>
        </xdr:cNvPicPr>
      </xdr:nvPicPr>
      <xdr:blipFill>
        <a:blip xmlns:r="http://schemas.openxmlformats.org/officeDocument/2006/relationships" r:embed="rId1"/>
        <a:srcRect/>
        <a:stretch>
          <a:fillRect/>
        </a:stretch>
      </xdr:blipFill>
      <xdr:spPr bwMode="auto">
        <a:xfrm>
          <a:off x="18126075" y="20402550"/>
          <a:ext cx="0" cy="0"/>
        </a:xfrm>
        <a:prstGeom prst="rect">
          <a:avLst/>
        </a:prstGeom>
        <a:noFill/>
        <a:ln w="9525">
          <a:noFill/>
          <a:miter lim="800000"/>
          <a:headEnd/>
          <a:tailEnd/>
        </a:ln>
      </xdr:spPr>
    </xdr:pic>
    <xdr:clientData/>
  </xdr:twoCellAnchor>
  <xdr:twoCellAnchor>
    <xdr:from>
      <xdr:col>18</xdr:col>
      <xdr:colOff>38100</xdr:colOff>
      <xdr:row>62</xdr:row>
      <xdr:rowOff>0</xdr:rowOff>
    </xdr:from>
    <xdr:to>
      <xdr:col>18</xdr:col>
      <xdr:colOff>533400</xdr:colOff>
      <xdr:row>62</xdr:row>
      <xdr:rowOff>0</xdr:rowOff>
    </xdr:to>
    <xdr:pic>
      <xdr:nvPicPr>
        <xdr:cNvPr id="12" name="Picture 3"/>
        <xdr:cNvPicPr>
          <a:picLocks noChangeArrowheads="1"/>
        </xdr:cNvPicPr>
      </xdr:nvPicPr>
      <xdr:blipFill>
        <a:blip xmlns:r="http://schemas.openxmlformats.org/officeDocument/2006/relationships" r:embed="rId1"/>
        <a:srcRect/>
        <a:stretch>
          <a:fillRect/>
        </a:stretch>
      </xdr:blipFill>
      <xdr:spPr bwMode="auto">
        <a:xfrm>
          <a:off x="18126075" y="19945350"/>
          <a:ext cx="0" cy="0"/>
        </a:xfrm>
        <a:prstGeom prst="rect">
          <a:avLst/>
        </a:prstGeom>
        <a:noFill/>
        <a:ln w="9525">
          <a:noFill/>
          <a:miter lim="800000"/>
          <a:headEnd/>
          <a:tailEnd/>
        </a:ln>
      </xdr:spPr>
    </xdr:pic>
    <xdr:clientData/>
  </xdr:twoCellAnchor>
  <xdr:twoCellAnchor>
    <xdr:from>
      <xdr:col>18</xdr:col>
      <xdr:colOff>38100</xdr:colOff>
      <xdr:row>64</xdr:row>
      <xdr:rowOff>0</xdr:rowOff>
    </xdr:from>
    <xdr:to>
      <xdr:col>18</xdr:col>
      <xdr:colOff>533400</xdr:colOff>
      <xdr:row>64</xdr:row>
      <xdr:rowOff>0</xdr:rowOff>
    </xdr:to>
    <xdr:pic>
      <xdr:nvPicPr>
        <xdr:cNvPr id="13" name="Picture 5"/>
        <xdr:cNvPicPr>
          <a:picLocks noChangeArrowheads="1"/>
        </xdr:cNvPicPr>
      </xdr:nvPicPr>
      <xdr:blipFill>
        <a:blip xmlns:r="http://schemas.openxmlformats.org/officeDocument/2006/relationships" r:embed="rId1"/>
        <a:srcRect/>
        <a:stretch>
          <a:fillRect/>
        </a:stretch>
      </xdr:blipFill>
      <xdr:spPr bwMode="auto">
        <a:xfrm>
          <a:off x="18126075" y="20402550"/>
          <a:ext cx="0" cy="0"/>
        </a:xfrm>
        <a:prstGeom prst="rect">
          <a:avLst/>
        </a:prstGeom>
        <a:noFill/>
        <a:ln w="9525">
          <a:noFill/>
          <a:miter lim="800000"/>
          <a:headEnd/>
          <a:tailEnd/>
        </a:ln>
      </xdr:spPr>
    </xdr:pic>
    <xdr:clientData/>
  </xdr:twoCellAnchor>
  <xdr:twoCellAnchor>
    <xdr:from>
      <xdr:col>18</xdr:col>
      <xdr:colOff>38100</xdr:colOff>
      <xdr:row>62</xdr:row>
      <xdr:rowOff>0</xdr:rowOff>
    </xdr:from>
    <xdr:to>
      <xdr:col>18</xdr:col>
      <xdr:colOff>533400</xdr:colOff>
      <xdr:row>62</xdr:row>
      <xdr:rowOff>0</xdr:rowOff>
    </xdr:to>
    <xdr:pic>
      <xdr:nvPicPr>
        <xdr:cNvPr id="14" name="Picture 6"/>
        <xdr:cNvPicPr>
          <a:picLocks noChangeArrowheads="1"/>
        </xdr:cNvPicPr>
      </xdr:nvPicPr>
      <xdr:blipFill>
        <a:blip xmlns:r="http://schemas.openxmlformats.org/officeDocument/2006/relationships" r:embed="rId1"/>
        <a:srcRect/>
        <a:stretch>
          <a:fillRect/>
        </a:stretch>
      </xdr:blipFill>
      <xdr:spPr bwMode="auto">
        <a:xfrm>
          <a:off x="18126075" y="19945350"/>
          <a:ext cx="0" cy="0"/>
        </a:xfrm>
        <a:prstGeom prst="rect">
          <a:avLst/>
        </a:prstGeom>
        <a:noFill/>
        <a:ln w="9525">
          <a:noFill/>
          <a:miter lim="800000"/>
          <a:headEnd/>
          <a:tailEnd/>
        </a:ln>
      </xdr:spPr>
    </xdr:pic>
    <xdr:clientData/>
  </xdr:twoCellAnchor>
  <xdr:twoCellAnchor editAs="oneCell">
    <xdr:from>
      <xdr:col>8</xdr:col>
      <xdr:colOff>471488</xdr:colOff>
      <xdr:row>91</xdr:row>
      <xdr:rowOff>46831</xdr:rowOff>
    </xdr:from>
    <xdr:to>
      <xdr:col>12</xdr:col>
      <xdr:colOff>499069</xdr:colOff>
      <xdr:row>96</xdr:row>
      <xdr:rowOff>123332</xdr:rowOff>
    </xdr:to>
    <xdr:pic>
      <xdr:nvPicPr>
        <xdr:cNvPr id="1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10352088" y="18461831"/>
          <a:ext cx="4904381" cy="902001"/>
        </a:xfrm>
        <a:prstGeom prst="rect">
          <a:avLst/>
        </a:prstGeom>
        <a:noFill/>
        <a:ln w="9525">
          <a:noFill/>
          <a:miter lim="800000"/>
          <a:headEnd/>
          <a:tailEnd/>
        </a:ln>
      </xdr:spPr>
    </xdr:pic>
    <xdr:clientData/>
  </xdr:twoCellAnchor>
  <xdr:twoCellAnchor editAs="oneCell">
    <xdr:from>
      <xdr:col>3</xdr:col>
      <xdr:colOff>980279</xdr:colOff>
      <xdr:row>98</xdr:row>
      <xdr:rowOff>95248</xdr:rowOff>
    </xdr:from>
    <xdr:to>
      <xdr:col>8</xdr:col>
      <xdr:colOff>889792</xdr:colOff>
      <xdr:row>116</xdr:row>
      <xdr:rowOff>28573</xdr:rowOff>
    </xdr:to>
    <xdr:pic>
      <xdr:nvPicPr>
        <xdr:cNvPr id="95243"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4764879" y="19691348"/>
          <a:ext cx="6005513" cy="2905125"/>
        </a:xfrm>
        <a:prstGeom prst="rect">
          <a:avLst/>
        </a:prstGeom>
        <a:noFill/>
      </xdr:spPr>
    </xdr:pic>
    <xdr:clientData/>
  </xdr:twoCellAnchor>
  <xdr:twoCellAnchor editAs="oneCell">
    <xdr:from>
      <xdr:col>9</xdr:col>
      <xdr:colOff>83343</xdr:colOff>
      <xdr:row>97</xdr:row>
      <xdr:rowOff>23812</xdr:rowOff>
    </xdr:from>
    <xdr:to>
      <xdr:col>25</xdr:col>
      <xdr:colOff>883443</xdr:colOff>
      <xdr:row>115</xdr:row>
      <xdr:rowOff>97631</xdr:rowOff>
    </xdr:to>
    <xdr:pic>
      <xdr:nvPicPr>
        <xdr:cNvPr id="16"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11156156" y="19359562"/>
          <a:ext cx="7800975" cy="3074194"/>
        </a:xfrm>
        <a:prstGeom prst="rect">
          <a:avLst/>
        </a:prstGeom>
        <a:noFill/>
      </xdr:spPr>
    </xdr:pic>
    <xdr:clientData/>
  </xdr:twoCellAnchor>
  <xdr:twoCellAnchor editAs="oneCell">
    <xdr:from>
      <xdr:col>9</xdr:col>
      <xdr:colOff>154780</xdr:colOff>
      <xdr:row>113</xdr:row>
      <xdr:rowOff>47618</xdr:rowOff>
    </xdr:from>
    <xdr:to>
      <xdr:col>12</xdr:col>
      <xdr:colOff>1135856</xdr:colOff>
      <xdr:row>132</xdr:row>
      <xdr:rowOff>21424</xdr:rowOff>
    </xdr:to>
    <xdr:pic>
      <xdr:nvPicPr>
        <xdr:cNvPr id="95245" name="Picture 13"/>
        <xdr:cNvPicPr>
          <a:picLocks noChangeAspect="1" noChangeArrowheads="1"/>
        </xdr:cNvPicPr>
      </xdr:nvPicPr>
      <xdr:blipFill>
        <a:blip xmlns:r="http://schemas.openxmlformats.org/officeDocument/2006/relationships" r:embed="rId6" cstate="print"/>
        <a:srcRect/>
        <a:stretch>
          <a:fillRect/>
        </a:stretch>
      </xdr:blipFill>
      <xdr:spPr bwMode="auto">
        <a:xfrm>
          <a:off x="11227593" y="22050368"/>
          <a:ext cx="4624388" cy="3140869"/>
        </a:xfrm>
        <a:prstGeom prst="rect">
          <a:avLst/>
        </a:prstGeom>
        <a:noFill/>
      </xdr:spPr>
    </xdr:pic>
    <xdr:clientData/>
  </xdr:twoCellAnchor>
  <xdr:twoCellAnchor editAs="oneCell">
    <xdr:from>
      <xdr:col>12</xdr:col>
      <xdr:colOff>1047750</xdr:colOff>
      <xdr:row>98</xdr:row>
      <xdr:rowOff>95250</xdr:rowOff>
    </xdr:from>
    <xdr:to>
      <xdr:col>25</xdr:col>
      <xdr:colOff>2266950</xdr:colOff>
      <xdr:row>114</xdr:row>
      <xdr:rowOff>152400</xdr:rowOff>
    </xdr:to>
    <xdr:pic>
      <xdr:nvPicPr>
        <xdr:cNvPr id="95247" name="Picture 15"/>
        <xdr:cNvPicPr>
          <a:picLocks noChangeAspect="1" noChangeArrowheads="1"/>
        </xdr:cNvPicPr>
      </xdr:nvPicPr>
      <xdr:blipFill>
        <a:blip xmlns:r="http://schemas.openxmlformats.org/officeDocument/2006/relationships" r:embed="rId7" cstate="print"/>
        <a:srcRect/>
        <a:stretch>
          <a:fillRect/>
        </a:stretch>
      </xdr:blipFill>
      <xdr:spPr bwMode="auto">
        <a:xfrm>
          <a:off x="15811500" y="20002500"/>
          <a:ext cx="4591050" cy="2800350"/>
        </a:xfrm>
        <a:prstGeom prst="rect">
          <a:avLst/>
        </a:prstGeom>
        <a:noFill/>
      </xdr:spPr>
    </xdr:pic>
    <xdr:clientData/>
  </xdr:twoCellAnchor>
  <xdr:twoCellAnchor editAs="oneCell">
    <xdr:from>
      <xdr:col>1</xdr:col>
      <xdr:colOff>292100</xdr:colOff>
      <xdr:row>90</xdr:row>
      <xdr:rowOff>38100</xdr:rowOff>
    </xdr:from>
    <xdr:to>
      <xdr:col>3</xdr:col>
      <xdr:colOff>533400</xdr:colOff>
      <xdr:row>102</xdr:row>
      <xdr:rowOff>9525</xdr:rowOff>
    </xdr:to>
    <xdr:pic>
      <xdr:nvPicPr>
        <xdr:cNvPr id="17"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825500" y="18288000"/>
          <a:ext cx="3492500" cy="1978025"/>
        </a:xfrm>
        <a:prstGeom prst="rect">
          <a:avLst/>
        </a:prstGeom>
        <a:noFill/>
      </xdr:spPr>
    </xdr:pic>
    <xdr:clientData/>
  </xdr:twoCellAnchor>
  <xdr:twoCellAnchor editAs="oneCell">
    <xdr:from>
      <xdr:col>1</xdr:col>
      <xdr:colOff>1409700</xdr:colOff>
      <xdr:row>116</xdr:row>
      <xdr:rowOff>114300</xdr:rowOff>
    </xdr:from>
    <xdr:to>
      <xdr:col>8</xdr:col>
      <xdr:colOff>990600</xdr:colOff>
      <xdr:row>134</xdr:row>
      <xdr:rowOff>107950</xdr:rowOff>
    </xdr:to>
    <xdr:pic>
      <xdr:nvPicPr>
        <xdr:cNvPr id="18"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943100" y="22682200"/>
          <a:ext cx="8928100" cy="29654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600076</xdr:colOff>
      <xdr:row>0</xdr:row>
      <xdr:rowOff>19050</xdr:rowOff>
    </xdr:from>
    <xdr:to>
      <xdr:col>13</xdr:col>
      <xdr:colOff>104776</xdr:colOff>
      <xdr:row>15</xdr:row>
      <xdr:rowOff>0</xdr:rowOff>
    </xdr:to>
    <xdr:pic>
      <xdr:nvPicPr>
        <xdr:cNvPr id="6" name="5 Imagen"/>
        <xdr:cNvPicPr/>
      </xdr:nvPicPr>
      <xdr:blipFill>
        <a:blip xmlns:r="http://schemas.openxmlformats.org/officeDocument/2006/relationships" r:embed="rId1" cstate="print"/>
        <a:srcRect/>
        <a:stretch>
          <a:fillRect/>
        </a:stretch>
      </xdr:blipFill>
      <xdr:spPr bwMode="auto">
        <a:xfrm>
          <a:off x="7458076" y="19050"/>
          <a:ext cx="4419600" cy="2409825"/>
        </a:xfrm>
        <a:prstGeom prst="rect">
          <a:avLst/>
        </a:prstGeom>
        <a:noFill/>
      </xdr:spPr>
    </xdr:pic>
    <xdr:clientData/>
  </xdr:twoCellAnchor>
  <xdr:twoCellAnchor>
    <xdr:from>
      <xdr:col>1</xdr:col>
      <xdr:colOff>923925</xdr:colOff>
      <xdr:row>18</xdr:row>
      <xdr:rowOff>28575</xdr:rowOff>
    </xdr:from>
    <xdr:to>
      <xdr:col>6</xdr:col>
      <xdr:colOff>533400</xdr:colOff>
      <xdr:row>32</xdr:row>
      <xdr:rowOff>123825</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923925</xdr:colOff>
      <xdr:row>33</xdr:row>
      <xdr:rowOff>47625</xdr:rowOff>
    </xdr:from>
    <xdr:to>
      <xdr:col>6</xdr:col>
      <xdr:colOff>504825</xdr:colOff>
      <xdr:row>48</xdr:row>
      <xdr:rowOff>123825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847726</xdr:colOff>
      <xdr:row>51</xdr:row>
      <xdr:rowOff>19050</xdr:rowOff>
    </xdr:from>
    <xdr:to>
      <xdr:col>6</xdr:col>
      <xdr:colOff>361951</xdr:colOff>
      <xdr:row>65</xdr:row>
      <xdr:rowOff>142874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857250</xdr:colOff>
      <xdr:row>63</xdr:row>
      <xdr:rowOff>123825</xdr:rowOff>
    </xdr:from>
    <xdr:to>
      <xdr:col>6</xdr:col>
      <xdr:colOff>295275</xdr:colOff>
      <xdr:row>78</xdr:row>
      <xdr:rowOff>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9525</xdr:colOff>
      <xdr:row>12</xdr:row>
      <xdr:rowOff>142875</xdr:rowOff>
    </xdr:from>
    <xdr:to>
      <xdr:col>14</xdr:col>
      <xdr:colOff>371475</xdr:colOff>
      <xdr:row>17</xdr:row>
      <xdr:rowOff>28575</xdr:rowOff>
    </xdr:to>
    <xdr:pic>
      <xdr:nvPicPr>
        <xdr:cNvPr id="2" name="1 Imagen"/>
        <xdr:cNvPicPr/>
      </xdr:nvPicPr>
      <xdr:blipFill>
        <a:blip xmlns:r="http://schemas.openxmlformats.org/officeDocument/2006/relationships" r:embed="rId1" cstate="print"/>
        <a:srcRect/>
        <a:stretch>
          <a:fillRect/>
        </a:stretch>
      </xdr:blipFill>
      <xdr:spPr bwMode="auto">
        <a:xfrm>
          <a:off x="6867525" y="2085975"/>
          <a:ext cx="4114800" cy="695325"/>
        </a:xfrm>
        <a:prstGeom prst="rect">
          <a:avLst/>
        </a:prstGeom>
        <a:noFill/>
        <a:ln w="9525">
          <a:noFill/>
          <a:miter lim="800000"/>
          <a:headEnd/>
          <a:tailEnd/>
        </a:ln>
      </xdr:spPr>
    </xdr:pic>
    <xdr:clientData/>
  </xdr:twoCellAnchor>
  <xdr:twoCellAnchor editAs="oneCell">
    <xdr:from>
      <xdr:col>9</xdr:col>
      <xdr:colOff>19050</xdr:colOff>
      <xdr:row>18</xdr:row>
      <xdr:rowOff>9525</xdr:rowOff>
    </xdr:from>
    <xdr:to>
      <xdr:col>14</xdr:col>
      <xdr:colOff>260350</xdr:colOff>
      <xdr:row>39</xdr:row>
      <xdr:rowOff>115925</xdr:rowOff>
    </xdr:to>
    <xdr:pic>
      <xdr:nvPicPr>
        <xdr:cNvPr id="3" name="2 Imagen"/>
        <xdr:cNvPicPr/>
      </xdr:nvPicPr>
      <xdr:blipFill>
        <a:blip xmlns:r="http://schemas.openxmlformats.org/officeDocument/2006/relationships" r:embed="rId2" cstate="print"/>
        <a:srcRect/>
        <a:stretch>
          <a:fillRect/>
        </a:stretch>
      </xdr:blipFill>
      <xdr:spPr bwMode="auto">
        <a:xfrm>
          <a:off x="6877050" y="2924175"/>
          <a:ext cx="3994150" cy="3506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247650</xdr:colOff>
      <xdr:row>93</xdr:row>
      <xdr:rowOff>9525</xdr:rowOff>
    </xdr:from>
    <xdr:to>
      <xdr:col>14</xdr:col>
      <xdr:colOff>304800</xdr:colOff>
      <xdr:row>110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704850</xdr:colOff>
      <xdr:row>95</xdr:row>
      <xdr:rowOff>123825</xdr:rowOff>
    </xdr:from>
    <xdr:to>
      <xdr:col>9</xdr:col>
      <xdr:colOff>714375</xdr:colOff>
      <xdr:row>98</xdr:row>
      <xdr:rowOff>9525</xdr:rowOff>
    </xdr:to>
    <xdr:cxnSp macro="">
      <xdr:nvCxnSpPr>
        <xdr:cNvPr id="4" name="3 Conector recto"/>
        <xdr:cNvCxnSpPr/>
      </xdr:nvCxnSpPr>
      <xdr:spPr bwMode="auto">
        <a:xfrm flipH="1" flipV="1">
          <a:off x="9639300" y="19097625"/>
          <a:ext cx="9525" cy="457200"/>
        </a:xfrm>
        <a:prstGeom prst="line">
          <a:avLst/>
        </a:prstGeom>
        <a:solidFill>
          <a:srgbClr val="FFFFFF"/>
        </a:solidFill>
        <a:ln w="19050" cap="flat" cmpd="sng" algn="ctr">
          <a:solidFill>
            <a:schemeClr val="accent2">
              <a:lumMod val="75000"/>
            </a:schemeClr>
          </a:solidFill>
          <a:prstDash val="dash"/>
          <a:round/>
          <a:headEnd type="none" w="med" len="med"/>
          <a:tailEnd type="none" w="med" len="med"/>
        </a:ln>
        <a:effectLst/>
      </xdr:spPr>
    </xdr:cxnSp>
    <xdr:clientData/>
  </xdr:twoCellAnchor>
  <xdr:twoCellAnchor>
    <xdr:from>
      <xdr:col>12</xdr:col>
      <xdr:colOff>200025</xdr:colOff>
      <xdr:row>93</xdr:row>
      <xdr:rowOff>142875</xdr:rowOff>
    </xdr:from>
    <xdr:to>
      <xdr:col>12</xdr:col>
      <xdr:colOff>200027</xdr:colOff>
      <xdr:row>100</xdr:row>
      <xdr:rowOff>19050</xdr:rowOff>
    </xdr:to>
    <xdr:cxnSp macro="">
      <xdr:nvCxnSpPr>
        <xdr:cNvPr id="5" name="4 Conector recto"/>
        <xdr:cNvCxnSpPr/>
      </xdr:nvCxnSpPr>
      <xdr:spPr bwMode="auto">
        <a:xfrm flipH="1" flipV="1">
          <a:off x="12087225" y="18735675"/>
          <a:ext cx="2" cy="1209675"/>
        </a:xfrm>
        <a:prstGeom prst="line">
          <a:avLst/>
        </a:prstGeom>
        <a:solidFill>
          <a:srgbClr val="FFFFFF"/>
        </a:solidFill>
        <a:ln w="19050" cap="flat" cmpd="sng" algn="ctr">
          <a:solidFill>
            <a:schemeClr val="accent2">
              <a:lumMod val="75000"/>
            </a:schemeClr>
          </a:solidFill>
          <a:prstDash val="dash"/>
          <a:round/>
          <a:headEnd type="none" w="med" len="med"/>
          <a:tailEnd type="none" w="med" len="med"/>
        </a:ln>
        <a:effectLst/>
      </xdr:spPr>
    </xdr:cxnSp>
    <xdr:clientData/>
  </xdr:twoCellAnchor>
  <xdr:twoCellAnchor>
    <xdr:from>
      <xdr:col>15</xdr:col>
      <xdr:colOff>295275</xdr:colOff>
      <xdr:row>77</xdr:row>
      <xdr:rowOff>114300</xdr:rowOff>
    </xdr:from>
    <xdr:to>
      <xdr:col>15</xdr:col>
      <xdr:colOff>304802</xdr:colOff>
      <xdr:row>87</xdr:row>
      <xdr:rowOff>104776</xdr:rowOff>
    </xdr:to>
    <xdr:cxnSp macro="">
      <xdr:nvCxnSpPr>
        <xdr:cNvPr id="8" name="7 Conector recto"/>
        <xdr:cNvCxnSpPr/>
      </xdr:nvCxnSpPr>
      <xdr:spPr bwMode="auto">
        <a:xfrm flipH="1" flipV="1">
          <a:off x="13011150" y="15659100"/>
          <a:ext cx="9527" cy="1895476"/>
        </a:xfrm>
        <a:prstGeom prst="line">
          <a:avLst/>
        </a:prstGeom>
        <a:solidFill>
          <a:srgbClr val="FFFFFF"/>
        </a:solidFill>
        <a:ln w="19050" cap="flat" cmpd="sng" algn="ctr">
          <a:solidFill>
            <a:schemeClr val="accent2">
              <a:lumMod val="75000"/>
            </a:schemeClr>
          </a:solidFill>
          <a:prstDash val="dash"/>
          <a:round/>
          <a:headEnd type="none" w="med" len="med"/>
          <a:tailEnd type="none" w="med" len="med"/>
        </a:ln>
        <a:effectLst/>
      </xdr:spPr>
    </xdr:cxnSp>
    <xdr:clientData/>
  </xdr:twoCellAnchor>
  <xdr:twoCellAnchor editAs="oneCell">
    <xdr:from>
      <xdr:col>0</xdr:col>
      <xdr:colOff>0</xdr:colOff>
      <xdr:row>12</xdr:row>
      <xdr:rowOff>28575</xdr:rowOff>
    </xdr:from>
    <xdr:to>
      <xdr:col>3</xdr:col>
      <xdr:colOff>961418</xdr:colOff>
      <xdr:row>28</xdr:row>
      <xdr:rowOff>133350</xdr:rowOff>
    </xdr:to>
    <xdr:pic>
      <xdr:nvPicPr>
        <xdr:cNvPr id="1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314575"/>
          <a:ext cx="4342793" cy="3152775"/>
        </a:xfrm>
        <a:prstGeom prst="rect">
          <a:avLst/>
        </a:prstGeom>
        <a:noFill/>
      </xdr:spPr>
    </xdr:pic>
    <xdr:clientData/>
  </xdr:twoCellAnchor>
  <xdr:twoCellAnchor editAs="oneCell">
    <xdr:from>
      <xdr:col>4</xdr:col>
      <xdr:colOff>66675</xdr:colOff>
      <xdr:row>12</xdr:row>
      <xdr:rowOff>171450</xdr:rowOff>
    </xdr:from>
    <xdr:to>
      <xdr:col>10</xdr:col>
      <xdr:colOff>267658</xdr:colOff>
      <xdr:row>32</xdr:row>
      <xdr:rowOff>3134</xdr:rowOff>
    </xdr:to>
    <xdr:pic>
      <xdr:nvPicPr>
        <xdr:cNvPr id="11"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4524375" y="2457450"/>
          <a:ext cx="5973133" cy="3641684"/>
        </a:xfrm>
        <a:prstGeom prst="rect">
          <a:avLst/>
        </a:prstGeom>
        <a:noFill/>
      </xdr:spPr>
    </xdr:pic>
    <xdr:clientData/>
  </xdr:twoCellAnchor>
  <xdr:twoCellAnchor editAs="oneCell">
    <xdr:from>
      <xdr:col>11</xdr:col>
      <xdr:colOff>333375</xdr:colOff>
      <xdr:row>19</xdr:row>
      <xdr:rowOff>152400</xdr:rowOff>
    </xdr:from>
    <xdr:to>
      <xdr:col>18</xdr:col>
      <xdr:colOff>57150</xdr:colOff>
      <xdr:row>31</xdr:row>
      <xdr:rowOff>160853</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10610850" y="3771900"/>
          <a:ext cx="4429125" cy="2294453"/>
        </a:xfrm>
        <a:prstGeom prst="rect">
          <a:avLst/>
        </a:prstGeom>
        <a:noFill/>
      </xdr:spPr>
    </xdr:pic>
    <xdr:clientData/>
  </xdr:twoCellAnchor>
  <xdr:twoCellAnchor>
    <xdr:from>
      <xdr:col>5</xdr:col>
      <xdr:colOff>685800</xdr:colOff>
      <xdr:row>30</xdr:row>
      <xdr:rowOff>171450</xdr:rowOff>
    </xdr:from>
    <xdr:to>
      <xdr:col>10</xdr:col>
      <xdr:colOff>381000</xdr:colOff>
      <xdr:row>31</xdr:row>
      <xdr:rowOff>133350</xdr:rowOff>
    </xdr:to>
    <xdr:sp macro="" textlink="">
      <xdr:nvSpPr>
        <xdr:cNvPr id="13" name="12 Rectángulo"/>
        <xdr:cNvSpPr/>
      </xdr:nvSpPr>
      <xdr:spPr bwMode="auto">
        <a:xfrm>
          <a:off x="6143625" y="5886450"/>
          <a:ext cx="3905250" cy="152400"/>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lang="es-AR" sz="1100"/>
        </a:p>
      </xdr:txBody>
    </xdr:sp>
    <xdr:clientData/>
  </xdr:twoCellAnchor>
  <xdr:twoCellAnchor>
    <xdr:from>
      <xdr:col>5</xdr:col>
      <xdr:colOff>123823</xdr:colOff>
      <xdr:row>108</xdr:row>
      <xdr:rowOff>85725</xdr:rowOff>
    </xdr:from>
    <xdr:to>
      <xdr:col>12</xdr:col>
      <xdr:colOff>228600</xdr:colOff>
      <xdr:row>122</xdr:row>
      <xdr:rowOff>161925</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425824</xdr:colOff>
      <xdr:row>41</xdr:row>
      <xdr:rowOff>22412</xdr:rowOff>
    </xdr:from>
    <xdr:to>
      <xdr:col>7</xdr:col>
      <xdr:colOff>0</xdr:colOff>
      <xdr:row>55</xdr:row>
      <xdr:rowOff>86912</xdr:rowOff>
    </xdr:to>
    <xdr:pic>
      <xdr:nvPicPr>
        <xdr:cNvPr id="10649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73206" y="963706"/>
          <a:ext cx="5939118" cy="2260853"/>
        </a:xfrm>
        <a:prstGeom prst="rect">
          <a:avLst/>
        </a:prstGeom>
        <a:noFill/>
      </xdr:spPr>
    </xdr:pic>
    <xdr:clientData/>
  </xdr:twoCellAnchor>
  <xdr:twoCellAnchor editAs="oneCell">
    <xdr:from>
      <xdr:col>6</xdr:col>
      <xdr:colOff>89647</xdr:colOff>
      <xdr:row>40</xdr:row>
      <xdr:rowOff>100854</xdr:rowOff>
    </xdr:from>
    <xdr:to>
      <xdr:col>10</xdr:col>
      <xdr:colOff>1322293</xdr:colOff>
      <xdr:row>54</xdr:row>
      <xdr:rowOff>97502</xdr:rowOff>
    </xdr:to>
    <xdr:pic>
      <xdr:nvPicPr>
        <xdr:cNvPr id="10650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037294" y="6062383"/>
          <a:ext cx="5020235" cy="2193001"/>
        </a:xfrm>
        <a:prstGeom prst="rect">
          <a:avLst/>
        </a:prstGeom>
        <a:noFill/>
      </xdr:spPr>
    </xdr:pic>
    <xdr:clientData/>
  </xdr:twoCellAnchor>
  <xdr:twoCellAnchor editAs="oneCell">
    <xdr:from>
      <xdr:col>1</xdr:col>
      <xdr:colOff>168089</xdr:colOff>
      <xdr:row>55</xdr:row>
      <xdr:rowOff>44823</xdr:rowOff>
    </xdr:from>
    <xdr:to>
      <xdr:col>5</xdr:col>
      <xdr:colOff>381000</xdr:colOff>
      <xdr:row>70</xdr:row>
      <xdr:rowOff>125817</xdr:rowOff>
    </xdr:to>
    <xdr:pic>
      <xdr:nvPicPr>
        <xdr:cNvPr id="1065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515471" y="3182470"/>
          <a:ext cx="4997823" cy="2434229"/>
        </a:xfrm>
        <a:prstGeom prst="rect">
          <a:avLst/>
        </a:prstGeom>
        <a:noFill/>
      </xdr:spPr>
    </xdr:pic>
    <xdr:clientData/>
  </xdr:twoCellAnchor>
  <xdr:twoCellAnchor editAs="oneCell">
    <xdr:from>
      <xdr:col>4</xdr:col>
      <xdr:colOff>1086971</xdr:colOff>
      <xdr:row>57</xdr:row>
      <xdr:rowOff>137500</xdr:rowOff>
    </xdr:from>
    <xdr:to>
      <xdr:col>10</xdr:col>
      <xdr:colOff>391645</xdr:colOff>
      <xdr:row>70</xdr:row>
      <xdr:rowOff>34178</xdr:rowOff>
    </xdr:to>
    <xdr:pic>
      <xdr:nvPicPr>
        <xdr:cNvPr id="106504"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5748618" y="3588912"/>
          <a:ext cx="5009029" cy="1936149"/>
        </a:xfrm>
        <a:prstGeom prst="rect">
          <a:avLst/>
        </a:prstGeom>
        <a:noFill/>
      </xdr:spPr>
    </xdr:pic>
    <xdr:clientData/>
  </xdr:twoCellAnchor>
  <xdr:twoCellAnchor editAs="oneCell">
    <xdr:from>
      <xdr:col>1</xdr:col>
      <xdr:colOff>78442</xdr:colOff>
      <xdr:row>70</xdr:row>
      <xdr:rowOff>134471</xdr:rowOff>
    </xdr:from>
    <xdr:to>
      <xdr:col>6</xdr:col>
      <xdr:colOff>190501</xdr:colOff>
      <xdr:row>85</xdr:row>
      <xdr:rowOff>15550</xdr:rowOff>
    </xdr:to>
    <xdr:pic>
      <xdr:nvPicPr>
        <xdr:cNvPr id="106506"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425824" y="8449236"/>
          <a:ext cx="5726206" cy="2234314"/>
        </a:xfrm>
        <a:prstGeom prst="rect">
          <a:avLst/>
        </a:prstGeom>
        <a:noFill/>
      </xdr:spPr>
    </xdr:pic>
    <xdr:clientData/>
  </xdr:twoCellAnchor>
  <xdr:twoCellAnchor editAs="oneCell">
    <xdr:from>
      <xdr:col>0</xdr:col>
      <xdr:colOff>336178</xdr:colOff>
      <xdr:row>85</xdr:row>
      <xdr:rowOff>22412</xdr:rowOff>
    </xdr:from>
    <xdr:to>
      <xdr:col>10</xdr:col>
      <xdr:colOff>755278</xdr:colOff>
      <xdr:row>101</xdr:row>
      <xdr:rowOff>17929</xdr:rowOff>
    </xdr:to>
    <xdr:pic>
      <xdr:nvPicPr>
        <xdr:cNvPr id="106508"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6178" y="13514294"/>
          <a:ext cx="10168218" cy="250563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9</xdr:row>
      <xdr:rowOff>19050</xdr:rowOff>
    </xdr:from>
    <xdr:to>
      <xdr:col>8</xdr:col>
      <xdr:colOff>381000</xdr:colOff>
      <xdr:row>15</xdr:row>
      <xdr:rowOff>154512</xdr:rowOff>
    </xdr:to>
    <xdr:pic>
      <xdr:nvPicPr>
        <xdr:cNvPr id="2"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76200" y="1314450"/>
          <a:ext cx="6400800" cy="1107012"/>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n00015ar\Comercial-Proyectos\TEMP\Stock%20s&#233;curit&#233;\CHARGES%202001%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n00015ar\Comercial-Proyectos\PROYECTOS\PROYECTOS_2008\ALTA_ENVERGADURA\PRA08_001-00%20(PSA)\PRoyecto%20PSA%20&#250;ltimas%20versiones\BP%20HURLINGHAM%2027-05%20rev%2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tebook\hernan\BACKUP\FACT-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_gestion\gestion\users\u330530.GEFCO-ACCT\Local%20Settings\Temporary%20Internet%20Files\OLK132\FicheInv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n00015ar\Comercial-Proyectos\my%20Projects\E%2070\Logistic%20E70\logisitc%20Quotes%20for%20%20senarios\Chiffrage_%20bouclier_rear%20%20E70_PO%20101004_17%20withcostimprove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oyo01\Supply_Chain\data\R%20Laissu\Chiffrage\VW\VW%20camion%20Br&#233;sil\Ford\CD%20340\Outils\Outils\Outil%20chiffrage%20Log%20Fran&#231;o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n00015ar\Comercial-Proyectos\PROYECTOS\PROYECTOS_2007\ALTA_ENVERGADURA\PRA07_070-00(BGH)\BP_PRA07_07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n00015ar\comercial-proyectos\windows\TEMP\GESTION%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emp\8\ResultadosBras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ocuments%20and%20Settings\dsfernandez\Configuraci&#243;n%20local\Archivos%20temporales%20de%20Internet\OLKF3\e-BS%20v4%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n00015ar\Comercial-Proyectos\E70%20Expertise\Economical\QAF\BMW%20E70%20QAF%20JIS%20Fender%20Bumper%20korr%20Transport%20PO%20Version%2026.6.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n00015ar\comercial-proyectos\PROYECTOS\PROYECTOS_2006\ALTA_ENVERGADURA\PRA06_008(FORD)\Datos%20F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edoc.inetgefco.net/PCO/Consolidation%20Financi&#233;re/Investissements%20-%20dossier%20JSA/Dossier%202011/Suivi%20investissement/Copie%20de%20Indicateurs%20clefs%20projets%20invest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dcpi.pcinfo.inetpsa.com/doc/dom8906/dom27164/dom30715/doc501065/PERFOLOGISTICAGEFCO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n00015ar\comercial-proyectos\PROYECTOS\PROYECTOS_2008\ALTA_ENVERGADURA\PRA08_014-00%20(YAMAHA)\BP_PRA08_014-01%20(FLUJOS%20INTERIO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n00015ar\Comercial-Proyectos\Documents%20and%20Settings\dsfernandez\Configuraci&#243;n%20local\Archivos%20temporales%20de%20Internet\OLK11\BP_PRA07_059-00%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n00015ar\Comercial-Proyectos\mix\A3300\PRU%20CA\E%20Vives\Delta\Process\dossier%20process%20HB3%20Av%20-%20HB5%20Av%20-%20Partie%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n00015ar\Comercial-Proyectos\Documents%20and%20Settings\dsfernandez\Configuraci&#243;n%20local\Archivos%20temporales%20de%20Internet\OLK11\e-BS%20v6%20REC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SA%2030-01\e-BS%20v1%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n00015ar\Comercial-Proyectos\Documents%20and%20Settings\dsfernandez\Configuraci&#243;n%20local\Archivos%20temporales%20de%20Internet\OLKF3\e-BS%20v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users\u285499\Local%20Settings\Temporary%20Internet%20Files\Content.Outlook\KHAQNVAK\A_gestion\gestion\users\u330530.GEFCO-ACCT\Local%20Settings\Temporary%20Internet%20Files\OLK132\FicheInv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n00015ar\Comercial-Proyectos\PROYECTOS\PROYECTOS_2007\ALTA_ENVERGADURA\PRA07_041-00%20(SONY)\BP_PRA07_04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n00001ar\m&#233;todos%20y%20reingenier&#237;a\ACE\ACE_analisis%20costos_06101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dia\base%20de%20dato\2000\IBM%202000\Base%20de%20datos%20IBM%2020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edoc.inetgefco.net/USERS/u259125/Local%20Settings/Temporary%20Internet%20Files/Content.Outlook/STXX78XI/Grodzisk%20prolongation%20and%20exten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CGG_DO\Martins_Jo&#235;l\R&#233;alis&#233;_2005\test_analys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cuments%20and%20Settings\jdavid\Configuraci&#243;n%20local\Archivos%20temporales%20de%20Internet\Content.Outlook\5WIMFU81\Note_Engagement2013V4%20pour%20refonte%20VBED%20230520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edoc.inetgefco.net/GMS%20Chantiers/Engagements%20et%20Investissements/6-%20NE/Fiches%20modifi&#233;es/Cost%20calculator_v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oyo01\supply_chain\Eigene%20Dateien\Colorado%20Notebook\Kalkulationen\SILS%20Bratislava%20SYN\271000%20synsff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n00015ar\Comercial-Proyectos\PROYECTOS\PROYECTOS_2007\ALTA_ENVERGADURA\PRA07_069-00%20(PSA)\BP_PRA07_069-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ocuments%20and%20Settings\dell\Desktop\BP_PRA07_066-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n00015ar\Comercial-Proyectos\personal\stephane.boussand\2.%20Documents%20PO\Outils%20Supply%20Chain\Logistic%20Quotation%20Argentina%20version%2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n00015ar\Comercial-Proyectos\1%20-%20Gilles%20ROCHER%20(ABMI)%20sur%20Soyo01\Guichen\Dossier%20de%20travail%20Guichen\Analyses\Analyse%20Flux%20Comp.%20GUICH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n00015ar\Comercial-Proyectos\E70%20Expertise\Economical\PRU-ERP\Official%20PRU\Fender%20module%20version%20PO\Taux022QU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n00015ar\Comercial-Proyectos\mix\loic\referentiel\AUTRES\PER_AU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eac01fich1\DSI\Engagements-projets\NO-NE-ND-DRM-FichesProjets\3_Infrastructures_Sites\NEI_2010\NEI%202010%20Kazakhsta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oyo01\supply_chain\data\Volkswagen\Touareg%20FL\Quotation%20phase\Touareg%20GP%20-%20Dotation%20in%20racks%20-%20V0%20-%20FC%20-%202710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edoc.inetgefco.net/eDoc/view/4199446/Local%20Settings/Temporary%20Internet%20Files/Content.Outlook/KHAQNVAK/BU%20Business%20Plan/English%20Version/Gefco%20BU/2010/Mod&#232;le/Note_d_engagement_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Gm\Plan%20For%20Every%20Part\Milk%20Runs%20Change%20Report\Presentacion%20Mike%20Cambio%20Ru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v\d\Gm\Propuestas\qryMilkRunsSummary03-08-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v\c\Mis%20documentos\Routes%20GM%20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rf\outils\BE_CALLOG\COUT_V1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6145%20Test%20de%20pasivos%20omitidos%2012-00"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640%20Prueba%20Global%20del%20Valor%20Residual%20y%20amort.%20OMHSA%2030-6-0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n00015ar\finanzas-gesti&#243;n\Rosana\Informe%20Mensual%202005\01_Ene_05\TableroAutomatico_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n00015ar\comercial-proyectos\jelaffue\2002\Actual%20122002\5620%20Analisis%20Bienes%20de%20Uso.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620%20An&#225;lisis%20de%20Bienes%20de%20Uso"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nn&#233;es\DO1\Gefco\Perimetre\Int&#233;gration\Inventaire%20a%20faire\inventaire%20a%20traiter\analyse%20V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n00015ar\Comercial-Proyectos\PROYECTOS\PROYECTOS_2007\ALTA_ENVERGADURA\PRA07_023-00(FALABELLA)\Definitivos\BP_PRA07_023-00%20(ILI).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6123%20Composici&#243;n%20de%20proveedore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C)%206122%20Test%20de%20Pasivos%20Omitido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5640-1%20An&#225;lisis%20de%20bienes%20de%20uso%20OOSA%2030-6-02"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PCO\Contr&#244;le%20de%20Gestion%20Groupe\Historique\Historique%20Frais%20indirects\Histo_Frais_Indirects_B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n00015ar\comercial-proyectos\PROYECTOS\PROYECTOS_2008\ALTA_ENVERGADURA\PRA08_014-00%20(YAMAHA)\BP_PRA08_014-01%20(FLUJO%20ROS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u334709\Desktop\Copie%20de%20GEFCO%20-%20Engagement%20projet%20SI%20-%20v2.2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_1\nt-msoff\Diego\FACT-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tebook\hernan\windows\TEMP\GESTION%2019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S 05"/>
      <sheetName val="TRS 06"/>
      <sheetName val="TRS 07"/>
      <sheetName val="TRS 08"/>
      <sheetName val="TRS 09"/>
      <sheetName val="TRS 10"/>
      <sheetName val="TRS 11"/>
      <sheetName val="TRS 12"/>
      <sheetName val="RSA"/>
      <sheetName val="STOCKS"/>
      <sheetName val="CACORIG"/>
      <sheetName val="PDP presse"/>
      <sheetName val="PDP peint"/>
      <sheetName val="recap "/>
      <sheetName val="650T P11 12"/>
      <sheetName val="800 T P9 10"/>
      <sheetName val="1200T P13"/>
      <sheetName val="1800T P17"/>
      <sheetName val="2700 T P19"/>
      <sheetName val="matière"/>
      <sheetName val="PEINTURE AC"/>
      <sheetName val="PEINTURE (2) AC"/>
      <sheetName val="PEINTURE (3) AC"/>
      <sheetName val="PEINTURE (1) NC"/>
      <sheetName val="PEINTURE (2) NC"/>
      <sheetName val="PEINTURE (3)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Feuil1"/>
      <sheetName val="Lay Out"/>
      <sheetName val="HIPOTESIS"/>
      <sheetName val="Nivel de Actividad"/>
      <sheetName val="OVL"/>
      <sheetName val="Salarios"/>
      <sheetName val="Personal "/>
      <sheetName val="Maquinas 31,4 vh"/>
      <sheetName val="Alquiler_Predio"/>
      <sheetName val="Inversiones"/>
      <sheetName val="Gastos Generales"/>
      <sheetName val="Sistemas"/>
      <sheetName val="Resumen PSA "/>
      <sheetName val="CR PSA"/>
      <sheetName val="CPTE EXPLOITATION"/>
      <sheetName val="CEDOL"/>
      <sheetName val="Tarifas"/>
      <sheetName val="PSA"/>
      <sheetName val="Real PO+Asientos"/>
      <sheetName val="RESUMEN PO"/>
      <sheetName val="RESUMEN PLASCAR"/>
      <sheetName val="PO"/>
      <sheetName val="General Hurlingham"/>
      <sheetName val="Budget PSA FRANCIA"/>
      <sheetName val="Hoja1"/>
      <sheetName val="VAN"/>
      <sheetName val="DEUDORES EN GES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ACTURAS ENERO"/>
      <sheetName val="GASTOS ENERO"/>
      <sheetName val="FACT-X"/>
      <sheetName val="Alquiler_Predio"/>
      <sheetName val="Resumen PSA "/>
    </sheetNames>
    <sheetDataSet>
      <sheetData sheetId="0"/>
      <sheetData sheetId="1" refreshError="1">
        <row r="1">
          <cell r="B1" t="str">
            <v>Fecha asiento</v>
          </cell>
          <cell r="C1" t="str">
            <v>Cuenta contable</v>
          </cell>
          <cell r="D1" t="str">
            <v>importe</v>
          </cell>
        </row>
        <row r="2">
          <cell r="B2">
            <v>35809</v>
          </cell>
          <cell r="C2" t="str">
            <v>135000</v>
          </cell>
          <cell r="D2">
            <v>721.68</v>
          </cell>
        </row>
        <row r="3">
          <cell r="B3">
            <v>35816</v>
          </cell>
          <cell r="C3" t="str">
            <v>135000</v>
          </cell>
          <cell r="D3">
            <v>78</v>
          </cell>
        </row>
        <row r="4">
          <cell r="B4">
            <v>35821</v>
          </cell>
          <cell r="C4" t="str">
            <v>135000</v>
          </cell>
          <cell r="D4">
            <v>65</v>
          </cell>
        </row>
        <row r="5">
          <cell r="B5">
            <v>35821</v>
          </cell>
          <cell r="C5" t="str">
            <v>139200</v>
          </cell>
          <cell r="D5">
            <v>5400.43</v>
          </cell>
        </row>
        <row r="6">
          <cell r="B6">
            <v>35809</v>
          </cell>
          <cell r="C6" t="str">
            <v>811212</v>
          </cell>
          <cell r="D6">
            <v>12787.51</v>
          </cell>
        </row>
        <row r="7">
          <cell r="B7">
            <v>35810</v>
          </cell>
          <cell r="C7" t="str">
            <v>811212</v>
          </cell>
          <cell r="D7">
            <v>1464.34</v>
          </cell>
        </row>
        <row r="8">
          <cell r="B8">
            <v>35815</v>
          </cell>
          <cell r="C8" t="str">
            <v>811212</v>
          </cell>
          <cell r="D8">
            <v>266.5</v>
          </cell>
        </row>
        <row r="9">
          <cell r="B9">
            <v>35821</v>
          </cell>
          <cell r="C9" t="str">
            <v>811212</v>
          </cell>
          <cell r="D9">
            <v>101.6</v>
          </cell>
        </row>
        <row r="10">
          <cell r="B10">
            <v>35808</v>
          </cell>
          <cell r="C10" t="str">
            <v>811216</v>
          </cell>
          <cell r="D10">
            <v>9</v>
          </cell>
        </row>
        <row r="11">
          <cell r="B11">
            <v>35809</v>
          </cell>
          <cell r="C11" t="str">
            <v>811216</v>
          </cell>
          <cell r="D11">
            <v>900</v>
          </cell>
        </row>
        <row r="12">
          <cell r="B12">
            <v>35815</v>
          </cell>
          <cell r="C12" t="str">
            <v>811216</v>
          </cell>
          <cell r="D12">
            <v>554.62</v>
          </cell>
        </row>
        <row r="13">
          <cell r="B13">
            <v>35816</v>
          </cell>
          <cell r="C13" t="str">
            <v>811216</v>
          </cell>
          <cell r="D13">
            <v>9.1999999999999993</v>
          </cell>
        </row>
        <row r="14">
          <cell r="B14">
            <v>35822</v>
          </cell>
          <cell r="C14" t="str">
            <v>811216</v>
          </cell>
          <cell r="D14">
            <v>21.19</v>
          </cell>
        </row>
        <row r="15">
          <cell r="B15">
            <v>35815</v>
          </cell>
          <cell r="C15" t="str">
            <v>811220</v>
          </cell>
          <cell r="D15">
            <v>423</v>
          </cell>
        </row>
        <row r="16">
          <cell r="B16">
            <v>35816</v>
          </cell>
          <cell r="C16" t="str">
            <v>811220</v>
          </cell>
          <cell r="D16">
            <v>53.22</v>
          </cell>
        </row>
        <row r="17">
          <cell r="B17">
            <v>35809</v>
          </cell>
          <cell r="C17" t="str">
            <v>811222</v>
          </cell>
          <cell r="D17">
            <v>85</v>
          </cell>
        </row>
        <row r="18">
          <cell r="B18">
            <v>35809</v>
          </cell>
          <cell r="C18" t="str">
            <v>811412</v>
          </cell>
          <cell r="D18">
            <v>734.49</v>
          </cell>
        </row>
        <row r="19">
          <cell r="B19">
            <v>35821</v>
          </cell>
          <cell r="C19" t="str">
            <v>811412</v>
          </cell>
          <cell r="D19">
            <v>96.05</v>
          </cell>
        </row>
        <row r="20">
          <cell r="B20">
            <v>35815</v>
          </cell>
          <cell r="C20" t="str">
            <v>811419</v>
          </cell>
          <cell r="D20">
            <v>30</v>
          </cell>
        </row>
        <row r="21">
          <cell r="B21">
            <v>35809</v>
          </cell>
          <cell r="C21" t="str">
            <v>811422</v>
          </cell>
          <cell r="D21">
            <v>1723</v>
          </cell>
        </row>
        <row r="22">
          <cell r="B22">
            <v>35815</v>
          </cell>
          <cell r="C22" t="str">
            <v>811619</v>
          </cell>
          <cell r="D22">
            <v>30</v>
          </cell>
        </row>
        <row r="23">
          <cell r="B23">
            <v>35825</v>
          </cell>
          <cell r="C23" t="str">
            <v>811712</v>
          </cell>
          <cell r="D23">
            <v>144.38999999999999</v>
          </cell>
        </row>
        <row r="24">
          <cell r="B24">
            <v>35810</v>
          </cell>
          <cell r="C24" t="str">
            <v>811715</v>
          </cell>
          <cell r="D24">
            <v>1280</v>
          </cell>
        </row>
        <row r="25">
          <cell r="B25">
            <v>35810</v>
          </cell>
          <cell r="C25" t="str">
            <v>811716</v>
          </cell>
          <cell r="D25">
            <v>152.05000000000001</v>
          </cell>
        </row>
        <row r="26">
          <cell r="B26">
            <v>35808</v>
          </cell>
          <cell r="C26" t="str">
            <v>811717</v>
          </cell>
          <cell r="D26">
            <v>84</v>
          </cell>
        </row>
        <row r="27">
          <cell r="B27">
            <v>35810</v>
          </cell>
          <cell r="C27" t="str">
            <v>811717</v>
          </cell>
          <cell r="D27">
            <v>86.8</v>
          </cell>
        </row>
        <row r="28">
          <cell r="B28">
            <v>35808</v>
          </cell>
          <cell r="C28" t="str">
            <v>811721</v>
          </cell>
          <cell r="D28">
            <v>19</v>
          </cell>
        </row>
        <row r="29">
          <cell r="B29">
            <v>35815</v>
          </cell>
          <cell r="C29" t="str">
            <v>811723</v>
          </cell>
          <cell r="D29">
            <v>121</v>
          </cell>
        </row>
        <row r="30">
          <cell r="B30">
            <v>35821</v>
          </cell>
          <cell r="C30" t="str">
            <v>811727</v>
          </cell>
          <cell r="D30">
            <v>75</v>
          </cell>
        </row>
        <row r="31">
          <cell r="B31">
            <v>35815</v>
          </cell>
          <cell r="C31" t="str">
            <v>811729</v>
          </cell>
          <cell r="D31">
            <v>190</v>
          </cell>
        </row>
        <row r="32">
          <cell r="B32">
            <v>35822</v>
          </cell>
          <cell r="C32" t="str">
            <v>811729</v>
          </cell>
          <cell r="D32">
            <v>250</v>
          </cell>
        </row>
        <row r="33">
          <cell r="B33">
            <v>35811</v>
          </cell>
          <cell r="C33" t="str">
            <v>811812</v>
          </cell>
          <cell r="D33">
            <v>78.14</v>
          </cell>
        </row>
        <row r="34">
          <cell r="B34">
            <v>35822</v>
          </cell>
          <cell r="C34" t="str">
            <v>811815</v>
          </cell>
          <cell r="D34">
            <v>13.2</v>
          </cell>
        </row>
        <row r="35">
          <cell r="B35">
            <v>35809</v>
          </cell>
          <cell r="C35" t="str">
            <v>811816</v>
          </cell>
          <cell r="D35">
            <v>326.70999999999998</v>
          </cell>
        </row>
        <row r="36">
          <cell r="B36">
            <v>35810</v>
          </cell>
          <cell r="C36" t="str">
            <v>811816</v>
          </cell>
          <cell r="D36">
            <v>152.05000000000001</v>
          </cell>
        </row>
        <row r="37">
          <cell r="B37">
            <v>35810</v>
          </cell>
          <cell r="C37" t="str">
            <v>811817</v>
          </cell>
          <cell r="D37">
            <v>50.31</v>
          </cell>
        </row>
        <row r="38">
          <cell r="B38">
            <v>35811</v>
          </cell>
          <cell r="C38" t="str">
            <v>811817</v>
          </cell>
          <cell r="D38">
            <v>150.72</v>
          </cell>
        </row>
        <row r="39">
          <cell r="B39">
            <v>35808</v>
          </cell>
          <cell r="C39" t="str">
            <v>812114</v>
          </cell>
          <cell r="D39">
            <v>467.9</v>
          </cell>
        </row>
        <row r="40">
          <cell r="B40">
            <v>35808</v>
          </cell>
          <cell r="C40" t="str">
            <v>812123</v>
          </cell>
          <cell r="D40">
            <v>35.549999999999997</v>
          </cell>
        </row>
        <row r="41">
          <cell r="B41">
            <v>35808</v>
          </cell>
          <cell r="C41" t="str">
            <v>812124</v>
          </cell>
          <cell r="D41">
            <v>84</v>
          </cell>
        </row>
        <row r="42">
          <cell r="B42">
            <v>35818</v>
          </cell>
          <cell r="C42" t="str">
            <v>812124</v>
          </cell>
          <cell r="D42">
            <v>286.82</v>
          </cell>
        </row>
        <row r="43">
          <cell r="B43">
            <v>35822</v>
          </cell>
          <cell r="C43" t="str">
            <v>812126</v>
          </cell>
          <cell r="D43">
            <v>98.27</v>
          </cell>
        </row>
        <row r="44">
          <cell r="B44">
            <v>35808</v>
          </cell>
          <cell r="C44" t="str">
            <v>812128</v>
          </cell>
          <cell r="D44">
            <v>3897.62</v>
          </cell>
        </row>
        <row r="45">
          <cell r="B45">
            <v>35810</v>
          </cell>
          <cell r="C45" t="str">
            <v>812129</v>
          </cell>
          <cell r="D45">
            <v>1112.6199999999999</v>
          </cell>
        </row>
        <row r="46">
          <cell r="B46">
            <v>35808</v>
          </cell>
          <cell r="C46" t="str">
            <v>812215</v>
          </cell>
          <cell r="D46">
            <v>302.44</v>
          </cell>
        </row>
        <row r="47">
          <cell r="B47">
            <v>35825</v>
          </cell>
          <cell r="C47" t="str">
            <v>812223</v>
          </cell>
          <cell r="D47">
            <v>133.96</v>
          </cell>
        </row>
        <row r="48">
          <cell r="B48">
            <v>35822</v>
          </cell>
          <cell r="C48" t="str">
            <v>812313</v>
          </cell>
          <cell r="D48">
            <v>692.57</v>
          </cell>
        </row>
        <row r="49">
          <cell r="B49">
            <v>35811</v>
          </cell>
          <cell r="C49" t="str">
            <v>812314</v>
          </cell>
          <cell r="D49">
            <v>135.38</v>
          </cell>
        </row>
        <row r="50">
          <cell r="B50">
            <v>35808</v>
          </cell>
          <cell r="C50" t="str">
            <v>812325</v>
          </cell>
          <cell r="D50">
            <v>84</v>
          </cell>
        </row>
        <row r="51">
          <cell r="B51">
            <v>35814</v>
          </cell>
          <cell r="C51" t="str">
            <v>812329</v>
          </cell>
          <cell r="D51">
            <v>1474.22</v>
          </cell>
        </row>
        <row r="52">
          <cell r="B52">
            <v>35824</v>
          </cell>
          <cell r="C52" t="str">
            <v>812329</v>
          </cell>
          <cell r="D52">
            <v>1203.1400000000001</v>
          </cell>
        </row>
        <row r="53">
          <cell r="B53">
            <v>35809</v>
          </cell>
          <cell r="C53" t="str">
            <v>812413</v>
          </cell>
          <cell r="D53">
            <v>6163.18</v>
          </cell>
        </row>
        <row r="54">
          <cell r="B54">
            <v>35808</v>
          </cell>
          <cell r="C54" t="str">
            <v>812415</v>
          </cell>
          <cell r="D54">
            <v>753.29</v>
          </cell>
        </row>
        <row r="55">
          <cell r="B55">
            <v>35824</v>
          </cell>
          <cell r="C55" t="str">
            <v>812415</v>
          </cell>
          <cell r="D55">
            <v>1520.05</v>
          </cell>
        </row>
        <row r="56">
          <cell r="B56">
            <v>35808</v>
          </cell>
          <cell r="C56" t="str">
            <v>812420</v>
          </cell>
          <cell r="D56">
            <v>2046</v>
          </cell>
        </row>
        <row r="57">
          <cell r="B57">
            <v>35816</v>
          </cell>
          <cell r="C57" t="str">
            <v>812423</v>
          </cell>
          <cell r="D57">
            <v>143.41</v>
          </cell>
        </row>
        <row r="58">
          <cell r="B58">
            <v>35818</v>
          </cell>
          <cell r="C58" t="str">
            <v>812423</v>
          </cell>
          <cell r="D58">
            <v>566.17999999999995</v>
          </cell>
        </row>
        <row r="59">
          <cell r="B59">
            <v>35807</v>
          </cell>
          <cell r="C59" t="str">
            <v>812425</v>
          </cell>
          <cell r="D59">
            <v>31.95</v>
          </cell>
        </row>
        <row r="60">
          <cell r="B60">
            <v>35808</v>
          </cell>
          <cell r="C60" t="str">
            <v>812425</v>
          </cell>
          <cell r="D60">
            <v>138</v>
          </cell>
        </row>
        <row r="61">
          <cell r="B61">
            <v>35810</v>
          </cell>
          <cell r="C61" t="str">
            <v>812427</v>
          </cell>
          <cell r="D61">
            <v>1584</v>
          </cell>
        </row>
        <row r="62">
          <cell r="B62">
            <v>35810</v>
          </cell>
          <cell r="C62" t="str">
            <v>812429</v>
          </cell>
          <cell r="D62">
            <v>5550</v>
          </cell>
        </row>
        <row r="63">
          <cell r="B63">
            <v>35830</v>
          </cell>
          <cell r="C63" t="str">
            <v>812429</v>
          </cell>
          <cell r="D63">
            <v>9742.2999999999993</v>
          </cell>
        </row>
        <row r="64">
          <cell r="B64">
            <v>35808</v>
          </cell>
          <cell r="C64" t="str">
            <v>812511</v>
          </cell>
          <cell r="D64">
            <v>419.4</v>
          </cell>
        </row>
        <row r="65">
          <cell r="B65">
            <v>35809</v>
          </cell>
          <cell r="C65" t="str">
            <v>812511</v>
          </cell>
          <cell r="D65">
            <v>3269.4</v>
          </cell>
        </row>
        <row r="66">
          <cell r="B66">
            <v>35810</v>
          </cell>
          <cell r="C66" t="str">
            <v>812511</v>
          </cell>
          <cell r="D66">
            <v>1460.11</v>
          </cell>
        </row>
        <row r="67">
          <cell r="B67">
            <v>35811</v>
          </cell>
          <cell r="C67" t="str">
            <v>812511</v>
          </cell>
          <cell r="D67">
            <v>3033.75</v>
          </cell>
        </row>
        <row r="68">
          <cell r="B68">
            <v>35823</v>
          </cell>
          <cell r="C68" t="str">
            <v>812511</v>
          </cell>
          <cell r="D68">
            <v>720.84</v>
          </cell>
        </row>
        <row r="69">
          <cell r="B69">
            <v>35807</v>
          </cell>
          <cell r="C69" t="str">
            <v>812513</v>
          </cell>
          <cell r="D69">
            <v>1432.65</v>
          </cell>
        </row>
        <row r="70">
          <cell r="B70">
            <v>35810</v>
          </cell>
          <cell r="C70" t="str">
            <v>812513</v>
          </cell>
          <cell r="D70">
            <v>3634.38</v>
          </cell>
        </row>
        <row r="71">
          <cell r="B71">
            <v>35821</v>
          </cell>
          <cell r="C71" t="str">
            <v>812513</v>
          </cell>
          <cell r="D71">
            <v>65</v>
          </cell>
        </row>
        <row r="72">
          <cell r="B72">
            <v>35822</v>
          </cell>
          <cell r="C72" t="str">
            <v>812513</v>
          </cell>
          <cell r="D72">
            <v>2360.61</v>
          </cell>
        </row>
        <row r="73">
          <cell r="B73">
            <v>35810</v>
          </cell>
          <cell r="C73" t="str">
            <v>812514</v>
          </cell>
          <cell r="D73">
            <v>4214.62</v>
          </cell>
        </row>
        <row r="74">
          <cell r="B74">
            <v>35822</v>
          </cell>
          <cell r="C74" t="str">
            <v>812514</v>
          </cell>
          <cell r="D74">
            <v>499.86</v>
          </cell>
        </row>
        <row r="75">
          <cell r="B75">
            <v>35811</v>
          </cell>
          <cell r="C75" t="str">
            <v>812515</v>
          </cell>
          <cell r="D75">
            <v>201.3</v>
          </cell>
        </row>
        <row r="76">
          <cell r="B76">
            <v>35808</v>
          </cell>
          <cell r="C76" t="str">
            <v>812525</v>
          </cell>
          <cell r="D76">
            <v>84</v>
          </cell>
        </row>
        <row r="77">
          <cell r="B77">
            <v>35809</v>
          </cell>
          <cell r="C77" t="str">
            <v>812525</v>
          </cell>
          <cell r="D77">
            <v>100</v>
          </cell>
        </row>
        <row r="78">
          <cell r="B78">
            <v>35810</v>
          </cell>
          <cell r="C78" t="str">
            <v>812525</v>
          </cell>
          <cell r="D78">
            <v>33</v>
          </cell>
        </row>
        <row r="79">
          <cell r="B79">
            <v>35825</v>
          </cell>
          <cell r="C79" t="str">
            <v>812525</v>
          </cell>
          <cell r="D79">
            <v>61.15</v>
          </cell>
        </row>
        <row r="80">
          <cell r="B80">
            <v>35808</v>
          </cell>
          <cell r="C80" t="str">
            <v>812528</v>
          </cell>
          <cell r="D80">
            <v>2671.21</v>
          </cell>
        </row>
        <row r="81">
          <cell r="B81">
            <v>35808</v>
          </cell>
          <cell r="C81" t="str">
            <v>812529</v>
          </cell>
          <cell r="D81">
            <v>5748.88</v>
          </cell>
        </row>
        <row r="82">
          <cell r="B82">
            <v>35809</v>
          </cell>
          <cell r="C82" t="str">
            <v>812529</v>
          </cell>
          <cell r="D82">
            <v>2807.38</v>
          </cell>
        </row>
        <row r="83">
          <cell r="B83">
            <v>35816</v>
          </cell>
          <cell r="C83" t="str">
            <v>812529</v>
          </cell>
          <cell r="D83">
            <v>3022.9</v>
          </cell>
        </row>
        <row r="84">
          <cell r="B84">
            <v>35808</v>
          </cell>
          <cell r="C84" t="str">
            <v>812713</v>
          </cell>
          <cell r="D84">
            <v>12</v>
          </cell>
        </row>
        <row r="85">
          <cell r="B85">
            <v>35808</v>
          </cell>
          <cell r="C85" t="str">
            <v>814111</v>
          </cell>
          <cell r="D85">
            <v>3.17</v>
          </cell>
        </row>
        <row r="86">
          <cell r="B86">
            <v>35809</v>
          </cell>
          <cell r="C86" t="str">
            <v>814111</v>
          </cell>
          <cell r="D86">
            <v>71.069999999999993</v>
          </cell>
        </row>
        <row r="87">
          <cell r="B87">
            <v>35830</v>
          </cell>
          <cell r="C87" t="str">
            <v>814111</v>
          </cell>
          <cell r="D87">
            <v>20.399999999999999</v>
          </cell>
        </row>
        <row r="88">
          <cell r="B88">
            <v>35808</v>
          </cell>
          <cell r="C88" t="str">
            <v>814112</v>
          </cell>
          <cell r="D88">
            <v>1.06</v>
          </cell>
        </row>
        <row r="89">
          <cell r="B89">
            <v>35821</v>
          </cell>
          <cell r="C89" t="str">
            <v>816003</v>
          </cell>
          <cell r="D89">
            <v>26.8</v>
          </cell>
        </row>
        <row r="90">
          <cell r="B90">
            <v>35810</v>
          </cell>
          <cell r="C90" t="str">
            <v>816006</v>
          </cell>
          <cell r="D90">
            <v>210.8</v>
          </cell>
        </row>
        <row r="91">
          <cell r="B91">
            <v>35816</v>
          </cell>
          <cell r="C91" t="str">
            <v>816101</v>
          </cell>
          <cell r="D91">
            <v>750</v>
          </cell>
        </row>
        <row r="92">
          <cell r="B92">
            <v>35810</v>
          </cell>
          <cell r="C92" t="str">
            <v>816104</v>
          </cell>
          <cell r="D92">
            <v>13450</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uts agence std"/>
      <sheetName val="Catalogue"/>
      <sheetName val="AParam"/>
    </sheetNames>
    <sheetDataSet>
      <sheetData sheetId="0"/>
      <sheetData sheetId="1"/>
      <sheetData sheetId="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Versions"/>
      <sheetName val="Project"/>
      <sheetName val="Costs"/>
      <sheetName val="Offre (Référence)"/>
      <sheetName val="Indicateurs"/>
      <sheetName val="Finished Goods (assembled)"/>
      <sheetName val="SF Goods (painted) "/>
      <sheetName val="SF Goods (moulded)"/>
      <sheetName val="Components"/>
      <sheetName val="B.O.M."/>
      <sheetName val="Surfaces"/>
      <sheetName val="Effectifs"/>
      <sheetName val="Finance DB"/>
      <sheetName val="Surfaces DB"/>
      <sheetName val="Labour DB"/>
      <sheetName val="Shipping DB"/>
      <sheetName val="Packaging DB"/>
      <sheetName val="Catalog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1</v>
          </cell>
          <cell r="D3">
            <v>2</v>
          </cell>
          <cell r="E3">
            <v>3</v>
          </cell>
          <cell r="F3">
            <v>4</v>
          </cell>
          <cell r="G3">
            <v>5</v>
          </cell>
          <cell r="H3">
            <v>6</v>
          </cell>
          <cell r="I3">
            <v>7</v>
          </cell>
          <cell r="J3">
            <v>8</v>
          </cell>
          <cell r="K3">
            <v>9</v>
          </cell>
          <cell r="L3">
            <v>10</v>
          </cell>
          <cell r="M3">
            <v>11</v>
          </cell>
          <cell r="N3">
            <v>12</v>
          </cell>
          <cell r="O3">
            <v>13</v>
          </cell>
        </row>
        <row r="4">
          <cell r="C4" t="str">
            <v>Désignation</v>
          </cell>
          <cell r="D4" t="str">
            <v>Dimensions</v>
          </cell>
          <cell r="I4" t="str">
            <v>Chargement</v>
          </cell>
          <cell r="L4" t="str">
            <v>Gerbabilité</v>
          </cell>
          <cell r="N4" t="str">
            <v>Coût achat</v>
          </cell>
          <cell r="P4" t="str">
            <v>Lavage &amp; entretien</v>
          </cell>
          <cell r="S4" t="str">
            <v xml:space="preserve"> Maintenance </v>
          </cell>
          <cell r="U4" t="str">
            <v>Coût annuel</v>
          </cell>
        </row>
        <row r="5">
          <cell r="D5" t="str">
            <v xml:space="preserve">L </v>
          </cell>
          <cell r="E5" t="str">
            <v>l</v>
          </cell>
          <cell r="F5" t="str">
            <v>h</v>
          </cell>
          <cell r="G5" t="str">
            <v>h repliée</v>
          </cell>
          <cell r="H5" t="str">
            <v>repliabilité</v>
          </cell>
          <cell r="I5" t="str">
            <v>tare</v>
          </cell>
          <cell r="J5" t="str">
            <v>poids MAX</v>
          </cell>
          <cell r="K5" t="str">
            <v>TOTAL</v>
          </cell>
          <cell r="N5" t="str">
            <v>unitaire</v>
          </cell>
          <cell r="P5" t="str">
            <v>unitaire</v>
          </cell>
          <cell r="Q5" t="str">
            <v>nb/an</v>
          </cell>
          <cell r="S5" t="str">
            <v>%/an</v>
          </cell>
          <cell r="T5" t="str">
            <v>unitaire/an</v>
          </cell>
          <cell r="U5" t="str">
            <v>unitaire</v>
          </cell>
        </row>
        <row r="7">
          <cell r="C7" t="str">
            <v>AUCUNE</v>
          </cell>
        </row>
        <row r="8">
          <cell r="C8" t="str">
            <v>CAR-G*2A-5</v>
          </cell>
          <cell r="D8">
            <v>1200</v>
          </cell>
          <cell r="E8">
            <v>1000</v>
          </cell>
          <cell r="F8">
            <v>750</v>
          </cell>
          <cell r="G8">
            <v>750</v>
          </cell>
          <cell r="H8">
            <v>1</v>
          </cell>
          <cell r="K8">
            <v>0</v>
          </cell>
          <cell r="N8">
            <v>11.69</v>
          </cell>
          <cell r="P8">
            <v>2</v>
          </cell>
          <cell r="Q8">
            <v>1</v>
          </cell>
          <cell r="R8">
            <v>2</v>
          </cell>
          <cell r="S8">
            <v>0.05</v>
          </cell>
          <cell r="T8">
            <v>0.58450000000000002</v>
          </cell>
          <cell r="U8">
            <v>2.5845000000000002</v>
          </cell>
        </row>
        <row r="9">
          <cell r="C9" t="str">
            <v>CAR-S-0664</v>
          </cell>
          <cell r="D9">
            <v>1200</v>
          </cell>
          <cell r="E9">
            <v>1000</v>
          </cell>
          <cell r="F9">
            <v>800</v>
          </cell>
          <cell r="G9">
            <v>800</v>
          </cell>
          <cell r="H9">
            <v>1</v>
          </cell>
          <cell r="K9">
            <v>0</v>
          </cell>
          <cell r="N9">
            <v>36.65</v>
          </cell>
          <cell r="P9">
            <v>2</v>
          </cell>
          <cell r="Q9">
            <v>1</v>
          </cell>
          <cell r="R9">
            <v>2</v>
          </cell>
          <cell r="S9">
            <v>0.05</v>
          </cell>
          <cell r="T9">
            <v>1.8325</v>
          </cell>
          <cell r="U9">
            <v>3.8325</v>
          </cell>
        </row>
        <row r="10">
          <cell r="C10" t="str">
            <v>CON-S-0130</v>
          </cell>
          <cell r="D10">
            <v>770</v>
          </cell>
          <cell r="E10">
            <v>560</v>
          </cell>
          <cell r="F10">
            <v>305</v>
          </cell>
          <cell r="G10">
            <v>305</v>
          </cell>
          <cell r="H10">
            <v>1</v>
          </cell>
          <cell r="I10">
            <v>36</v>
          </cell>
          <cell r="K10">
            <v>36</v>
          </cell>
          <cell r="N10">
            <v>11.39</v>
          </cell>
          <cell r="P10">
            <v>0</v>
          </cell>
          <cell r="Q10">
            <v>1</v>
          </cell>
          <cell r="R10">
            <v>0</v>
          </cell>
          <cell r="S10">
            <v>0.05</v>
          </cell>
          <cell r="T10">
            <v>0.56950000000000001</v>
          </cell>
          <cell r="U10">
            <v>0.56950000000000001</v>
          </cell>
        </row>
        <row r="11">
          <cell r="C11" t="str">
            <v>ECA---0021</v>
          </cell>
          <cell r="D11">
            <v>1200</v>
          </cell>
          <cell r="E11">
            <v>1000</v>
          </cell>
          <cell r="F11">
            <v>145</v>
          </cell>
          <cell r="G11">
            <v>145</v>
          </cell>
          <cell r="H11">
            <v>1</v>
          </cell>
          <cell r="I11">
            <v>18</v>
          </cell>
          <cell r="K11">
            <v>18</v>
          </cell>
          <cell r="N11">
            <v>42.69</v>
          </cell>
          <cell r="P11">
            <v>0</v>
          </cell>
          <cell r="Q11">
            <v>1</v>
          </cell>
          <cell r="R11">
            <v>0</v>
          </cell>
          <cell r="S11">
            <v>0.05</v>
          </cell>
          <cell r="T11">
            <v>2.1345000000000001</v>
          </cell>
          <cell r="U11">
            <v>2.1345000000000001</v>
          </cell>
        </row>
        <row r="12">
          <cell r="C12" t="str">
            <v>ECA---0270</v>
          </cell>
          <cell r="D12">
            <v>800</v>
          </cell>
          <cell r="E12">
            <v>600</v>
          </cell>
          <cell r="F12">
            <v>151</v>
          </cell>
          <cell r="G12">
            <v>151</v>
          </cell>
          <cell r="H12">
            <v>1</v>
          </cell>
          <cell r="I12">
            <v>8</v>
          </cell>
          <cell r="K12">
            <v>8</v>
          </cell>
          <cell r="N12">
            <v>7.23</v>
          </cell>
          <cell r="P12">
            <v>0</v>
          </cell>
          <cell r="Q12">
            <v>1</v>
          </cell>
          <cell r="R12">
            <v>0</v>
          </cell>
          <cell r="S12">
            <v>0.05</v>
          </cell>
          <cell r="T12">
            <v>0.36150000000000004</v>
          </cell>
          <cell r="U12">
            <v>0.36150000000000004</v>
          </cell>
        </row>
        <row r="13">
          <cell r="C13" t="str">
            <v>ECA---0370</v>
          </cell>
          <cell r="D13">
            <v>1200</v>
          </cell>
          <cell r="E13">
            <v>1000</v>
          </cell>
          <cell r="F13">
            <v>145</v>
          </cell>
          <cell r="G13">
            <v>145</v>
          </cell>
          <cell r="H13">
            <v>1</v>
          </cell>
          <cell r="I13">
            <v>16</v>
          </cell>
          <cell r="K13">
            <v>16</v>
          </cell>
          <cell r="N13">
            <v>3.88</v>
          </cell>
          <cell r="P13">
            <v>0</v>
          </cell>
          <cell r="Q13">
            <v>1</v>
          </cell>
          <cell r="R13">
            <v>0</v>
          </cell>
          <cell r="S13">
            <v>0.05</v>
          </cell>
          <cell r="T13">
            <v>0.19400000000000001</v>
          </cell>
          <cell r="U13">
            <v>0.19400000000000001</v>
          </cell>
        </row>
        <row r="14">
          <cell r="C14" t="str">
            <v>ECA---0800</v>
          </cell>
          <cell r="D14">
            <v>1324</v>
          </cell>
          <cell r="E14">
            <v>1090</v>
          </cell>
          <cell r="F14">
            <v>560</v>
          </cell>
          <cell r="G14">
            <v>280</v>
          </cell>
          <cell r="H14">
            <v>2</v>
          </cell>
          <cell r="I14">
            <v>92</v>
          </cell>
          <cell r="K14">
            <v>92</v>
          </cell>
          <cell r="N14">
            <v>6.22</v>
          </cell>
          <cell r="P14">
            <v>0</v>
          </cell>
          <cell r="Q14">
            <v>1</v>
          </cell>
          <cell r="R14">
            <v>0</v>
          </cell>
          <cell r="S14">
            <v>0.05</v>
          </cell>
          <cell r="T14">
            <v>0.311</v>
          </cell>
          <cell r="U14">
            <v>0.311</v>
          </cell>
        </row>
        <row r="15">
          <cell r="C15" t="str">
            <v>ECA---1900</v>
          </cell>
          <cell r="D15">
            <v>1690</v>
          </cell>
          <cell r="E15">
            <v>1040</v>
          </cell>
          <cell r="F15">
            <v>965</v>
          </cell>
          <cell r="G15">
            <v>321.66666666666669</v>
          </cell>
          <cell r="H15">
            <v>3</v>
          </cell>
          <cell r="I15">
            <v>130</v>
          </cell>
          <cell r="K15">
            <v>130</v>
          </cell>
          <cell r="N15">
            <v>125.77</v>
          </cell>
          <cell r="P15">
            <v>0</v>
          </cell>
          <cell r="Q15">
            <v>1</v>
          </cell>
          <cell r="R15">
            <v>0</v>
          </cell>
          <cell r="S15">
            <v>0.05</v>
          </cell>
          <cell r="T15">
            <v>6.2885</v>
          </cell>
          <cell r="U15">
            <v>6.2885</v>
          </cell>
        </row>
        <row r="16">
          <cell r="C16" t="str">
            <v>ECM---0037</v>
          </cell>
          <cell r="D16">
            <v>1200</v>
          </cell>
          <cell r="E16">
            <v>1030</v>
          </cell>
          <cell r="F16">
            <v>1350</v>
          </cell>
          <cell r="G16">
            <v>1350</v>
          </cell>
          <cell r="H16">
            <v>1</v>
          </cell>
          <cell r="I16">
            <v>200</v>
          </cell>
          <cell r="K16">
            <v>200</v>
          </cell>
          <cell r="N16">
            <v>195.9</v>
          </cell>
          <cell r="P16">
            <v>0</v>
          </cell>
          <cell r="Q16">
            <v>1</v>
          </cell>
          <cell r="R16">
            <v>0</v>
          </cell>
          <cell r="S16">
            <v>0.05</v>
          </cell>
          <cell r="T16">
            <v>9.7950000000000017</v>
          </cell>
          <cell r="U16">
            <v>9.7950000000000017</v>
          </cell>
        </row>
        <row r="17">
          <cell r="C17" t="str">
            <v>ECM---0039</v>
          </cell>
          <cell r="D17">
            <v>1660</v>
          </cell>
          <cell r="E17">
            <v>1200</v>
          </cell>
          <cell r="F17">
            <v>1400</v>
          </cell>
          <cell r="G17">
            <v>1400</v>
          </cell>
          <cell r="H17">
            <v>1</v>
          </cell>
          <cell r="I17">
            <v>400</v>
          </cell>
          <cell r="K17">
            <v>400</v>
          </cell>
          <cell r="N17">
            <v>586.92999999999995</v>
          </cell>
          <cell r="P17">
            <v>0</v>
          </cell>
          <cell r="Q17">
            <v>1</v>
          </cell>
          <cell r="R17">
            <v>0</v>
          </cell>
          <cell r="S17">
            <v>0.05</v>
          </cell>
          <cell r="T17">
            <v>29.346499999999999</v>
          </cell>
          <cell r="U17">
            <v>29.346499999999999</v>
          </cell>
        </row>
        <row r="18">
          <cell r="C18" t="str">
            <v>ETM---0600</v>
          </cell>
          <cell r="D18">
            <v>1107</v>
          </cell>
          <cell r="E18">
            <v>906</v>
          </cell>
          <cell r="F18">
            <v>583</v>
          </cell>
          <cell r="G18">
            <v>194.33333333333334</v>
          </cell>
          <cell r="H18">
            <v>3</v>
          </cell>
          <cell r="I18">
            <v>77</v>
          </cell>
          <cell r="K18">
            <v>77</v>
          </cell>
          <cell r="N18">
            <v>0</v>
          </cell>
          <cell r="P18">
            <v>0</v>
          </cell>
          <cell r="Q18">
            <v>1</v>
          </cell>
          <cell r="R18">
            <v>0</v>
          </cell>
          <cell r="S18">
            <v>0.05</v>
          </cell>
          <cell r="T18">
            <v>0</v>
          </cell>
          <cell r="U18">
            <v>0</v>
          </cell>
        </row>
        <row r="19">
          <cell r="C19" t="str">
            <v>ETM---1000</v>
          </cell>
          <cell r="D19">
            <v>1440</v>
          </cell>
          <cell r="E19">
            <v>825</v>
          </cell>
          <cell r="F19">
            <v>770</v>
          </cell>
          <cell r="G19">
            <v>770</v>
          </cell>
          <cell r="H19">
            <v>1</v>
          </cell>
          <cell r="I19">
            <v>125</v>
          </cell>
          <cell r="K19">
            <v>125</v>
          </cell>
          <cell r="N19">
            <v>100.62</v>
          </cell>
          <cell r="P19">
            <v>0</v>
          </cell>
          <cell r="Q19">
            <v>1</v>
          </cell>
          <cell r="R19">
            <v>0</v>
          </cell>
          <cell r="S19">
            <v>0.05</v>
          </cell>
          <cell r="T19">
            <v>5.0310000000000006</v>
          </cell>
          <cell r="U19">
            <v>5.0310000000000006</v>
          </cell>
        </row>
        <row r="20">
          <cell r="C20" t="str">
            <v>ETM---1400</v>
          </cell>
          <cell r="D20">
            <v>1320</v>
          </cell>
          <cell r="E20">
            <v>1090</v>
          </cell>
          <cell r="F20">
            <v>1000</v>
          </cell>
          <cell r="G20">
            <v>333.33333333333331</v>
          </cell>
          <cell r="H20">
            <v>3</v>
          </cell>
          <cell r="I20">
            <v>108</v>
          </cell>
          <cell r="K20">
            <v>108</v>
          </cell>
          <cell r="N20">
            <v>166.32</v>
          </cell>
          <cell r="P20">
            <v>0</v>
          </cell>
          <cell r="Q20">
            <v>1</v>
          </cell>
          <cell r="R20">
            <v>0</v>
          </cell>
          <cell r="S20">
            <v>0.05</v>
          </cell>
          <cell r="T20">
            <v>8.3160000000000007</v>
          </cell>
          <cell r="U20">
            <v>8.3160000000000007</v>
          </cell>
        </row>
        <row r="21">
          <cell r="C21" t="str">
            <v>ETM---1500</v>
          </cell>
          <cell r="D21">
            <v>1985</v>
          </cell>
          <cell r="E21">
            <v>1360</v>
          </cell>
          <cell r="F21">
            <v>570</v>
          </cell>
          <cell r="G21">
            <v>570</v>
          </cell>
          <cell r="H21">
            <v>1</v>
          </cell>
          <cell r="I21">
            <v>220</v>
          </cell>
          <cell r="K21">
            <v>220</v>
          </cell>
          <cell r="N21">
            <v>136.44</v>
          </cell>
          <cell r="P21">
            <v>0</v>
          </cell>
          <cell r="Q21">
            <v>1</v>
          </cell>
          <cell r="R21">
            <v>0</v>
          </cell>
          <cell r="S21">
            <v>0.05</v>
          </cell>
          <cell r="T21">
            <v>6.8220000000000001</v>
          </cell>
          <cell r="U21">
            <v>6.8220000000000001</v>
          </cell>
        </row>
        <row r="22">
          <cell r="C22" t="str">
            <v>ETM---1700</v>
          </cell>
          <cell r="D22">
            <v>1640</v>
          </cell>
          <cell r="E22">
            <v>1040</v>
          </cell>
          <cell r="F22">
            <v>998</v>
          </cell>
          <cell r="G22">
            <v>998</v>
          </cell>
          <cell r="H22">
            <v>1</v>
          </cell>
          <cell r="I22">
            <v>207</v>
          </cell>
          <cell r="K22">
            <v>207</v>
          </cell>
          <cell r="N22">
            <v>358.26</v>
          </cell>
          <cell r="P22">
            <v>0</v>
          </cell>
          <cell r="Q22">
            <v>1</v>
          </cell>
          <cell r="R22">
            <v>0</v>
          </cell>
          <cell r="S22">
            <v>0.05</v>
          </cell>
          <cell r="T22">
            <v>17.913</v>
          </cell>
          <cell r="U22">
            <v>17.913</v>
          </cell>
        </row>
        <row r="23">
          <cell r="C23" t="str">
            <v>ETM---2500</v>
          </cell>
          <cell r="D23">
            <v>1985</v>
          </cell>
          <cell r="E23">
            <v>1360</v>
          </cell>
          <cell r="F23">
            <v>970</v>
          </cell>
          <cell r="G23">
            <v>970</v>
          </cell>
          <cell r="H23">
            <v>1</v>
          </cell>
          <cell r="I23">
            <v>260</v>
          </cell>
          <cell r="K23">
            <v>260</v>
          </cell>
          <cell r="N23">
            <v>213.12</v>
          </cell>
          <cell r="P23">
            <v>0</v>
          </cell>
          <cell r="Q23">
            <v>1</v>
          </cell>
          <cell r="R23">
            <v>0</v>
          </cell>
          <cell r="S23">
            <v>0.05</v>
          </cell>
          <cell r="T23">
            <v>10.656000000000001</v>
          </cell>
          <cell r="U23">
            <v>10.656000000000001</v>
          </cell>
        </row>
        <row r="24">
          <cell r="C24" t="str">
            <v>ETM---4434</v>
          </cell>
          <cell r="D24">
            <v>1110</v>
          </cell>
          <cell r="E24">
            <v>930</v>
          </cell>
          <cell r="F24">
            <v>500</v>
          </cell>
          <cell r="G24">
            <v>500</v>
          </cell>
          <cell r="H24">
            <v>1</v>
          </cell>
          <cell r="I24">
            <v>141</v>
          </cell>
          <cell r="K24">
            <v>141</v>
          </cell>
          <cell r="N24">
            <v>335.39</v>
          </cell>
          <cell r="P24">
            <v>0</v>
          </cell>
          <cell r="Q24">
            <v>1</v>
          </cell>
          <cell r="R24">
            <v>0</v>
          </cell>
          <cell r="S24">
            <v>0.05</v>
          </cell>
          <cell r="T24">
            <v>16.769500000000001</v>
          </cell>
          <cell r="U24">
            <v>16.769500000000001</v>
          </cell>
        </row>
        <row r="25">
          <cell r="C25" t="str">
            <v>PAL-S-2553</v>
          </cell>
          <cell r="D25">
            <v>1200</v>
          </cell>
          <cell r="E25">
            <v>600</v>
          </cell>
          <cell r="F25">
            <v>1110</v>
          </cell>
          <cell r="G25">
            <v>1110</v>
          </cell>
          <cell r="H25">
            <v>1</v>
          </cell>
          <cell r="K25">
            <v>0</v>
          </cell>
          <cell r="N25">
            <v>137.19999999999999</v>
          </cell>
          <cell r="P25">
            <v>0</v>
          </cell>
          <cell r="Q25">
            <v>1</v>
          </cell>
          <cell r="R25">
            <v>0</v>
          </cell>
          <cell r="S25">
            <v>0.05</v>
          </cell>
          <cell r="T25">
            <v>6.8599999999999994</v>
          </cell>
          <cell r="U25">
            <v>6.8599999999999994</v>
          </cell>
        </row>
        <row r="26">
          <cell r="C26" t="str">
            <v>SLI---0012</v>
          </cell>
          <cell r="D26">
            <v>1200</v>
          </cell>
          <cell r="E26">
            <v>965</v>
          </cell>
          <cell r="F26">
            <v>1320</v>
          </cell>
          <cell r="G26">
            <v>1320</v>
          </cell>
          <cell r="H26">
            <v>1</v>
          </cell>
          <cell r="I26">
            <v>90</v>
          </cell>
          <cell r="K26">
            <v>90</v>
          </cell>
          <cell r="N26">
            <v>0</v>
          </cell>
          <cell r="P26">
            <v>0</v>
          </cell>
          <cell r="Q26">
            <v>1</v>
          </cell>
          <cell r="R26">
            <v>0</v>
          </cell>
          <cell r="S26">
            <v>0.05</v>
          </cell>
          <cell r="T26">
            <v>0</v>
          </cell>
          <cell r="U26">
            <v>0</v>
          </cell>
        </row>
        <row r="27">
          <cell r="C27" t="str">
            <v>SLI---0120</v>
          </cell>
          <cell r="D27">
            <v>740</v>
          </cell>
          <cell r="E27">
            <v>530</v>
          </cell>
          <cell r="F27">
            <v>300</v>
          </cell>
          <cell r="G27">
            <v>300</v>
          </cell>
          <cell r="H27">
            <v>1</v>
          </cell>
          <cell r="I27">
            <v>21</v>
          </cell>
          <cell r="K27">
            <v>21</v>
          </cell>
          <cell r="N27">
            <v>300.32</v>
          </cell>
          <cell r="P27">
            <v>0</v>
          </cell>
          <cell r="Q27">
            <v>1</v>
          </cell>
          <cell r="R27">
            <v>0</v>
          </cell>
          <cell r="S27">
            <v>0.05</v>
          </cell>
          <cell r="T27">
            <v>15.016</v>
          </cell>
          <cell r="U27">
            <v>15.016</v>
          </cell>
        </row>
        <row r="28">
          <cell r="C28" t="str">
            <v>SLI---0760</v>
          </cell>
          <cell r="D28">
            <v>1120</v>
          </cell>
          <cell r="E28">
            <v>1000</v>
          </cell>
          <cell r="F28">
            <v>930</v>
          </cell>
          <cell r="G28">
            <v>310</v>
          </cell>
          <cell r="H28">
            <v>3</v>
          </cell>
          <cell r="I28">
            <v>118</v>
          </cell>
          <cell r="K28">
            <v>118</v>
          </cell>
          <cell r="N28">
            <v>43.45</v>
          </cell>
          <cell r="P28">
            <v>0</v>
          </cell>
          <cell r="Q28">
            <v>1</v>
          </cell>
          <cell r="R28">
            <v>0</v>
          </cell>
          <cell r="S28">
            <v>0.05</v>
          </cell>
          <cell r="T28">
            <v>2.1725000000000003</v>
          </cell>
          <cell r="U28">
            <v>2.1725000000000003</v>
          </cell>
        </row>
        <row r="29">
          <cell r="C29" t="str">
            <v>SLI---1200</v>
          </cell>
          <cell r="D29">
            <v>1520</v>
          </cell>
          <cell r="E29">
            <v>1120</v>
          </cell>
          <cell r="F29">
            <v>700</v>
          </cell>
          <cell r="G29">
            <v>233.33333333333334</v>
          </cell>
          <cell r="H29">
            <v>3</v>
          </cell>
          <cell r="I29">
            <v>1500</v>
          </cell>
          <cell r="K29">
            <v>1500</v>
          </cell>
          <cell r="N29">
            <v>160.07</v>
          </cell>
          <cell r="P29">
            <v>0</v>
          </cell>
          <cell r="Q29">
            <v>1</v>
          </cell>
          <cell r="R29">
            <v>0</v>
          </cell>
          <cell r="S29">
            <v>0.05</v>
          </cell>
          <cell r="T29">
            <v>8.0035000000000007</v>
          </cell>
          <cell r="U29">
            <v>8.0035000000000007</v>
          </cell>
        </row>
        <row r="30">
          <cell r="C30" t="str">
            <v>SLI---2112</v>
          </cell>
          <cell r="D30">
            <v>1196</v>
          </cell>
          <cell r="E30">
            <v>996</v>
          </cell>
          <cell r="F30">
            <v>193</v>
          </cell>
          <cell r="G30">
            <v>193</v>
          </cell>
          <cell r="H30">
            <v>1</v>
          </cell>
          <cell r="I30">
            <v>19.399999999999999</v>
          </cell>
          <cell r="K30">
            <v>19.399999999999999</v>
          </cell>
          <cell r="N30">
            <v>237.82</v>
          </cell>
          <cell r="P30">
            <v>0</v>
          </cell>
          <cell r="Q30">
            <v>1</v>
          </cell>
          <cell r="R30">
            <v>0</v>
          </cell>
          <cell r="S30">
            <v>0.05</v>
          </cell>
          <cell r="T30">
            <v>11.891</v>
          </cell>
          <cell r="U30">
            <v>11.891</v>
          </cell>
        </row>
        <row r="31">
          <cell r="C31" t="str">
            <v>GRILLE OP G2</v>
          </cell>
          <cell r="D31">
            <v>1130</v>
          </cell>
          <cell r="E31">
            <v>830</v>
          </cell>
          <cell r="F31">
            <v>980</v>
          </cell>
          <cell r="G31">
            <v>980</v>
          </cell>
          <cell r="H31">
            <v>1</v>
          </cell>
          <cell r="K31">
            <v>0</v>
          </cell>
          <cell r="N31">
            <v>33.39</v>
          </cell>
          <cell r="P31">
            <v>0</v>
          </cell>
          <cell r="Q31">
            <v>1</v>
          </cell>
          <cell r="R31">
            <v>0</v>
          </cell>
          <cell r="S31">
            <v>0.05</v>
          </cell>
          <cell r="T31">
            <v>1.6695000000000002</v>
          </cell>
          <cell r="U31">
            <v>1.6695000000000002</v>
          </cell>
        </row>
        <row r="32">
          <cell r="G32">
            <v>0</v>
          </cell>
          <cell r="K32">
            <v>0</v>
          </cell>
          <cell r="N32">
            <v>0</v>
          </cell>
          <cell r="P32">
            <v>0</v>
          </cell>
          <cell r="Q32">
            <v>1</v>
          </cell>
          <cell r="R32">
            <v>0</v>
          </cell>
          <cell r="S32">
            <v>0.05</v>
          </cell>
          <cell r="T32">
            <v>0</v>
          </cell>
          <cell r="U32">
            <v>0</v>
          </cell>
        </row>
        <row r="33">
          <cell r="G33">
            <v>0</v>
          </cell>
          <cell r="K33">
            <v>0</v>
          </cell>
          <cell r="Q33">
            <v>1</v>
          </cell>
          <cell r="R33">
            <v>0</v>
          </cell>
          <cell r="S33">
            <v>0.05</v>
          </cell>
          <cell r="T33">
            <v>0</v>
          </cell>
          <cell r="U33">
            <v>0</v>
          </cell>
        </row>
        <row r="34">
          <cell r="G34">
            <v>0</v>
          </cell>
          <cell r="K34">
            <v>0</v>
          </cell>
          <cell r="Q34">
            <v>1</v>
          </cell>
          <cell r="R34">
            <v>0</v>
          </cell>
          <cell r="S34">
            <v>0.05</v>
          </cell>
          <cell r="T34">
            <v>0</v>
          </cell>
          <cell r="U34">
            <v>0</v>
          </cell>
        </row>
        <row r="35">
          <cell r="G35">
            <v>0</v>
          </cell>
          <cell r="K35">
            <v>0</v>
          </cell>
          <cell r="N35">
            <v>0</v>
          </cell>
          <cell r="P35">
            <v>0</v>
          </cell>
          <cell r="Q35">
            <v>1</v>
          </cell>
          <cell r="R35">
            <v>0</v>
          </cell>
          <cell r="S35">
            <v>0.05</v>
          </cell>
          <cell r="T35">
            <v>0</v>
          </cell>
          <cell r="U35">
            <v>0</v>
          </cell>
        </row>
        <row r="36">
          <cell r="C36" t="str">
            <v>BAC-O-1322</v>
          </cell>
          <cell r="D36">
            <v>961</v>
          </cell>
          <cell r="E36">
            <v>261</v>
          </cell>
          <cell r="F36">
            <v>196</v>
          </cell>
          <cell r="G36">
            <v>0</v>
          </cell>
          <cell r="I36">
            <v>2</v>
          </cell>
          <cell r="K36">
            <v>2</v>
          </cell>
          <cell r="L36">
            <v>5</v>
          </cell>
          <cell r="N36">
            <v>4.93</v>
          </cell>
          <cell r="P36">
            <v>0.47106746326359805</v>
          </cell>
          <cell r="Q36">
            <v>1</v>
          </cell>
          <cell r="R36">
            <v>0.47106746326359805</v>
          </cell>
          <cell r="S36">
            <v>0.05</v>
          </cell>
          <cell r="T36">
            <v>0.2465</v>
          </cell>
          <cell r="U36">
            <v>0.71756746326359799</v>
          </cell>
        </row>
        <row r="37">
          <cell r="C37" t="str">
            <v>BAC-O-3212</v>
          </cell>
          <cell r="D37">
            <v>297</v>
          </cell>
          <cell r="E37">
            <v>197</v>
          </cell>
          <cell r="F37">
            <v>114</v>
          </cell>
          <cell r="G37">
            <v>0</v>
          </cell>
          <cell r="I37">
            <v>0.6</v>
          </cell>
          <cell r="K37">
            <v>0.6</v>
          </cell>
          <cell r="L37">
            <v>5</v>
          </cell>
          <cell r="N37">
            <v>2.0299999999999998</v>
          </cell>
          <cell r="P37">
            <v>0</v>
          </cell>
          <cell r="Q37">
            <v>1</v>
          </cell>
          <cell r="R37">
            <v>0</v>
          </cell>
          <cell r="S37">
            <v>0.05</v>
          </cell>
          <cell r="T37">
            <v>0.10149999999999999</v>
          </cell>
          <cell r="U37">
            <v>0.10149999999999999</v>
          </cell>
        </row>
        <row r="38">
          <cell r="C38" t="str">
            <v>BAC-O-4312</v>
          </cell>
          <cell r="D38">
            <v>363</v>
          </cell>
          <cell r="E38">
            <v>264</v>
          </cell>
          <cell r="F38">
            <v>94</v>
          </cell>
          <cell r="G38">
            <v>0</v>
          </cell>
          <cell r="I38">
            <v>0.9</v>
          </cell>
          <cell r="K38">
            <v>0.9</v>
          </cell>
          <cell r="L38">
            <v>5</v>
          </cell>
          <cell r="N38">
            <v>2.59</v>
          </cell>
          <cell r="P38">
            <v>0.24696740792460484</v>
          </cell>
          <cell r="Q38">
            <v>1</v>
          </cell>
          <cell r="R38">
            <v>0.24696740792460484</v>
          </cell>
          <cell r="S38">
            <v>0.05</v>
          </cell>
          <cell r="T38">
            <v>0.1295</v>
          </cell>
          <cell r="U38">
            <v>0.37646740792460487</v>
          </cell>
        </row>
        <row r="39">
          <cell r="C39" t="str">
            <v>BAC-O-4322</v>
          </cell>
          <cell r="D39">
            <v>363</v>
          </cell>
          <cell r="E39">
            <v>264</v>
          </cell>
          <cell r="F39">
            <v>194</v>
          </cell>
          <cell r="G39">
            <v>0</v>
          </cell>
          <cell r="I39">
            <v>1.44</v>
          </cell>
          <cell r="K39">
            <v>1.44</v>
          </cell>
          <cell r="L39">
            <v>5</v>
          </cell>
          <cell r="N39">
            <v>3.98</v>
          </cell>
          <cell r="P39">
            <v>0.26068781947597175</v>
          </cell>
          <cell r="Q39">
            <v>1</v>
          </cell>
          <cell r="R39">
            <v>0.26068781947597175</v>
          </cell>
          <cell r="S39">
            <v>0.05</v>
          </cell>
          <cell r="T39">
            <v>0.19900000000000001</v>
          </cell>
          <cell r="U39">
            <v>0.45968781947597176</v>
          </cell>
        </row>
        <row r="40">
          <cell r="C40" t="str">
            <v>BAC-O-6422</v>
          </cell>
          <cell r="D40">
            <v>561</v>
          </cell>
          <cell r="E40">
            <v>363</v>
          </cell>
          <cell r="F40">
            <v>194</v>
          </cell>
          <cell r="G40">
            <v>0</v>
          </cell>
          <cell r="I40">
            <v>2.38</v>
          </cell>
          <cell r="K40">
            <v>2.38</v>
          </cell>
          <cell r="N40">
            <v>5.53</v>
          </cell>
          <cell r="P40">
            <v>0.32014293619856182</v>
          </cell>
          <cell r="Q40">
            <v>1</v>
          </cell>
          <cell r="R40">
            <v>0.32014293619856182</v>
          </cell>
          <cell r="S40">
            <v>0.05</v>
          </cell>
          <cell r="T40">
            <v>0.27650000000000002</v>
          </cell>
          <cell r="U40">
            <v>0.5966429361985619</v>
          </cell>
        </row>
        <row r="41">
          <cell r="C41" t="str">
            <v>BAC-O-6423</v>
          </cell>
          <cell r="D41">
            <v>561</v>
          </cell>
          <cell r="E41">
            <v>363</v>
          </cell>
          <cell r="F41">
            <v>194</v>
          </cell>
          <cell r="G41">
            <v>48.5</v>
          </cell>
          <cell r="H41">
            <v>4</v>
          </cell>
          <cell r="I41">
            <v>2.38</v>
          </cell>
          <cell r="K41">
            <v>2.38</v>
          </cell>
          <cell r="N41">
            <v>7.77</v>
          </cell>
          <cell r="P41">
            <v>0.32014293619856182</v>
          </cell>
          <cell r="Q41">
            <v>1</v>
          </cell>
          <cell r="R41">
            <v>0.32014293619856182</v>
          </cell>
          <cell r="S41">
            <v>0.05</v>
          </cell>
          <cell r="T41">
            <v>0.38850000000000001</v>
          </cell>
          <cell r="U41">
            <v>0.70864293619856178</v>
          </cell>
        </row>
        <row r="42">
          <cell r="C42" t="str">
            <v>BAC-O-6432</v>
          </cell>
          <cell r="D42">
            <v>561</v>
          </cell>
          <cell r="E42">
            <v>363</v>
          </cell>
          <cell r="F42">
            <v>294</v>
          </cell>
          <cell r="G42">
            <v>0</v>
          </cell>
          <cell r="I42">
            <v>2.96</v>
          </cell>
          <cell r="K42">
            <v>2.96</v>
          </cell>
          <cell r="N42">
            <v>6.17</v>
          </cell>
          <cell r="P42">
            <v>0.34301028878417333</v>
          </cell>
          <cell r="Q42">
            <v>1</v>
          </cell>
          <cell r="R42">
            <v>0.34301028878417333</v>
          </cell>
          <cell r="S42">
            <v>0.05</v>
          </cell>
          <cell r="T42">
            <v>0.3085</v>
          </cell>
          <cell r="U42">
            <v>0.65151028878417327</v>
          </cell>
        </row>
        <row r="43">
          <cell r="C43" t="str">
            <v>BAC-O-6433</v>
          </cell>
          <cell r="D43">
            <v>561</v>
          </cell>
          <cell r="E43">
            <v>363</v>
          </cell>
          <cell r="F43">
            <v>294</v>
          </cell>
          <cell r="G43">
            <v>0</v>
          </cell>
          <cell r="I43">
            <v>2.96</v>
          </cell>
          <cell r="K43">
            <v>2.96</v>
          </cell>
          <cell r="N43">
            <v>8.99</v>
          </cell>
          <cell r="P43">
            <v>0.34301028878417333</v>
          </cell>
          <cell r="Q43">
            <v>1</v>
          </cell>
          <cell r="R43">
            <v>0.34301028878417333</v>
          </cell>
          <cell r="S43">
            <v>0.05</v>
          </cell>
          <cell r="T43">
            <v>0.44950000000000001</v>
          </cell>
          <cell r="U43">
            <v>0.79251028878417329</v>
          </cell>
        </row>
        <row r="44">
          <cell r="C44" t="str">
            <v>CAR-G*40--</v>
          </cell>
          <cell r="D44">
            <v>300</v>
          </cell>
          <cell r="E44">
            <v>200</v>
          </cell>
          <cell r="F44">
            <v>90</v>
          </cell>
          <cell r="G44">
            <v>0</v>
          </cell>
          <cell r="I44">
            <v>0.2</v>
          </cell>
          <cell r="K44">
            <v>0.2</v>
          </cell>
          <cell r="N44">
            <v>0</v>
          </cell>
          <cell r="Q44">
            <v>1</v>
          </cell>
          <cell r="R44">
            <v>0</v>
          </cell>
          <cell r="S44">
            <v>0.05</v>
          </cell>
          <cell r="T44">
            <v>0</v>
          </cell>
          <cell r="U44">
            <v>0</v>
          </cell>
        </row>
        <row r="45">
          <cell r="C45" t="str">
            <v>CAR-S-2553</v>
          </cell>
          <cell r="D45">
            <v>790</v>
          </cell>
          <cell r="E45">
            <v>520</v>
          </cell>
          <cell r="F45">
            <v>120</v>
          </cell>
          <cell r="G45">
            <v>0</v>
          </cell>
          <cell r="K45">
            <v>0</v>
          </cell>
          <cell r="N45">
            <v>0.78</v>
          </cell>
          <cell r="Q45">
            <v>1</v>
          </cell>
          <cell r="R45">
            <v>0</v>
          </cell>
          <cell r="S45">
            <v>0.05</v>
          </cell>
          <cell r="T45">
            <v>3.9000000000000007E-2</v>
          </cell>
          <cell r="U45">
            <v>3.9000000000000007E-2</v>
          </cell>
        </row>
        <row r="46">
          <cell r="C46" t="str">
            <v>ECM---0038</v>
          </cell>
          <cell r="D46">
            <v>400</v>
          </cell>
          <cell r="E46">
            <v>80</v>
          </cell>
          <cell r="F46">
            <v>200</v>
          </cell>
          <cell r="G46">
            <v>0</v>
          </cell>
          <cell r="K46">
            <v>0</v>
          </cell>
          <cell r="N46">
            <v>2.79</v>
          </cell>
          <cell r="Q46">
            <v>1</v>
          </cell>
          <cell r="R46">
            <v>0</v>
          </cell>
          <cell r="S46">
            <v>0.05</v>
          </cell>
          <cell r="T46">
            <v>0.13950000000000001</v>
          </cell>
          <cell r="U46">
            <v>0.13950000000000001</v>
          </cell>
        </row>
        <row r="47">
          <cell r="C47" t="str">
            <v>ECM---0040</v>
          </cell>
          <cell r="D47">
            <v>400</v>
          </cell>
          <cell r="E47">
            <v>80</v>
          </cell>
          <cell r="F47">
            <v>200</v>
          </cell>
          <cell r="G47">
            <v>0</v>
          </cell>
          <cell r="I47">
            <v>0.5</v>
          </cell>
          <cell r="K47">
            <v>0.5</v>
          </cell>
          <cell r="N47">
            <v>0</v>
          </cell>
          <cell r="Q47">
            <v>1</v>
          </cell>
          <cell r="R47">
            <v>0</v>
          </cell>
          <cell r="S47">
            <v>0.05</v>
          </cell>
          <cell r="T47">
            <v>0</v>
          </cell>
          <cell r="U47">
            <v>0</v>
          </cell>
        </row>
        <row r="48">
          <cell r="C48" t="str">
            <v>ECM---905</v>
          </cell>
          <cell r="D48">
            <v>988</v>
          </cell>
          <cell r="E48">
            <v>394</v>
          </cell>
          <cell r="F48">
            <v>314</v>
          </cell>
          <cell r="G48">
            <v>0</v>
          </cell>
          <cell r="I48">
            <v>2</v>
          </cell>
          <cell r="K48">
            <v>2</v>
          </cell>
          <cell r="N48">
            <v>0</v>
          </cell>
          <cell r="Q48">
            <v>1</v>
          </cell>
          <cell r="R48">
            <v>0</v>
          </cell>
          <cell r="S48">
            <v>0.05</v>
          </cell>
          <cell r="T48">
            <v>0</v>
          </cell>
          <cell r="U48">
            <v>0</v>
          </cell>
        </row>
        <row r="49">
          <cell r="C49" t="str">
            <v>ECM---906</v>
          </cell>
          <cell r="D49">
            <v>1183</v>
          </cell>
          <cell r="E49">
            <v>491</v>
          </cell>
          <cell r="F49">
            <v>314</v>
          </cell>
          <cell r="G49">
            <v>0</v>
          </cell>
          <cell r="I49">
            <v>2.5</v>
          </cell>
          <cell r="K49">
            <v>2.5</v>
          </cell>
          <cell r="N49">
            <v>14.03</v>
          </cell>
          <cell r="Q49">
            <v>1</v>
          </cell>
          <cell r="R49">
            <v>0</v>
          </cell>
          <cell r="S49">
            <v>0.05</v>
          </cell>
          <cell r="T49">
            <v>0.70150000000000001</v>
          </cell>
          <cell r="U49">
            <v>0.70150000000000001</v>
          </cell>
        </row>
        <row r="50">
          <cell r="C50" t="str">
            <v>ETM---4434</v>
          </cell>
          <cell r="D50">
            <v>1110</v>
          </cell>
          <cell r="E50">
            <v>930</v>
          </cell>
          <cell r="F50">
            <v>500</v>
          </cell>
          <cell r="G50">
            <v>0</v>
          </cell>
          <cell r="I50">
            <v>141</v>
          </cell>
          <cell r="K50">
            <v>141</v>
          </cell>
          <cell r="N50">
            <v>21.19</v>
          </cell>
          <cell r="Q50">
            <v>1</v>
          </cell>
          <cell r="R50">
            <v>0</v>
          </cell>
          <cell r="S50">
            <v>0.05</v>
          </cell>
          <cell r="T50">
            <v>1.0595000000000001</v>
          </cell>
          <cell r="U50">
            <v>1.0595000000000001</v>
          </cell>
        </row>
        <row r="51">
          <cell r="C51" t="str">
            <v>PAL-S-2553</v>
          </cell>
          <cell r="D51">
            <v>1200</v>
          </cell>
          <cell r="E51">
            <v>600</v>
          </cell>
          <cell r="F51">
            <v>1110</v>
          </cell>
          <cell r="G51">
            <v>0</v>
          </cell>
          <cell r="K51">
            <v>0</v>
          </cell>
          <cell r="N51">
            <v>137.19999999999999</v>
          </cell>
          <cell r="Q51">
            <v>1</v>
          </cell>
          <cell r="R51">
            <v>0</v>
          </cell>
          <cell r="S51">
            <v>0.05</v>
          </cell>
          <cell r="T51">
            <v>6.8599999999999994</v>
          </cell>
          <cell r="U51">
            <v>6.8599999999999994</v>
          </cell>
        </row>
        <row r="52">
          <cell r="C52" t="str">
            <v>ECM---0221</v>
          </cell>
          <cell r="D52">
            <v>600</v>
          </cell>
          <cell r="E52">
            <v>500</v>
          </cell>
          <cell r="F52">
            <v>250</v>
          </cell>
          <cell r="G52">
            <v>0</v>
          </cell>
          <cell r="I52">
            <v>0.7</v>
          </cell>
          <cell r="K52">
            <v>0.7</v>
          </cell>
          <cell r="N52">
            <v>0</v>
          </cell>
          <cell r="Q52">
            <v>1</v>
          </cell>
          <cell r="R52">
            <v>0</v>
          </cell>
          <cell r="S52">
            <v>0.05</v>
          </cell>
          <cell r="T52">
            <v>0</v>
          </cell>
          <cell r="U52">
            <v>0</v>
          </cell>
        </row>
        <row r="53">
          <cell r="C53" t="str">
            <v>CAR A9</v>
          </cell>
          <cell r="D53">
            <v>561</v>
          </cell>
          <cell r="E53">
            <v>363</v>
          </cell>
          <cell r="F53">
            <v>194</v>
          </cell>
          <cell r="G53">
            <v>0</v>
          </cell>
          <cell r="K53">
            <v>0</v>
          </cell>
          <cell r="N53">
            <v>0</v>
          </cell>
          <cell r="Q53">
            <v>1</v>
          </cell>
          <cell r="R53">
            <v>0</v>
          </cell>
          <cell r="S53">
            <v>0.05</v>
          </cell>
          <cell r="T53">
            <v>0</v>
          </cell>
          <cell r="U53">
            <v>0</v>
          </cell>
        </row>
        <row r="54">
          <cell r="C54" t="str">
            <v>CAR A13</v>
          </cell>
          <cell r="D54">
            <v>561</v>
          </cell>
          <cell r="E54">
            <v>363</v>
          </cell>
          <cell r="F54">
            <v>194</v>
          </cell>
          <cell r="G54">
            <v>0</v>
          </cell>
          <cell r="K54">
            <v>0</v>
          </cell>
          <cell r="N54">
            <v>0</v>
          </cell>
          <cell r="Q54">
            <v>1</v>
          </cell>
          <cell r="R54">
            <v>0</v>
          </cell>
          <cell r="S54">
            <v>0.05</v>
          </cell>
          <cell r="T54">
            <v>0</v>
          </cell>
          <cell r="U54">
            <v>0</v>
          </cell>
        </row>
        <row r="55">
          <cell r="C55" t="str">
            <v xml:space="preserve"> CAR  10</v>
          </cell>
          <cell r="D55">
            <v>600</v>
          </cell>
          <cell r="E55">
            <v>400</v>
          </cell>
          <cell r="F55">
            <v>250</v>
          </cell>
          <cell r="G55">
            <v>0</v>
          </cell>
          <cell r="K55">
            <v>0</v>
          </cell>
          <cell r="N55">
            <v>0</v>
          </cell>
          <cell r="Q55">
            <v>1</v>
          </cell>
          <cell r="R55">
            <v>0</v>
          </cell>
          <cell r="S55">
            <v>0.05</v>
          </cell>
          <cell r="T55">
            <v>0</v>
          </cell>
          <cell r="U55">
            <v>0</v>
          </cell>
        </row>
        <row r="56">
          <cell r="G56">
            <v>0</v>
          </cell>
          <cell r="K56">
            <v>0</v>
          </cell>
          <cell r="Q56">
            <v>1</v>
          </cell>
          <cell r="R56">
            <v>0</v>
          </cell>
          <cell r="S56">
            <v>0.05</v>
          </cell>
          <cell r="T56">
            <v>0</v>
          </cell>
          <cell r="U56">
            <v>0</v>
          </cell>
        </row>
        <row r="57">
          <cell r="G57">
            <v>0</v>
          </cell>
          <cell r="K57">
            <v>0</v>
          </cell>
          <cell r="Q57">
            <v>1</v>
          </cell>
          <cell r="R57">
            <v>0</v>
          </cell>
          <cell r="S57">
            <v>0.05</v>
          </cell>
          <cell r="T57">
            <v>0</v>
          </cell>
          <cell r="U57">
            <v>0</v>
          </cell>
        </row>
        <row r="58">
          <cell r="G58">
            <v>0</v>
          </cell>
          <cell r="K58">
            <v>0</v>
          </cell>
          <cell r="Q58">
            <v>1</v>
          </cell>
          <cell r="R58">
            <v>0</v>
          </cell>
          <cell r="S58">
            <v>0.05</v>
          </cell>
          <cell r="T58">
            <v>0</v>
          </cell>
          <cell r="U58">
            <v>0</v>
          </cell>
        </row>
        <row r="59">
          <cell r="G59">
            <v>0</v>
          </cell>
          <cell r="K59">
            <v>0</v>
          </cell>
          <cell r="Q59">
            <v>1</v>
          </cell>
          <cell r="R59">
            <v>0</v>
          </cell>
          <cell r="S59">
            <v>0.05</v>
          </cell>
          <cell r="T59">
            <v>0</v>
          </cell>
          <cell r="U59">
            <v>0</v>
          </cell>
        </row>
        <row r="60">
          <cell r="G60">
            <v>0</v>
          </cell>
          <cell r="K60">
            <v>0</v>
          </cell>
          <cell r="Q60">
            <v>1</v>
          </cell>
          <cell r="R60">
            <v>0</v>
          </cell>
          <cell r="S60">
            <v>0.05</v>
          </cell>
          <cell r="T60">
            <v>0</v>
          </cell>
          <cell r="U60">
            <v>0</v>
          </cell>
        </row>
        <row r="61">
          <cell r="G61">
            <v>0</v>
          </cell>
          <cell r="K61">
            <v>0</v>
          </cell>
          <cell r="Q61">
            <v>1</v>
          </cell>
          <cell r="R61">
            <v>0</v>
          </cell>
          <cell r="S61">
            <v>0.05</v>
          </cell>
          <cell r="T61">
            <v>0</v>
          </cell>
          <cell r="U61">
            <v>0</v>
          </cell>
        </row>
        <row r="62">
          <cell r="G62">
            <v>0</v>
          </cell>
          <cell r="K62">
            <v>0</v>
          </cell>
          <cell r="Q62">
            <v>1</v>
          </cell>
          <cell r="R62">
            <v>0</v>
          </cell>
          <cell r="S62">
            <v>0.05</v>
          </cell>
          <cell r="T62">
            <v>0</v>
          </cell>
          <cell r="U62">
            <v>0</v>
          </cell>
        </row>
        <row r="63">
          <cell r="G63">
            <v>0</v>
          </cell>
          <cell r="K63">
            <v>0</v>
          </cell>
          <cell r="Q63">
            <v>1</v>
          </cell>
          <cell r="R63">
            <v>0</v>
          </cell>
          <cell r="S63">
            <v>0.05</v>
          </cell>
          <cell r="T63">
            <v>0</v>
          </cell>
          <cell r="U63">
            <v>0</v>
          </cell>
        </row>
        <row r="64">
          <cell r="G64">
            <v>0</v>
          </cell>
          <cell r="K64">
            <v>0</v>
          </cell>
          <cell r="Q64">
            <v>1</v>
          </cell>
          <cell r="R64">
            <v>0</v>
          </cell>
          <cell r="S64">
            <v>0.05</v>
          </cell>
          <cell r="T64">
            <v>0</v>
          </cell>
          <cell r="U64">
            <v>0</v>
          </cell>
        </row>
        <row r="65">
          <cell r="G65">
            <v>0</v>
          </cell>
          <cell r="K65">
            <v>0</v>
          </cell>
          <cell r="Q65">
            <v>1</v>
          </cell>
          <cell r="R65">
            <v>0</v>
          </cell>
          <cell r="S65">
            <v>0.05</v>
          </cell>
          <cell r="T65">
            <v>0</v>
          </cell>
          <cell r="U65">
            <v>0</v>
          </cell>
        </row>
        <row r="66">
          <cell r="G66">
            <v>0</v>
          </cell>
          <cell r="K66">
            <v>0</v>
          </cell>
          <cell r="Q66">
            <v>1</v>
          </cell>
          <cell r="R66">
            <v>0</v>
          </cell>
          <cell r="S66">
            <v>0.05</v>
          </cell>
          <cell r="T66">
            <v>0</v>
          </cell>
          <cell r="U66">
            <v>0</v>
          </cell>
        </row>
        <row r="67">
          <cell r="G67">
            <v>0</v>
          </cell>
          <cell r="K67">
            <v>0</v>
          </cell>
          <cell r="Q67">
            <v>1</v>
          </cell>
          <cell r="R67">
            <v>0</v>
          </cell>
          <cell r="S67">
            <v>0.05</v>
          </cell>
          <cell r="T67">
            <v>0</v>
          </cell>
          <cell r="U67">
            <v>0</v>
          </cell>
        </row>
        <row r="68">
          <cell r="G68">
            <v>0</v>
          </cell>
          <cell r="K68">
            <v>0</v>
          </cell>
          <cell r="Q68">
            <v>1</v>
          </cell>
          <cell r="R68">
            <v>0</v>
          </cell>
          <cell r="S68">
            <v>0.05</v>
          </cell>
          <cell r="T68">
            <v>0</v>
          </cell>
          <cell r="U68">
            <v>0</v>
          </cell>
        </row>
        <row r="69">
          <cell r="G69">
            <v>0</v>
          </cell>
          <cell r="K69">
            <v>0</v>
          </cell>
          <cell r="Q69">
            <v>1</v>
          </cell>
          <cell r="R69">
            <v>0</v>
          </cell>
          <cell r="S69">
            <v>0.05</v>
          </cell>
          <cell r="T69">
            <v>0</v>
          </cell>
          <cell r="U69">
            <v>0</v>
          </cell>
        </row>
        <row r="70">
          <cell r="G70">
            <v>0</v>
          </cell>
          <cell r="K70">
            <v>0</v>
          </cell>
          <cell r="Q70">
            <v>1</v>
          </cell>
          <cell r="R70">
            <v>0</v>
          </cell>
          <cell r="S70">
            <v>0.05</v>
          </cell>
          <cell r="T70">
            <v>0</v>
          </cell>
          <cell r="U70">
            <v>0</v>
          </cell>
        </row>
        <row r="71">
          <cell r="G71">
            <v>0</v>
          </cell>
          <cell r="K71">
            <v>0</v>
          </cell>
          <cell r="Q71">
            <v>1</v>
          </cell>
          <cell r="R71">
            <v>0</v>
          </cell>
          <cell r="S71">
            <v>0.05</v>
          </cell>
          <cell r="T71">
            <v>0</v>
          </cell>
          <cell r="U71">
            <v>0</v>
          </cell>
        </row>
        <row r="72">
          <cell r="G72">
            <v>0</v>
          </cell>
          <cell r="K72">
            <v>0</v>
          </cell>
          <cell r="Q72">
            <v>1</v>
          </cell>
          <cell r="R72">
            <v>0</v>
          </cell>
          <cell r="S72">
            <v>0.05</v>
          </cell>
          <cell r="T72">
            <v>0</v>
          </cell>
          <cell r="U72">
            <v>0</v>
          </cell>
        </row>
        <row r="73">
          <cell r="G73">
            <v>0</v>
          </cell>
          <cell r="K73">
            <v>0</v>
          </cell>
          <cell r="Q73">
            <v>1</v>
          </cell>
          <cell r="R73">
            <v>0</v>
          </cell>
          <cell r="S73">
            <v>0.05</v>
          </cell>
          <cell r="T73">
            <v>0</v>
          </cell>
          <cell r="U73">
            <v>0</v>
          </cell>
        </row>
        <row r="74">
          <cell r="G74">
            <v>0</v>
          </cell>
          <cell r="K74">
            <v>0</v>
          </cell>
          <cell r="Q74">
            <v>1</v>
          </cell>
          <cell r="R74">
            <v>0</v>
          </cell>
          <cell r="S74">
            <v>0.05</v>
          </cell>
          <cell r="T74">
            <v>0</v>
          </cell>
          <cell r="U74">
            <v>0</v>
          </cell>
        </row>
        <row r="75">
          <cell r="G75">
            <v>0</v>
          </cell>
          <cell r="K75">
            <v>0</v>
          </cell>
          <cell r="Q75">
            <v>1</v>
          </cell>
          <cell r="R75">
            <v>0</v>
          </cell>
          <cell r="S75">
            <v>0.05</v>
          </cell>
          <cell r="T75">
            <v>0</v>
          </cell>
          <cell r="U75">
            <v>0</v>
          </cell>
        </row>
        <row r="76">
          <cell r="G76">
            <v>0</v>
          </cell>
          <cell r="K76">
            <v>0</v>
          </cell>
          <cell r="Q76">
            <v>1</v>
          </cell>
          <cell r="R76">
            <v>0</v>
          </cell>
          <cell r="S76">
            <v>0.05</v>
          </cell>
          <cell r="T76">
            <v>0</v>
          </cell>
          <cell r="U76">
            <v>0</v>
          </cell>
        </row>
        <row r="77">
          <cell r="G77">
            <v>0</v>
          </cell>
          <cell r="K77">
            <v>0</v>
          </cell>
          <cell r="Q77">
            <v>1</v>
          </cell>
          <cell r="R77">
            <v>0</v>
          </cell>
          <cell r="S77">
            <v>0.05</v>
          </cell>
          <cell r="T77">
            <v>0</v>
          </cell>
          <cell r="U77">
            <v>0</v>
          </cell>
        </row>
        <row r="78">
          <cell r="G78">
            <v>0</v>
          </cell>
          <cell r="K78">
            <v>0</v>
          </cell>
          <cell r="Q78">
            <v>1</v>
          </cell>
          <cell r="R78">
            <v>0</v>
          </cell>
          <cell r="S78">
            <v>0.05</v>
          </cell>
          <cell r="T78">
            <v>0</v>
          </cell>
          <cell r="U78">
            <v>0</v>
          </cell>
        </row>
        <row r="79">
          <cell r="G79">
            <v>0</v>
          </cell>
          <cell r="K79">
            <v>0</v>
          </cell>
          <cell r="Q79">
            <v>1</v>
          </cell>
          <cell r="R79">
            <v>0</v>
          </cell>
          <cell r="S79">
            <v>0.05</v>
          </cell>
          <cell r="T79">
            <v>0</v>
          </cell>
          <cell r="U79">
            <v>0</v>
          </cell>
        </row>
        <row r="80">
          <cell r="G80">
            <v>0</v>
          </cell>
          <cell r="K80">
            <v>0</v>
          </cell>
          <cell r="Q80">
            <v>1</v>
          </cell>
          <cell r="R80">
            <v>0</v>
          </cell>
          <cell r="S80">
            <v>0.05</v>
          </cell>
          <cell r="T80">
            <v>0</v>
          </cell>
          <cell r="U80">
            <v>0</v>
          </cell>
        </row>
        <row r="81">
          <cell r="G81">
            <v>0</v>
          </cell>
          <cell r="K81">
            <v>0</v>
          </cell>
          <cell r="Q81">
            <v>1</v>
          </cell>
          <cell r="R81">
            <v>0</v>
          </cell>
          <cell r="S81">
            <v>0.05</v>
          </cell>
          <cell r="T81">
            <v>0</v>
          </cell>
          <cell r="U81">
            <v>0</v>
          </cell>
        </row>
        <row r="82">
          <cell r="G82">
            <v>0</v>
          </cell>
          <cell r="K82">
            <v>0</v>
          </cell>
          <cell r="Q82">
            <v>1</v>
          </cell>
          <cell r="R82">
            <v>0</v>
          </cell>
          <cell r="S82">
            <v>0.05</v>
          </cell>
          <cell r="T82">
            <v>0</v>
          </cell>
          <cell r="U82">
            <v>0</v>
          </cell>
        </row>
        <row r="83">
          <cell r="G83">
            <v>0</v>
          </cell>
          <cell r="K83">
            <v>0</v>
          </cell>
          <cell r="Q83">
            <v>1</v>
          </cell>
          <cell r="R83">
            <v>0</v>
          </cell>
          <cell r="S83">
            <v>0.05</v>
          </cell>
          <cell r="T83">
            <v>0</v>
          </cell>
          <cell r="U83">
            <v>0</v>
          </cell>
        </row>
        <row r="84">
          <cell r="G84">
            <v>0</v>
          </cell>
          <cell r="K84">
            <v>0</v>
          </cell>
          <cell r="Q84">
            <v>1</v>
          </cell>
          <cell r="R84">
            <v>0</v>
          </cell>
          <cell r="S84">
            <v>0.05</v>
          </cell>
          <cell r="T84">
            <v>0</v>
          </cell>
          <cell r="U84">
            <v>0</v>
          </cell>
        </row>
        <row r="85">
          <cell r="G85">
            <v>0</v>
          </cell>
          <cell r="K85">
            <v>0</v>
          </cell>
          <cell r="Q85">
            <v>1</v>
          </cell>
          <cell r="R85">
            <v>0</v>
          </cell>
          <cell r="S85">
            <v>0.05</v>
          </cell>
          <cell r="T85">
            <v>0</v>
          </cell>
          <cell r="U85">
            <v>0</v>
          </cell>
        </row>
        <row r="86">
          <cell r="G86">
            <v>0</v>
          </cell>
          <cell r="K86">
            <v>0</v>
          </cell>
          <cell r="Q86">
            <v>1</v>
          </cell>
          <cell r="R86">
            <v>0</v>
          </cell>
          <cell r="S86">
            <v>0.05</v>
          </cell>
          <cell r="T86">
            <v>0</v>
          </cell>
          <cell r="U86">
            <v>0</v>
          </cell>
        </row>
        <row r="87">
          <cell r="G87">
            <v>0</v>
          </cell>
          <cell r="K87">
            <v>0</v>
          </cell>
          <cell r="Q87">
            <v>1</v>
          </cell>
          <cell r="R87">
            <v>0</v>
          </cell>
          <cell r="S87">
            <v>0.05</v>
          </cell>
          <cell r="T87">
            <v>0</v>
          </cell>
          <cell r="U87">
            <v>0</v>
          </cell>
        </row>
        <row r="88">
          <cell r="G88">
            <v>0</v>
          </cell>
          <cell r="K88">
            <v>0</v>
          </cell>
          <cell r="Q88">
            <v>1</v>
          </cell>
          <cell r="R88">
            <v>0</v>
          </cell>
          <cell r="S88">
            <v>0.05</v>
          </cell>
          <cell r="T88">
            <v>0</v>
          </cell>
          <cell r="U88">
            <v>0</v>
          </cell>
        </row>
        <row r="89">
          <cell r="G89">
            <v>0</v>
          </cell>
          <cell r="K89">
            <v>0</v>
          </cell>
          <cell r="Q89">
            <v>1</v>
          </cell>
          <cell r="R89">
            <v>0</v>
          </cell>
          <cell r="S89">
            <v>0.05</v>
          </cell>
          <cell r="T89">
            <v>0</v>
          </cell>
          <cell r="U89">
            <v>0</v>
          </cell>
        </row>
        <row r="90">
          <cell r="G90">
            <v>0</v>
          </cell>
          <cell r="K90">
            <v>0</v>
          </cell>
          <cell r="Q90">
            <v>1</v>
          </cell>
          <cell r="R90">
            <v>0</v>
          </cell>
          <cell r="S90">
            <v>0.05</v>
          </cell>
          <cell r="T90">
            <v>0</v>
          </cell>
          <cell r="U90">
            <v>0</v>
          </cell>
        </row>
        <row r="91">
          <cell r="G91">
            <v>0</v>
          </cell>
          <cell r="K91">
            <v>0</v>
          </cell>
          <cell r="Q91">
            <v>1</v>
          </cell>
          <cell r="R91">
            <v>0</v>
          </cell>
          <cell r="S91">
            <v>0.05</v>
          </cell>
          <cell r="T91">
            <v>0</v>
          </cell>
          <cell r="U91">
            <v>0</v>
          </cell>
        </row>
        <row r="92">
          <cell r="G92">
            <v>0</v>
          </cell>
          <cell r="K92">
            <v>0</v>
          </cell>
          <cell r="Q92">
            <v>1</v>
          </cell>
          <cell r="R92">
            <v>0</v>
          </cell>
          <cell r="S92">
            <v>0.05</v>
          </cell>
          <cell r="T92">
            <v>0</v>
          </cell>
          <cell r="U92">
            <v>0</v>
          </cell>
        </row>
        <row r="93">
          <cell r="G93">
            <v>0</v>
          </cell>
          <cell r="K93">
            <v>0</v>
          </cell>
          <cell r="Q93">
            <v>1</v>
          </cell>
          <cell r="R93">
            <v>0</v>
          </cell>
          <cell r="S93">
            <v>0.05</v>
          </cell>
          <cell r="T93">
            <v>0</v>
          </cell>
          <cell r="U93">
            <v>0</v>
          </cell>
        </row>
        <row r="94">
          <cell r="G94">
            <v>0</v>
          </cell>
          <cell r="K94">
            <v>0</v>
          </cell>
          <cell r="Q94">
            <v>1</v>
          </cell>
          <cell r="R94">
            <v>0</v>
          </cell>
          <cell r="S94">
            <v>0.05</v>
          </cell>
          <cell r="T94">
            <v>0</v>
          </cell>
          <cell r="U94">
            <v>0</v>
          </cell>
        </row>
        <row r="95">
          <cell r="G95">
            <v>0</v>
          </cell>
          <cell r="K95">
            <v>0</v>
          </cell>
          <cell r="Q95">
            <v>1</v>
          </cell>
          <cell r="R95">
            <v>0</v>
          </cell>
          <cell r="S95">
            <v>0.05</v>
          </cell>
          <cell r="T95">
            <v>0</v>
          </cell>
          <cell r="U95">
            <v>0</v>
          </cell>
        </row>
        <row r="96">
          <cell r="G96">
            <v>0</v>
          </cell>
          <cell r="K96">
            <v>0</v>
          </cell>
          <cell r="Q96">
            <v>1</v>
          </cell>
          <cell r="R96">
            <v>0</v>
          </cell>
          <cell r="S96">
            <v>0.05</v>
          </cell>
          <cell r="T96">
            <v>0</v>
          </cell>
          <cell r="U96">
            <v>0</v>
          </cell>
        </row>
        <row r="97">
          <cell r="G97">
            <v>0</v>
          </cell>
          <cell r="K97">
            <v>0</v>
          </cell>
          <cell r="Q97">
            <v>1</v>
          </cell>
          <cell r="R97">
            <v>0</v>
          </cell>
          <cell r="S97">
            <v>0.05</v>
          </cell>
          <cell r="T97">
            <v>0</v>
          </cell>
          <cell r="U97">
            <v>0</v>
          </cell>
        </row>
        <row r="98">
          <cell r="G98">
            <v>0</v>
          </cell>
          <cell r="K98">
            <v>0</v>
          </cell>
          <cell r="Q98">
            <v>1</v>
          </cell>
          <cell r="R98">
            <v>0</v>
          </cell>
          <cell r="S98">
            <v>0.05</v>
          </cell>
          <cell r="T98">
            <v>0</v>
          </cell>
          <cell r="U98">
            <v>0</v>
          </cell>
        </row>
        <row r="99">
          <cell r="G99">
            <v>0</v>
          </cell>
          <cell r="K99">
            <v>0</v>
          </cell>
          <cell r="Q99">
            <v>1</v>
          </cell>
          <cell r="R99">
            <v>0</v>
          </cell>
          <cell r="S99">
            <v>0.05</v>
          </cell>
          <cell r="T99">
            <v>0</v>
          </cell>
          <cell r="U99">
            <v>0</v>
          </cell>
        </row>
        <row r="100">
          <cell r="G100">
            <v>0</v>
          </cell>
          <cell r="K100">
            <v>0</v>
          </cell>
          <cell r="Q100">
            <v>1</v>
          </cell>
          <cell r="R100">
            <v>0</v>
          </cell>
          <cell r="S100">
            <v>0.05</v>
          </cell>
          <cell r="T100">
            <v>0</v>
          </cell>
          <cell r="U100">
            <v>0</v>
          </cell>
        </row>
        <row r="101">
          <cell r="G101">
            <v>0</v>
          </cell>
          <cell r="K101">
            <v>0</v>
          </cell>
          <cell r="Q101">
            <v>1</v>
          </cell>
          <cell r="R101">
            <v>0</v>
          </cell>
          <cell r="S101">
            <v>0.05</v>
          </cell>
          <cell r="T101">
            <v>0</v>
          </cell>
          <cell r="U101">
            <v>0</v>
          </cell>
        </row>
        <row r="102">
          <cell r="G102">
            <v>0</v>
          </cell>
          <cell r="K102">
            <v>0</v>
          </cell>
          <cell r="Q102">
            <v>1</v>
          </cell>
          <cell r="R102">
            <v>0</v>
          </cell>
          <cell r="S102">
            <v>0.05</v>
          </cell>
          <cell r="T102">
            <v>0</v>
          </cell>
          <cell r="U102">
            <v>0</v>
          </cell>
        </row>
        <row r="103">
          <cell r="G103">
            <v>0</v>
          </cell>
          <cell r="K103">
            <v>0</v>
          </cell>
          <cell r="Q103">
            <v>1</v>
          </cell>
          <cell r="R103">
            <v>0</v>
          </cell>
          <cell r="S103">
            <v>0.05</v>
          </cell>
          <cell r="T103">
            <v>0</v>
          </cell>
          <cell r="U103">
            <v>0</v>
          </cell>
        </row>
        <row r="104">
          <cell r="G104">
            <v>0</v>
          </cell>
          <cell r="K104">
            <v>0</v>
          </cell>
          <cell r="Q104">
            <v>1</v>
          </cell>
          <cell r="R104">
            <v>0</v>
          </cell>
          <cell r="S104">
            <v>0.05</v>
          </cell>
          <cell r="T104">
            <v>0</v>
          </cell>
          <cell r="U104">
            <v>0</v>
          </cell>
        </row>
        <row r="105">
          <cell r="G105">
            <v>0</v>
          </cell>
          <cell r="K105">
            <v>0</v>
          </cell>
          <cell r="Q105">
            <v>1</v>
          </cell>
          <cell r="R105">
            <v>0</v>
          </cell>
          <cell r="S105">
            <v>0.05</v>
          </cell>
          <cell r="T105">
            <v>0</v>
          </cell>
          <cell r="U105">
            <v>0</v>
          </cell>
        </row>
        <row r="106">
          <cell r="G106">
            <v>0</v>
          </cell>
          <cell r="K106">
            <v>0</v>
          </cell>
          <cell r="Q106">
            <v>1</v>
          </cell>
          <cell r="R106">
            <v>0</v>
          </cell>
          <cell r="S106">
            <v>0.05</v>
          </cell>
          <cell r="T106">
            <v>0</v>
          </cell>
          <cell r="U106">
            <v>0</v>
          </cell>
        </row>
      </sheetData>
      <sheetData sheetId="1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Versions"/>
      <sheetName val="Project"/>
      <sheetName val="PRU"/>
      <sheetName val="Offre (Référence)"/>
      <sheetName val="Finished Goods (assembled)"/>
      <sheetName val="SF Goods (painted) "/>
      <sheetName val="SF Goods (moulded)"/>
      <sheetName val="Components"/>
      <sheetName val="B.O.M."/>
      <sheetName val="Cyclogrammes"/>
      <sheetName val="Dotations"/>
      <sheetName val="Surfaces"/>
      <sheetName val="Effectifs"/>
      <sheetName val="I.S."/>
      <sheetName val="Investissement"/>
      <sheetName val="Finance DB"/>
      <sheetName val="Surfaces DB"/>
      <sheetName val="Information Tech DB"/>
      <sheetName val="Labour DB"/>
      <sheetName val="Shipping DB"/>
      <sheetName val="Packaging DB"/>
      <sheetName val="B_O_M_"/>
    </sheetNames>
    <sheetDataSet>
      <sheetData sheetId="0" refreshError="1"/>
      <sheetData sheetId="1" refreshError="1">
        <row r="30">
          <cell r="D30">
            <v>2</v>
          </cell>
        </row>
        <row r="57">
          <cell r="D57">
            <v>2</v>
          </cell>
        </row>
        <row r="58">
          <cell r="D58">
            <v>2</v>
          </cell>
        </row>
        <row r="59">
          <cell r="D59">
            <v>1</v>
          </cell>
        </row>
        <row r="60">
          <cell r="D60">
            <v>1</v>
          </cell>
        </row>
        <row r="77">
          <cell r="E77">
            <v>40</v>
          </cell>
        </row>
        <row r="146">
          <cell r="D146">
            <v>0.8</v>
          </cell>
        </row>
        <row r="173">
          <cell r="D173">
            <v>0.7</v>
          </cell>
        </row>
        <row r="196">
          <cell r="J196">
            <v>350</v>
          </cell>
        </row>
        <row r="207">
          <cell r="K207">
            <v>1190</v>
          </cell>
        </row>
        <row r="256">
          <cell r="L256">
            <v>155</v>
          </cell>
        </row>
        <row r="272">
          <cell r="D272">
            <v>5.2499999999999964</v>
          </cell>
          <cell r="E272">
            <v>31499.999999999978</v>
          </cell>
        </row>
      </sheetData>
      <sheetData sheetId="2" refreshError="1"/>
      <sheetData sheetId="3" refreshError="1"/>
      <sheetData sheetId="4" refreshError="1"/>
      <sheetData sheetId="5" refreshError="1"/>
      <sheetData sheetId="6" refreshError="1"/>
      <sheetData sheetId="7" refreshError="1"/>
      <sheetData sheetId="8" refreshError="1">
        <row r="441">
          <cell r="F441">
            <v>1</v>
          </cell>
          <cell r="G441">
            <v>2</v>
          </cell>
          <cell r="H441">
            <v>3</v>
          </cell>
          <cell r="I441">
            <v>4</v>
          </cell>
          <cell r="J441">
            <v>5</v>
          </cell>
          <cell r="K441">
            <v>6</v>
          </cell>
          <cell r="L441">
            <v>7</v>
          </cell>
          <cell r="M441">
            <v>8</v>
          </cell>
          <cell r="N441">
            <v>9</v>
          </cell>
          <cell r="O441">
            <v>10</v>
          </cell>
          <cell r="P441">
            <v>11</v>
          </cell>
          <cell r="Q441">
            <v>12</v>
          </cell>
          <cell r="R441">
            <v>13</v>
          </cell>
          <cell r="S441">
            <v>14</v>
          </cell>
          <cell r="T441">
            <v>15</v>
          </cell>
          <cell r="U441">
            <v>16</v>
          </cell>
          <cell r="V441">
            <v>17</v>
          </cell>
          <cell r="W441">
            <v>18</v>
          </cell>
          <cell r="X441">
            <v>19</v>
          </cell>
          <cell r="Y441">
            <v>20</v>
          </cell>
          <cell r="Z441">
            <v>21</v>
          </cell>
          <cell r="AA441">
            <v>22</v>
          </cell>
          <cell r="AB441">
            <v>23</v>
          </cell>
          <cell r="AC441">
            <v>24</v>
          </cell>
          <cell r="AD441">
            <v>25</v>
          </cell>
          <cell r="AE441">
            <v>26</v>
          </cell>
          <cell r="AF441">
            <v>27</v>
          </cell>
          <cell r="AG441">
            <v>28</v>
          </cell>
          <cell r="AH441">
            <v>29</v>
          </cell>
          <cell r="AI441">
            <v>30</v>
          </cell>
          <cell r="AJ441">
            <v>31</v>
          </cell>
          <cell r="AK441">
            <v>32</v>
          </cell>
          <cell r="AL441">
            <v>33</v>
          </cell>
          <cell r="AM441">
            <v>34</v>
          </cell>
          <cell r="AN441">
            <v>35</v>
          </cell>
          <cell r="AO441">
            <v>36</v>
          </cell>
          <cell r="AP441">
            <v>37</v>
          </cell>
          <cell r="AQ441">
            <v>38</v>
          </cell>
          <cell r="AR441">
            <v>39</v>
          </cell>
          <cell r="AS441">
            <v>40</v>
          </cell>
          <cell r="AT441">
            <v>41</v>
          </cell>
          <cell r="AU441">
            <v>42</v>
          </cell>
          <cell r="AV441">
            <v>43</v>
          </cell>
          <cell r="AW441">
            <v>44</v>
          </cell>
          <cell r="AX441">
            <v>45</v>
          </cell>
          <cell r="AY441">
            <v>46</v>
          </cell>
          <cell r="AZ441">
            <v>47</v>
          </cell>
          <cell r="BA441">
            <v>48</v>
          </cell>
          <cell r="BB441">
            <v>49</v>
          </cell>
          <cell r="BC441">
            <v>50</v>
          </cell>
          <cell r="BD441">
            <v>51</v>
          </cell>
          <cell r="BE441">
            <v>52</v>
          </cell>
          <cell r="BF441">
            <v>53</v>
          </cell>
          <cell r="BG441">
            <v>54</v>
          </cell>
          <cell r="BH441">
            <v>55</v>
          </cell>
          <cell r="BI441">
            <v>56</v>
          </cell>
          <cell r="BJ441">
            <v>57</v>
          </cell>
          <cell r="BK441">
            <v>58</v>
          </cell>
          <cell r="BL441">
            <v>59</v>
          </cell>
          <cell r="BM441">
            <v>60</v>
          </cell>
          <cell r="BN441">
            <v>61</v>
          </cell>
          <cell r="BO441">
            <v>62</v>
          </cell>
          <cell r="BP441">
            <v>63</v>
          </cell>
          <cell r="BQ441">
            <v>64</v>
          </cell>
          <cell r="BR441">
            <v>65</v>
          </cell>
          <cell r="BS441">
            <v>66</v>
          </cell>
          <cell r="BT441">
            <v>67</v>
          </cell>
          <cell r="BU441">
            <v>68</v>
          </cell>
          <cell r="BV441">
            <v>69</v>
          </cell>
          <cell r="BW441">
            <v>70</v>
          </cell>
          <cell r="BX441">
            <v>71</v>
          </cell>
          <cell r="BY441">
            <v>72</v>
          </cell>
          <cell r="BZ441">
            <v>73</v>
          </cell>
          <cell r="CA441">
            <v>74</v>
          </cell>
          <cell r="CB441">
            <v>75</v>
          </cell>
          <cell r="CC441">
            <v>76</v>
          </cell>
          <cell r="CD441">
            <v>77</v>
          </cell>
          <cell r="CE441">
            <v>78</v>
          </cell>
          <cell r="CF441">
            <v>79</v>
          </cell>
          <cell r="CG441">
            <v>80</v>
          </cell>
          <cell r="CH441">
            <v>81</v>
          </cell>
          <cell r="CI441">
            <v>82</v>
          </cell>
          <cell r="CJ441">
            <v>83</v>
          </cell>
          <cell r="CK441">
            <v>84</v>
          </cell>
          <cell r="CL441">
            <v>85</v>
          </cell>
          <cell r="CM441">
            <v>86</v>
          </cell>
          <cell r="CN441">
            <v>87</v>
          </cell>
          <cell r="CO441">
            <v>88</v>
          </cell>
          <cell r="CP441">
            <v>89</v>
          </cell>
          <cell r="CQ441">
            <v>90</v>
          </cell>
          <cell r="CR441">
            <v>91</v>
          </cell>
          <cell r="CS441">
            <v>92</v>
          </cell>
          <cell r="CT441">
            <v>93</v>
          </cell>
          <cell r="CU441">
            <v>94</v>
          </cell>
          <cell r="CV441">
            <v>95</v>
          </cell>
          <cell r="CW441">
            <v>96</v>
          </cell>
          <cell r="CX441">
            <v>97</v>
          </cell>
          <cell r="CY441">
            <v>98</v>
          </cell>
          <cell r="CZ441">
            <v>99</v>
          </cell>
          <cell r="DA441">
            <v>100</v>
          </cell>
        </row>
        <row r="442">
          <cell r="A442" t="str">
            <v>TOTAL PARTIE ENCYCLAGE</v>
          </cell>
          <cell r="B442" t="str">
            <v>surfaces m² (stockage, picking)</v>
          </cell>
          <cell r="D442" t="str">
            <v>surfaces m² (stockage, picking)</v>
          </cell>
          <cell r="F442">
            <v>66.436004019999999</v>
          </cell>
          <cell r="G442">
            <v>96.860225523076934</v>
          </cell>
          <cell r="H442">
            <v>30.978067656923077</v>
          </cell>
          <cell r="I442">
            <v>203.13601607999999</v>
          </cell>
          <cell r="J442">
            <v>298.0009020923078</v>
          </cell>
          <cell r="K442">
            <v>97.080270627692315</v>
          </cell>
          <cell r="L442">
            <v>242.53507679999998</v>
          </cell>
          <cell r="M442">
            <v>163.88876920000001</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row>
        <row r="443">
          <cell r="B443" t="str">
            <v>surfaces m² (réception)</v>
          </cell>
          <cell r="D443" t="str">
            <v>surfaces m² (réception)</v>
          </cell>
          <cell r="F443">
            <v>5.5555555555555536</v>
          </cell>
          <cell r="G443">
            <v>9.4017094017094021</v>
          </cell>
          <cell r="H443">
            <v>4.5982905982905979</v>
          </cell>
          <cell r="I443">
            <v>22.222222222222214</v>
          </cell>
          <cell r="J443">
            <v>37.606837606837608</v>
          </cell>
          <cell r="K443">
            <v>18.393162393162392</v>
          </cell>
          <cell r="L443">
            <v>17.777777777777775</v>
          </cell>
          <cell r="M443">
            <v>4.4444444444444438</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row>
        <row r="444">
          <cell r="B444" t="str">
            <v>surfaces m² (non qualité + autres)</v>
          </cell>
          <cell r="D444" t="str">
            <v>surfaces m² (non qualité + autres)</v>
          </cell>
          <cell r="F444">
            <v>3.7272765957446805</v>
          </cell>
          <cell r="G444">
            <v>5.3246808510638308</v>
          </cell>
          <cell r="H444">
            <v>1.597404255319149</v>
          </cell>
          <cell r="I444">
            <v>7.454553191489361</v>
          </cell>
          <cell r="J444">
            <v>10.649361702127662</v>
          </cell>
          <cell r="K444">
            <v>3.194808510638298</v>
          </cell>
          <cell r="L444">
            <v>15.602553191489362</v>
          </cell>
          <cell r="M444">
            <v>10.64936170212766</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row>
        <row r="445">
          <cell r="B445" t="str">
            <v>Montage</v>
          </cell>
          <cell r="D445" t="str">
            <v>Montage</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row>
        <row r="446">
          <cell r="B446" t="str">
            <v xml:space="preserve">Opérateurs picking </v>
          </cell>
          <cell r="D446" t="str">
            <v xml:space="preserve">Opérateurs picking </v>
          </cell>
          <cell r="F446">
            <v>6.7120707070707109E-2</v>
          </cell>
          <cell r="G446">
            <v>0.10819441669441679</v>
          </cell>
          <cell r="H446">
            <v>3.4744039294039318E-2</v>
          </cell>
          <cell r="I446">
            <v>0.42176565656565679</v>
          </cell>
          <cell r="J446">
            <v>0.65175313575313631</v>
          </cell>
          <cell r="K446">
            <v>0.20466879786879799</v>
          </cell>
          <cell r="L446">
            <v>1.3869956709956719</v>
          </cell>
          <cell r="M446">
            <v>0.12777344877344887</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row>
        <row r="447">
          <cell r="B447" t="str">
            <v xml:space="preserve">Caristes réception/stockage </v>
          </cell>
          <cell r="D447" t="str">
            <v xml:space="preserve">Caristes réception/stockage </v>
          </cell>
          <cell r="F447">
            <v>2.7384126984127E-2</v>
          </cell>
          <cell r="G447">
            <v>4.0962148962148989E-2</v>
          </cell>
          <cell r="H447">
            <v>1.3812454212454223E-2</v>
          </cell>
          <cell r="I447">
            <v>0.17442539682539693</v>
          </cell>
          <cell r="J447">
            <v>0.25654700854700874</v>
          </cell>
          <cell r="K447">
            <v>8.3059340659340716E-2</v>
          </cell>
          <cell r="L447">
            <v>0.30552380952380975</v>
          </cell>
          <cell r="M447">
            <v>5.3206349206349243E-2</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row>
        <row r="448">
          <cell r="B448" t="str">
            <v>Caristes picking</v>
          </cell>
          <cell r="D448" t="str">
            <v>Caristes picking</v>
          </cell>
          <cell r="F448">
            <v>2.4495238095238112E-2</v>
          </cell>
          <cell r="G448">
            <v>3.6835164835164858E-2</v>
          </cell>
          <cell r="H448">
            <v>1.2574358974358983E-2</v>
          </cell>
          <cell r="I448">
            <v>0.15131428571428579</v>
          </cell>
          <cell r="J448">
            <v>0.22353113553113568</v>
          </cell>
          <cell r="K448">
            <v>7.31545787545788E-2</v>
          </cell>
          <cell r="L448">
            <v>0.25600000000000017</v>
          </cell>
          <cell r="M448">
            <v>4.495238095238098E-2</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row>
        <row r="449">
          <cell r="B449">
            <v>0</v>
          </cell>
          <cell r="D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row>
        <row r="450">
          <cell r="B450">
            <v>0</v>
          </cell>
          <cell r="D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row>
        <row r="451">
          <cell r="B451">
            <v>0</v>
          </cell>
          <cell r="D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row>
        <row r="453">
          <cell r="F453">
            <v>1</v>
          </cell>
          <cell r="G453">
            <v>2</v>
          </cell>
          <cell r="H453">
            <v>3</v>
          </cell>
          <cell r="I453">
            <v>4</v>
          </cell>
          <cell r="J453">
            <v>5</v>
          </cell>
          <cell r="K453">
            <v>6</v>
          </cell>
          <cell r="L453">
            <v>7</v>
          </cell>
          <cell r="M453">
            <v>8</v>
          </cell>
          <cell r="N453">
            <v>9</v>
          </cell>
          <cell r="O453">
            <v>10</v>
          </cell>
          <cell r="P453">
            <v>11</v>
          </cell>
          <cell r="Q453">
            <v>12</v>
          </cell>
          <cell r="R453">
            <v>13</v>
          </cell>
          <cell r="S453">
            <v>14</v>
          </cell>
          <cell r="T453">
            <v>15</v>
          </cell>
          <cell r="U453">
            <v>16</v>
          </cell>
          <cell r="V453">
            <v>17</v>
          </cell>
          <cell r="W453">
            <v>18</v>
          </cell>
          <cell r="X453">
            <v>19</v>
          </cell>
          <cell r="Y453">
            <v>20</v>
          </cell>
          <cell r="Z453">
            <v>21</v>
          </cell>
          <cell r="AA453">
            <v>22</v>
          </cell>
          <cell r="AB453">
            <v>23</v>
          </cell>
          <cell r="AC453">
            <v>24</v>
          </cell>
          <cell r="AD453">
            <v>25</v>
          </cell>
          <cell r="AE453">
            <v>26</v>
          </cell>
          <cell r="AF453">
            <v>27</v>
          </cell>
          <cell r="AG453">
            <v>28</v>
          </cell>
          <cell r="AH453">
            <v>29</v>
          </cell>
          <cell r="AI453">
            <v>30</v>
          </cell>
          <cell r="AJ453">
            <v>31</v>
          </cell>
          <cell r="AK453">
            <v>32</v>
          </cell>
          <cell r="AL453">
            <v>33</v>
          </cell>
          <cell r="AM453">
            <v>34</v>
          </cell>
          <cell r="AN453">
            <v>35</v>
          </cell>
          <cell r="AO453">
            <v>36</v>
          </cell>
          <cell r="AP453">
            <v>37</v>
          </cell>
          <cell r="AQ453">
            <v>38</v>
          </cell>
          <cell r="AR453">
            <v>39</v>
          </cell>
          <cell r="AS453">
            <v>40</v>
          </cell>
          <cell r="AT453">
            <v>41</v>
          </cell>
          <cell r="AU453">
            <v>42</v>
          </cell>
          <cell r="AV453">
            <v>43</v>
          </cell>
          <cell r="AW453">
            <v>44</v>
          </cell>
          <cell r="AX453">
            <v>45</v>
          </cell>
          <cell r="AY453">
            <v>46</v>
          </cell>
          <cell r="AZ453">
            <v>47</v>
          </cell>
          <cell r="BA453">
            <v>48</v>
          </cell>
          <cell r="BB453">
            <v>49</v>
          </cell>
          <cell r="BC453">
            <v>50</v>
          </cell>
          <cell r="BD453">
            <v>51</v>
          </cell>
          <cell r="BE453">
            <v>52</v>
          </cell>
          <cell r="BF453">
            <v>53</v>
          </cell>
          <cell r="BG453">
            <v>54</v>
          </cell>
          <cell r="BH453">
            <v>55</v>
          </cell>
          <cell r="BI453">
            <v>56</v>
          </cell>
          <cell r="BJ453">
            <v>57</v>
          </cell>
          <cell r="BK453">
            <v>58</v>
          </cell>
          <cell r="BL453">
            <v>59</v>
          </cell>
          <cell r="BM453">
            <v>60</v>
          </cell>
          <cell r="BN453">
            <v>61</v>
          </cell>
          <cell r="BO453">
            <v>62</v>
          </cell>
          <cell r="BP453">
            <v>63</v>
          </cell>
          <cell r="BQ453">
            <v>64</v>
          </cell>
          <cell r="BR453">
            <v>65</v>
          </cell>
          <cell r="BS453">
            <v>66</v>
          </cell>
          <cell r="BT453">
            <v>67</v>
          </cell>
          <cell r="BU453">
            <v>68</v>
          </cell>
          <cell r="BV453">
            <v>69</v>
          </cell>
          <cell r="BW453">
            <v>70</v>
          </cell>
          <cell r="BX453">
            <v>71</v>
          </cell>
          <cell r="BY453">
            <v>72</v>
          </cell>
          <cell r="BZ453">
            <v>73</v>
          </cell>
          <cell r="CA453">
            <v>74</v>
          </cell>
          <cell r="CB453">
            <v>75</v>
          </cell>
          <cell r="CC453">
            <v>76</v>
          </cell>
          <cell r="CD453">
            <v>77</v>
          </cell>
          <cell r="CE453">
            <v>78</v>
          </cell>
          <cell r="CF453">
            <v>79</v>
          </cell>
          <cell r="CG453">
            <v>80</v>
          </cell>
          <cell r="CH453">
            <v>81</v>
          </cell>
          <cell r="CI453">
            <v>82</v>
          </cell>
          <cell r="CJ453">
            <v>83</v>
          </cell>
          <cell r="CK453">
            <v>84</v>
          </cell>
          <cell r="CL453">
            <v>85</v>
          </cell>
          <cell r="CM453">
            <v>86</v>
          </cell>
          <cell r="CN453">
            <v>87</v>
          </cell>
          <cell r="CO453">
            <v>88</v>
          </cell>
          <cell r="CP453">
            <v>89</v>
          </cell>
          <cell r="CQ453">
            <v>90</v>
          </cell>
          <cell r="CR453">
            <v>91</v>
          </cell>
          <cell r="CS453">
            <v>92</v>
          </cell>
          <cell r="CT453">
            <v>93</v>
          </cell>
          <cell r="CU453">
            <v>94</v>
          </cell>
          <cell r="CV453">
            <v>95</v>
          </cell>
          <cell r="CW453">
            <v>96</v>
          </cell>
          <cell r="CX453">
            <v>97</v>
          </cell>
          <cell r="CY453">
            <v>98</v>
          </cell>
          <cell r="CZ453">
            <v>99</v>
          </cell>
          <cell r="DA453">
            <v>100</v>
          </cell>
        </row>
        <row r="454">
          <cell r="A454" t="str">
            <v>TOTAL SITE PROD°</v>
          </cell>
        </row>
        <row r="455">
          <cell r="B455" t="str">
            <v>Surfaces Stockage SF Injectés</v>
          </cell>
          <cell r="D455" t="str">
            <v>surfaces m² (réception)</v>
          </cell>
          <cell r="F455">
            <v>0</v>
          </cell>
          <cell r="G455">
            <v>0</v>
          </cell>
          <cell r="H455">
            <v>0</v>
          </cell>
          <cell r="I455">
            <v>158.928</v>
          </cell>
          <cell r="J455">
            <v>227.04000000000008</v>
          </cell>
          <cell r="K455">
            <v>68.112000000000009</v>
          </cell>
          <cell r="L455">
            <v>422.40000000000003</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row>
        <row r="456">
          <cell r="B456" t="str">
            <v>Surfaces Stockage SF Peints</v>
          </cell>
          <cell r="D456" t="str">
            <v>surfaces m² (non qualité + autres)</v>
          </cell>
          <cell r="F456">
            <v>57.791999999999994</v>
          </cell>
          <cell r="G456">
            <v>82.560000000000016</v>
          </cell>
          <cell r="H456">
            <v>24.768000000000001</v>
          </cell>
          <cell r="I456">
            <v>72.240000000000009</v>
          </cell>
          <cell r="J456">
            <v>103.20000000000003</v>
          </cell>
          <cell r="K456">
            <v>30.96</v>
          </cell>
          <cell r="L456">
            <v>148.32</v>
          </cell>
          <cell r="M456">
            <v>165.12</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row>
        <row r="459">
          <cell r="D459" t="str">
            <v xml:space="preserve">Caristes réception/stockage </v>
          </cell>
        </row>
        <row r="460">
          <cell r="B460" t="str">
            <v>Cariste appro. SF</v>
          </cell>
          <cell r="D460" t="str">
            <v>Caristes picking</v>
          </cell>
          <cell r="F460">
            <v>0</v>
          </cell>
          <cell r="G460">
            <v>0</v>
          </cell>
          <cell r="H460">
            <v>0</v>
          </cell>
          <cell r="I460">
            <v>5.1094276094276123E-2</v>
          </cell>
          <cell r="J460">
            <v>7.2991822991823052E-2</v>
          </cell>
          <cell r="K460">
            <v>2.1897546897546912E-2</v>
          </cell>
          <cell r="L460">
            <v>0.21897546897546916</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row>
        <row r="461">
          <cell r="B461" t="str">
            <v>Opérateur picking SF          (si TEINTES MASSE : voir onglet SF peints)</v>
          </cell>
          <cell r="D461">
            <v>0</v>
          </cell>
          <cell r="F461">
            <v>0</v>
          </cell>
          <cell r="G461">
            <v>0</v>
          </cell>
          <cell r="H461">
            <v>0</v>
          </cell>
          <cell r="I461">
            <v>0.15328282828282835</v>
          </cell>
          <cell r="J461">
            <v>0.21897546897546916</v>
          </cell>
          <cell r="K461">
            <v>6.5692640692640733E-2</v>
          </cell>
          <cell r="L461">
            <v>0.43795093795093826</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row>
        <row r="462">
          <cell r="B462" t="str">
            <v>MOD autre</v>
          </cell>
          <cell r="D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row>
        <row r="464">
          <cell r="B464" t="str">
            <v>Chefs d'équipe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row>
        <row r="465">
          <cell r="B465" t="str">
            <v>Gestionnaire flux</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row>
        <row r="466">
          <cell r="B466" t="str">
            <v xml:space="preserve">MOI autre </v>
          </cell>
          <cell r="D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row>
      </sheetData>
      <sheetData sheetId="9" refreshError="1">
        <row r="118">
          <cell r="AY118">
            <v>1</v>
          </cell>
          <cell r="BB118">
            <v>4.875</v>
          </cell>
          <cell r="BP118">
            <v>1</v>
          </cell>
          <cell r="BS118">
            <v>2</v>
          </cell>
        </row>
        <row r="119">
          <cell r="AY119">
            <v>2</v>
          </cell>
          <cell r="BB119">
            <v>0</v>
          </cell>
          <cell r="BP119">
            <v>2</v>
          </cell>
          <cell r="BS119">
            <v>0</v>
          </cell>
        </row>
        <row r="120">
          <cell r="AY120">
            <v>3</v>
          </cell>
          <cell r="BB120">
            <v>0</v>
          </cell>
          <cell r="BP120">
            <v>3</v>
          </cell>
          <cell r="BS120">
            <v>0</v>
          </cell>
        </row>
        <row r="121">
          <cell r="AY121">
            <v>4</v>
          </cell>
          <cell r="BB121">
            <v>0</v>
          </cell>
          <cell r="BP121">
            <v>4</v>
          </cell>
          <cell r="BS121">
            <v>0</v>
          </cell>
        </row>
        <row r="122">
          <cell r="AY122">
            <v>5</v>
          </cell>
          <cell r="BB122">
            <v>0</v>
          </cell>
          <cell r="BP122">
            <v>5</v>
          </cell>
          <cell r="BS122">
            <v>0</v>
          </cell>
        </row>
        <row r="123">
          <cell r="AY123">
            <v>6</v>
          </cell>
          <cell r="BB123">
            <v>0</v>
          </cell>
          <cell r="BP123">
            <v>6</v>
          </cell>
          <cell r="BS12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M2">
            <v>1</v>
          </cell>
          <cell r="N2">
            <v>2</v>
          </cell>
          <cell r="O2">
            <v>3</v>
          </cell>
          <cell r="P2">
            <v>4</v>
          </cell>
          <cell r="Q2">
            <v>5</v>
          </cell>
          <cell r="R2">
            <v>6</v>
          </cell>
          <cell r="S2">
            <v>7</v>
          </cell>
          <cell r="T2">
            <v>8</v>
          </cell>
          <cell r="U2">
            <v>9</v>
          </cell>
          <cell r="V2">
            <v>10</v>
          </cell>
          <cell r="W2">
            <v>11</v>
          </cell>
          <cell r="X2">
            <v>12</v>
          </cell>
          <cell r="Y2">
            <v>13</v>
          </cell>
          <cell r="Z2">
            <v>14</v>
          </cell>
          <cell r="AA2">
            <v>15</v>
          </cell>
          <cell r="AB2">
            <v>16</v>
          </cell>
          <cell r="AC2">
            <v>17</v>
          </cell>
          <cell r="AD2">
            <v>18</v>
          </cell>
          <cell r="AE2">
            <v>19</v>
          </cell>
          <cell r="AF2">
            <v>20</v>
          </cell>
          <cell r="AG2">
            <v>21</v>
          </cell>
          <cell r="AH2">
            <v>22</v>
          </cell>
          <cell r="AI2">
            <v>23</v>
          </cell>
          <cell r="AJ2">
            <v>24</v>
          </cell>
          <cell r="AK2">
            <v>25</v>
          </cell>
          <cell r="AL2">
            <v>26</v>
          </cell>
          <cell r="AM2">
            <v>27</v>
          </cell>
          <cell r="AN2">
            <v>28</v>
          </cell>
          <cell r="AO2">
            <v>29</v>
          </cell>
          <cell r="AP2">
            <v>30</v>
          </cell>
        </row>
        <row r="4">
          <cell r="C4" t="str">
            <v>Désignation/Code</v>
          </cell>
          <cell r="D4" t="str">
            <v>Détail</v>
          </cell>
          <cell r="E4" t="str">
            <v>L</v>
          </cell>
          <cell r="F4" t="str">
            <v>l</v>
          </cell>
          <cell r="G4" t="str">
            <v>H</v>
          </cell>
          <cell r="H4" t="str">
            <v>L x l x H</v>
          </cell>
          <cell r="I4" t="str">
            <v>moyenne horaire</v>
          </cell>
          <cell r="M4" t="str">
            <v>Interne France</v>
          </cell>
          <cell r="N4" t="str">
            <v>Interne Grande-Bretagne</v>
          </cell>
          <cell r="O4" t="str">
            <v>Interne Espagne</v>
          </cell>
          <cell r="P4" t="str">
            <v>France &gt; Espagne</v>
          </cell>
          <cell r="Q4" t="str">
            <v>France &gt; GB</v>
          </cell>
        </row>
        <row r="6">
          <cell r="C6" t="str">
            <v>A</v>
          </cell>
          <cell r="D6" t="str">
            <v>SR standard - bas</v>
          </cell>
          <cell r="E6">
            <v>13.5</v>
          </cell>
          <cell r="F6">
            <v>2.4</v>
          </cell>
          <cell r="G6">
            <v>2.4</v>
          </cell>
          <cell r="H6" t="str">
            <v>13.5 m x 2.4 m x 2.4 m</v>
          </cell>
          <cell r="I6">
            <v>65</v>
          </cell>
          <cell r="M6">
            <v>1.07</v>
          </cell>
          <cell r="N6">
            <v>1.65</v>
          </cell>
          <cell r="O6">
            <v>0.92</v>
          </cell>
        </row>
        <row r="7">
          <cell r="C7" t="str">
            <v>B</v>
          </cell>
          <cell r="D7" t="str">
            <v>SR standard - ht standard</v>
          </cell>
          <cell r="E7">
            <v>13.5</v>
          </cell>
          <cell r="F7">
            <v>2.4</v>
          </cell>
          <cell r="G7">
            <v>2.7</v>
          </cell>
          <cell r="H7" t="str">
            <v>13.5 m x 2.4 m x 2.7 m</v>
          </cell>
          <cell r="I7">
            <v>65</v>
          </cell>
          <cell r="M7">
            <v>1.07</v>
          </cell>
          <cell r="N7">
            <v>1.65</v>
          </cell>
          <cell r="O7">
            <v>0.92</v>
          </cell>
        </row>
        <row r="8">
          <cell r="C8" t="str">
            <v>C</v>
          </cell>
          <cell r="D8" t="str">
            <v>SR standard - réhaussé</v>
          </cell>
          <cell r="E8">
            <v>13.5</v>
          </cell>
          <cell r="F8">
            <v>2.4</v>
          </cell>
          <cell r="G8">
            <v>3</v>
          </cell>
          <cell r="H8" t="str">
            <v>13.5 m x 2.4 m x 3 m</v>
          </cell>
          <cell r="I8">
            <v>65</v>
          </cell>
          <cell r="M8">
            <v>1.07</v>
          </cell>
          <cell r="N8">
            <v>1.65</v>
          </cell>
          <cell r="O8">
            <v>0.92</v>
          </cell>
        </row>
        <row r="9">
          <cell r="C9" t="str">
            <v>D</v>
          </cell>
          <cell r="D9" t="str">
            <v>Remorque - bas</v>
          </cell>
          <cell r="E9">
            <v>15.5</v>
          </cell>
          <cell r="F9">
            <v>2.4</v>
          </cell>
          <cell r="G9">
            <v>2.4</v>
          </cell>
          <cell r="H9" t="str">
            <v>15.5 m x 2.4 m x 2.4 m</v>
          </cell>
          <cell r="I9">
            <v>65</v>
          </cell>
          <cell r="M9">
            <v>1.07</v>
          </cell>
          <cell r="N9">
            <v>1.65</v>
          </cell>
          <cell r="O9">
            <v>0.92</v>
          </cell>
        </row>
        <row r="10">
          <cell r="C10" t="str">
            <v>E</v>
          </cell>
          <cell r="D10" t="str">
            <v>Remorque - ht standard</v>
          </cell>
          <cell r="E10">
            <v>15.5</v>
          </cell>
          <cell r="F10">
            <v>2.4</v>
          </cell>
          <cell r="G10">
            <v>2.7</v>
          </cell>
          <cell r="H10" t="str">
            <v>15.5 m x 2.4 m x 2.7 m</v>
          </cell>
          <cell r="I10">
            <v>65</v>
          </cell>
          <cell r="M10">
            <v>1.07</v>
          </cell>
          <cell r="N10">
            <v>1.65</v>
          </cell>
          <cell r="O10">
            <v>0.92</v>
          </cell>
        </row>
        <row r="11">
          <cell r="C11" t="str">
            <v>F</v>
          </cell>
          <cell r="D11" t="str">
            <v>Remorque - réhaussé</v>
          </cell>
          <cell r="E11">
            <v>15.5</v>
          </cell>
          <cell r="F11">
            <v>2.4</v>
          </cell>
          <cell r="G11">
            <v>3</v>
          </cell>
          <cell r="H11" t="str">
            <v>15.5 m x 2.4 m x 3 m</v>
          </cell>
          <cell r="I11">
            <v>65</v>
          </cell>
          <cell r="M11">
            <v>1.07</v>
          </cell>
          <cell r="N11">
            <v>1.65</v>
          </cell>
          <cell r="O11">
            <v>0.92</v>
          </cell>
        </row>
        <row r="12">
          <cell r="C12" t="str">
            <v>G</v>
          </cell>
          <cell r="D12" t="str">
            <v>Porteur - bas</v>
          </cell>
          <cell r="E12">
            <v>12.19</v>
          </cell>
          <cell r="F12">
            <v>2.4</v>
          </cell>
          <cell r="G12">
            <v>2.4</v>
          </cell>
          <cell r="H12" t="str">
            <v>12.19 m x 2.4 m x 2.4 m</v>
          </cell>
          <cell r="I12">
            <v>65</v>
          </cell>
          <cell r="M12">
            <v>1.07</v>
          </cell>
          <cell r="N12">
            <v>1.65</v>
          </cell>
          <cell r="O12">
            <v>0.92</v>
          </cell>
        </row>
        <row r="13">
          <cell r="C13" t="str">
            <v>H</v>
          </cell>
          <cell r="D13" t="str">
            <v>Porteur - ht standard</v>
          </cell>
          <cell r="E13">
            <v>12.19</v>
          </cell>
          <cell r="F13">
            <v>2.4</v>
          </cell>
          <cell r="G13">
            <v>2.7</v>
          </cell>
          <cell r="H13" t="str">
            <v>12.19 m x 2.4 m x 2.7 m</v>
          </cell>
          <cell r="I13">
            <v>65</v>
          </cell>
          <cell r="M13">
            <v>1.07</v>
          </cell>
          <cell r="N13">
            <v>1.65</v>
          </cell>
          <cell r="O13">
            <v>0.92</v>
          </cell>
        </row>
        <row r="14">
          <cell r="C14" t="str">
            <v>I</v>
          </cell>
          <cell r="D14" t="str">
            <v>Porteur - réhaussé</v>
          </cell>
          <cell r="E14">
            <v>12.19</v>
          </cell>
          <cell r="F14">
            <v>2.4</v>
          </cell>
          <cell r="G14">
            <v>3</v>
          </cell>
          <cell r="H14" t="str">
            <v>12.19 m x 2.4 m x 3 m</v>
          </cell>
          <cell r="I14">
            <v>65</v>
          </cell>
          <cell r="M14">
            <v>1.07</v>
          </cell>
          <cell r="N14">
            <v>1.65</v>
          </cell>
          <cell r="O14">
            <v>0.92</v>
          </cell>
        </row>
        <row r="15">
          <cell r="H15" t="str">
            <v xml:space="preserve"> m x  m x  m</v>
          </cell>
        </row>
        <row r="16">
          <cell r="H16" t="str">
            <v xml:space="preserve"> m x  m x  m</v>
          </cell>
        </row>
        <row r="17">
          <cell r="H17" t="str">
            <v xml:space="preserve"> m x  m x  m</v>
          </cell>
        </row>
        <row r="18">
          <cell r="H18" t="str">
            <v xml:space="preserve"> m x  m x  m</v>
          </cell>
        </row>
        <row r="19">
          <cell r="H19" t="str">
            <v xml:space="preserve"> m x  m x  m</v>
          </cell>
        </row>
        <row r="20">
          <cell r="H20" t="str">
            <v xml:space="preserve"> m x  m x  m</v>
          </cell>
        </row>
        <row r="21">
          <cell r="H21" t="str">
            <v xml:space="preserve"> m x  m x  m</v>
          </cell>
        </row>
        <row r="22">
          <cell r="H22" t="str">
            <v xml:space="preserve"> m x  m x  m</v>
          </cell>
        </row>
        <row r="23">
          <cell r="H23" t="str">
            <v xml:space="preserve"> m x  m x  m</v>
          </cell>
        </row>
        <row r="24">
          <cell r="H24" t="str">
            <v xml:space="preserve"> m x  m x  m</v>
          </cell>
        </row>
        <row r="25">
          <cell r="H25" t="str">
            <v xml:space="preserve"> m x  m x  m</v>
          </cell>
        </row>
        <row r="26">
          <cell r="H26" t="str">
            <v xml:space="preserve"> m x  m x  m</v>
          </cell>
        </row>
        <row r="27">
          <cell r="H27" t="str">
            <v xml:space="preserve"> m x  m x  m</v>
          </cell>
        </row>
        <row r="28">
          <cell r="H28" t="str">
            <v xml:space="preserve"> m x  m x  m</v>
          </cell>
        </row>
        <row r="29">
          <cell r="H29" t="str">
            <v xml:space="preserve"> m x  m x  m</v>
          </cell>
        </row>
        <row r="30">
          <cell r="H30" t="str">
            <v xml:space="preserve"> m x  m x  m</v>
          </cell>
        </row>
        <row r="31">
          <cell r="H31" t="str">
            <v xml:space="preserve"> m x  m x  m</v>
          </cell>
        </row>
        <row r="32">
          <cell r="H32" t="str">
            <v xml:space="preserve"> m x  m x  m</v>
          </cell>
        </row>
        <row r="33">
          <cell r="H33" t="str">
            <v xml:space="preserve"> m x  m x  m</v>
          </cell>
        </row>
        <row r="34">
          <cell r="H34" t="str">
            <v xml:space="preserve"> m x  m x  m</v>
          </cell>
        </row>
        <row r="35">
          <cell r="H35" t="str">
            <v xml:space="preserve"> m x  m x  m</v>
          </cell>
        </row>
      </sheetData>
      <sheetData sheetId="20" refreshError="1"/>
      <sheetData sheetId="2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euil1"/>
      <sheetName val="Consultas"/>
      <sheetName val="Cantidad Operarios"/>
      <sheetName val="RESUMEN"/>
      <sheetName val="Distribución"/>
      <sheetName val="Pallets-Libreria"/>
      <sheetName val="Gts. Grales"/>
      <sheetName val="Sistemas"/>
      <sheetName val="Salarios"/>
      <sheetName val="RRHH"/>
      <sheetName val="RESUMEN COSTOS"/>
      <sheetName val="Transporte"/>
      <sheetName val="TARIFARIO"/>
      <sheetName val="COTIZACIÓN REDESPACHO"/>
      <sheetName val="BUDGET"/>
      <sheetName val="Shipping DB"/>
      <sheetName val="Project"/>
      <sheetName val="B.O.M."/>
      <sheetName val="Cyclogrammes"/>
      <sheetName val="BP_PRA07_070-00"/>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REVISION 311297"/>
      <sheetName val="PREVISION 300998"/>
      <sheetName val="AREA"/>
      <sheetName val="Hoja1"/>
      <sheetName val="DEUDORES EN GESTION"/>
      <sheetName val="COBRANZA"/>
      <sheetName val="DEUD. A PREVISIONAR '98"/>
      <sheetName val="CONSULTAS"/>
      <sheetName val="INFORME A SUCURSALES"/>
      <sheetName val="INFORME ABOGADO"/>
      <sheetName val="INFORME DE INCOBRABLES"/>
      <sheetName val="DEUDORES A PREVISIONAR '98 (2)"/>
      <sheetName val="Incstat"/>
      <sheetName val="BUDGET"/>
      <sheetName val="Salario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ENU"/>
      <sheetName val="Activite"/>
      <sheetName val="Automotive"/>
      <sheetName val="Network"/>
      <sheetName val="Supply"/>
      <sheetName val="Retrieve"/>
      <sheetName val="BzEcon"/>
      <sheetName val="DEUDORES EN GESTION"/>
      <sheetName val="cofor"/>
      <sheetName val="#REF"/>
    </sheetNames>
    <sheetDataSet>
      <sheetData sheetId="0" refreshError="1">
        <row r="9">
          <cell r="G9">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enu"/>
      <sheetName val="Data"/>
      <sheetName val="Units"/>
      <sheetName val="Param"/>
      <sheetName val="calcul coeff"/>
      <sheetName val="FlowChart"/>
      <sheetName val="Brouillon"/>
      <sheetName val="gammes"/>
      <sheetName val="Cyclo + Transp Aval"/>
      <sheetName val="Calcul Surface"/>
      <sheetName val="Taxes"/>
      <sheetName val="Synthese Gamme"/>
      <sheetName val="Saisonnalite"/>
      <sheetName val="Budget"/>
      <sheetName val="Synthese Dossier"/>
      <sheetName val="Organigramme"/>
      <sheetName val="Compte Exploit"/>
      <sheetName val="Cpte Exploit_5ans"/>
      <sheetName val="Cpte Exploit Simpl_5ans"/>
    </sheetNames>
    <sheetDataSet>
      <sheetData sheetId="0" refreshError="1"/>
      <sheetData sheetId="1" refreshError="1"/>
      <sheetData sheetId="2" refreshError="1"/>
      <sheetData sheetId="3" refreshError="1">
        <row r="6">
          <cell r="M6" t="str">
            <v>'Param'!$D$7:$D$14</v>
          </cell>
        </row>
        <row r="7">
          <cell r="D7" t="str">
            <v>ADM-Agent administratif log</v>
          </cell>
          <cell r="E7">
            <v>1387</v>
          </cell>
          <cell r="F7">
            <v>2.0215956046532932</v>
          </cell>
          <cell r="G7">
            <v>12</v>
          </cell>
          <cell r="H7">
            <v>33647.43724384941</v>
          </cell>
          <cell r="J7">
            <v>2.5141227701751552</v>
          </cell>
          <cell r="K7">
            <v>41845.059386795285</v>
          </cell>
        </row>
        <row r="8">
          <cell r="D8" t="str">
            <v>CAR R-Cariste RECOR</v>
          </cell>
          <cell r="E8">
            <v>1317</v>
          </cell>
          <cell r="F8">
            <v>2.038989268932065</v>
          </cell>
          <cell r="G8">
            <v>12</v>
          </cell>
          <cell r="H8">
            <v>32224.18640620236</v>
          </cell>
          <cell r="J8">
            <v>2.5576947955674658</v>
          </cell>
          <cell r="K8">
            <v>40421.808549148234</v>
          </cell>
        </row>
        <row r="9">
          <cell r="D9" t="str">
            <v>CAR S-Cariste Synchrone</v>
          </cell>
          <cell r="E9">
            <v>1317</v>
          </cell>
          <cell r="F9">
            <v>2.0445737625326794</v>
          </cell>
          <cell r="G9">
            <v>12</v>
          </cell>
          <cell r="H9">
            <v>32312.443743066469</v>
          </cell>
          <cell r="J9">
            <v>2.5716842398311544</v>
          </cell>
          <cell r="K9">
            <v>40642.897726291565</v>
          </cell>
        </row>
        <row r="10">
          <cell r="D10" t="str">
            <v>CAR CHS-Cariste chargement Syn</v>
          </cell>
          <cell r="E10">
            <v>1317</v>
          </cell>
          <cell r="F10">
            <v>2.0445737625326794</v>
          </cell>
          <cell r="G10">
            <v>12</v>
          </cell>
          <cell r="H10">
            <v>32312.443743066469</v>
          </cell>
          <cell r="J10">
            <v>2.5716842398311544</v>
          </cell>
          <cell r="K10">
            <v>40642.897726291565</v>
          </cell>
        </row>
        <row r="11">
          <cell r="D11" t="str">
            <v>PCO-Préparateur synchrone</v>
          </cell>
          <cell r="E11">
            <v>1357</v>
          </cell>
          <cell r="F11">
            <v>2.0288302996280718</v>
          </cell>
          <cell r="G11">
            <v>12</v>
          </cell>
          <cell r="H11">
            <v>33037.472599143519</v>
          </cell>
          <cell r="J11">
            <v>2.5322460539234468</v>
          </cell>
          <cell r="K11">
            <v>41235.094742089408</v>
          </cell>
        </row>
        <row r="12">
          <cell r="D12" t="str">
            <v>PEM-Préparateur emballeur</v>
          </cell>
          <cell r="E12">
            <v>1296</v>
          </cell>
          <cell r="F12">
            <v>2.0445737625326794</v>
          </cell>
          <cell r="G12">
            <v>12</v>
          </cell>
          <cell r="H12">
            <v>31797.211154908233</v>
          </cell>
          <cell r="J12">
            <v>2.5716842398311544</v>
          </cell>
          <cell r="K12">
            <v>39994.833297854115</v>
          </cell>
        </row>
        <row r="13">
          <cell r="D13" t="str">
            <v>CHA-Chauffeur</v>
          </cell>
          <cell r="E13">
            <v>1299</v>
          </cell>
          <cell r="F13">
            <v>2.0437649229778558</v>
          </cell>
          <cell r="G13">
            <v>12</v>
          </cell>
          <cell r="H13">
            <v>31858.207619378816</v>
          </cell>
          <cell r="J13">
            <v>2.5696580550631709</v>
          </cell>
          <cell r="K13">
            <v>40055.829762324713</v>
          </cell>
        </row>
        <row r="14">
          <cell r="D14" t="str">
            <v>CAB-Cariste Bord de ligne</v>
          </cell>
          <cell r="E14">
            <v>1317</v>
          </cell>
          <cell r="F14">
            <v>2.038989268932065</v>
          </cell>
          <cell r="G14">
            <v>12</v>
          </cell>
          <cell r="H14">
            <v>32224.18640620236</v>
          </cell>
          <cell r="J14">
            <v>2.5576947955674658</v>
          </cell>
          <cell r="K14">
            <v>40421.808549148234</v>
          </cell>
        </row>
        <row r="15">
          <cell r="D15" t="str">
            <v>-</v>
          </cell>
          <cell r="E15">
            <v>1299</v>
          </cell>
          <cell r="F15">
            <v>2.0437649229778558</v>
          </cell>
          <cell r="G15">
            <v>12</v>
          </cell>
          <cell r="H15">
            <v>31858.207619378816</v>
          </cell>
          <cell r="J15">
            <v>2.5696580550631709</v>
          </cell>
          <cell r="K15">
            <v>40055.829762324713</v>
          </cell>
        </row>
        <row r="16">
          <cell r="D16" t="str">
            <v>-</v>
          </cell>
          <cell r="F16">
            <v>2.0437649229778558</v>
          </cell>
          <cell r="G16">
            <v>12</v>
          </cell>
          <cell r="H16">
            <v>0</v>
          </cell>
          <cell r="J16">
            <v>2.5696580550631709</v>
          </cell>
          <cell r="K16">
            <v>0</v>
          </cell>
        </row>
        <row r="17">
          <cell r="D17" t="str">
            <v>-</v>
          </cell>
          <cell r="F17">
            <v>2.0437649229778558</v>
          </cell>
          <cell r="G17">
            <v>12</v>
          </cell>
          <cell r="H17">
            <v>0</v>
          </cell>
          <cell r="J17">
            <v>2.5696580550631709</v>
          </cell>
          <cell r="K17">
            <v>0</v>
          </cell>
        </row>
        <row r="18">
          <cell r="D18" t="str">
            <v>-</v>
          </cell>
          <cell r="G18">
            <v>12</v>
          </cell>
          <cell r="H18">
            <v>0</v>
          </cell>
          <cell r="K18">
            <v>0</v>
          </cell>
        </row>
        <row r="19">
          <cell r="D19" t="str">
            <v>-</v>
          </cell>
          <cell r="G19">
            <v>12</v>
          </cell>
          <cell r="H19">
            <v>0</v>
          </cell>
          <cell r="K19">
            <v>0</v>
          </cell>
        </row>
        <row r="20">
          <cell r="D20" t="str">
            <v>-</v>
          </cell>
          <cell r="G20">
            <v>12</v>
          </cell>
          <cell r="H20">
            <v>0</v>
          </cell>
          <cell r="K20">
            <v>0</v>
          </cell>
        </row>
        <row r="21">
          <cell r="D21" t="str">
            <v>-</v>
          </cell>
          <cell r="G21">
            <v>12</v>
          </cell>
          <cell r="H21">
            <v>0</v>
          </cell>
          <cell r="K21">
            <v>0</v>
          </cell>
        </row>
        <row r="22">
          <cell r="D22" t="str">
            <v>-</v>
          </cell>
          <cell r="G22">
            <v>12</v>
          </cell>
          <cell r="H22">
            <v>0</v>
          </cell>
          <cell r="K22">
            <v>0</v>
          </cell>
        </row>
        <row r="23">
          <cell r="D23" t="str">
            <v>-</v>
          </cell>
          <cell r="G23">
            <v>12</v>
          </cell>
          <cell r="H23">
            <v>0</v>
          </cell>
          <cell r="K23">
            <v>0</v>
          </cell>
        </row>
        <row r="24">
          <cell r="D24" t="str">
            <v>-</v>
          </cell>
          <cell r="G24">
            <v>12</v>
          </cell>
          <cell r="H24">
            <v>0</v>
          </cell>
          <cell r="K24">
            <v>0</v>
          </cell>
        </row>
        <row r="25">
          <cell r="D25" t="str">
            <v>-</v>
          </cell>
          <cell r="G25">
            <v>12</v>
          </cell>
          <cell r="H25">
            <v>0</v>
          </cell>
          <cell r="K25">
            <v>0</v>
          </cell>
        </row>
        <row r="26">
          <cell r="D26" t="str">
            <v>-</v>
          </cell>
          <cell r="G26">
            <v>12</v>
          </cell>
          <cell r="H26">
            <v>0</v>
          </cell>
          <cell r="K26">
            <v>0</v>
          </cell>
        </row>
        <row r="27">
          <cell r="D27" t="str">
            <v>-</v>
          </cell>
          <cell r="G27">
            <v>12</v>
          </cell>
          <cell r="H27">
            <v>0</v>
          </cell>
          <cell r="K27">
            <v>0</v>
          </cell>
        </row>
        <row r="28">
          <cell r="D28" t="str">
            <v>-</v>
          </cell>
          <cell r="G28">
            <v>12</v>
          </cell>
          <cell r="H28">
            <v>0</v>
          </cell>
          <cell r="K28">
            <v>0</v>
          </cell>
        </row>
        <row r="29">
          <cell r="D29" t="str">
            <v>-</v>
          </cell>
          <cell r="G29">
            <v>12</v>
          </cell>
          <cell r="H29">
            <v>0</v>
          </cell>
          <cell r="K29">
            <v>0</v>
          </cell>
        </row>
        <row r="30">
          <cell r="D30" t="str">
            <v>-</v>
          </cell>
          <cell r="G30">
            <v>12</v>
          </cell>
          <cell r="H30">
            <v>0</v>
          </cell>
          <cell r="K30">
            <v>0</v>
          </cell>
        </row>
        <row r="35">
          <cell r="D35" t="str">
            <v>AOR-Agent ordonnancement</v>
          </cell>
          <cell r="E35">
            <v>1387</v>
          </cell>
          <cell r="F35">
            <v>2.0215956046532932</v>
          </cell>
          <cell r="G35">
            <v>12</v>
          </cell>
          <cell r="H35">
            <v>33647.43724384941</v>
          </cell>
          <cell r="J35">
            <v>2.5141227701751552</v>
          </cell>
          <cell r="K35">
            <v>41845.059386795285</v>
          </cell>
        </row>
        <row r="36">
          <cell r="D36" t="str">
            <v>APV-Animateur prévention</v>
          </cell>
          <cell r="E36">
            <v>1800</v>
          </cell>
          <cell r="F36">
            <v>1.9465100549058822</v>
          </cell>
          <cell r="G36">
            <v>12</v>
          </cell>
          <cell r="H36">
            <v>42044.617185967058</v>
          </cell>
          <cell r="J36">
            <v>2.3260295985607846</v>
          </cell>
          <cell r="K36">
            <v>50242.23932891294</v>
          </cell>
        </row>
        <row r="37">
          <cell r="D37" t="str">
            <v>AQS-Animateur qualité site</v>
          </cell>
          <cell r="E37">
            <v>1800</v>
          </cell>
          <cell r="F37">
            <v>1.9465100549058822</v>
          </cell>
          <cell r="G37">
            <v>12</v>
          </cell>
          <cell r="H37">
            <v>42044.617185967058</v>
          </cell>
          <cell r="J37">
            <v>2.3260295985607846</v>
          </cell>
          <cell r="K37">
            <v>50242.23932891294</v>
          </cell>
        </row>
        <row r="38">
          <cell r="D38" t="str">
            <v>CEL-Chef d'équipe log</v>
          </cell>
          <cell r="E38">
            <v>1800</v>
          </cell>
          <cell r="F38">
            <v>1.9465100549058822</v>
          </cell>
          <cell r="G38">
            <v>12</v>
          </cell>
          <cell r="H38">
            <v>42044.617185967058</v>
          </cell>
          <cell r="J38">
            <v>2.3260295985607846</v>
          </cell>
          <cell r="K38">
            <v>50242.23932891294</v>
          </cell>
        </row>
        <row r="39">
          <cell r="D39" t="str">
            <v>COP-Correspondant personnel</v>
          </cell>
          <cell r="E39">
            <v>1800</v>
          </cell>
          <cell r="F39">
            <v>1.9465100549058822</v>
          </cell>
          <cell r="G39">
            <v>12</v>
          </cell>
          <cell r="H39">
            <v>42044.617185967058</v>
          </cell>
          <cell r="J39">
            <v>2.3260295985607846</v>
          </cell>
          <cell r="K39">
            <v>50242.23932891294</v>
          </cell>
        </row>
        <row r="40">
          <cell r="D40" t="str">
            <v>CQP-Contrôleur qualité produit</v>
          </cell>
          <cell r="E40">
            <v>1464</v>
          </cell>
          <cell r="F40">
            <v>2.0043837184233371</v>
          </cell>
          <cell r="G40">
            <v>12</v>
          </cell>
          <cell r="H40">
            <v>35213.013165261182</v>
          </cell>
          <cell r="J40">
            <v>2.4710061081629693</v>
          </cell>
          <cell r="K40">
            <v>43410.635308207042</v>
          </cell>
        </row>
        <row r="41">
          <cell r="D41" t="str">
            <v>GLT-Gestionnaire litiges</v>
          </cell>
          <cell r="E41">
            <v>1387</v>
          </cell>
          <cell r="F41">
            <v>2.0215956046532932</v>
          </cell>
          <cell r="G41">
            <v>12</v>
          </cell>
          <cell r="H41">
            <v>33647.43724384941</v>
          </cell>
          <cell r="J41">
            <v>2.5141227701751552</v>
          </cell>
          <cell r="K41">
            <v>41845.059386795285</v>
          </cell>
        </row>
        <row r="42">
          <cell r="D42" t="str">
            <v>GMA-Gestionnaire matières</v>
          </cell>
          <cell r="E42">
            <v>1418</v>
          </cell>
          <cell r="F42">
            <v>2.0144413518675846</v>
          </cell>
          <cell r="G42">
            <v>12</v>
          </cell>
          <cell r="H42">
            <v>34277.734043378819</v>
          </cell>
          <cell r="J42">
            <v>2.4962009982560351</v>
          </cell>
          <cell r="K42">
            <v>42475.356186324694</v>
          </cell>
        </row>
        <row r="43">
          <cell r="D43" t="str">
            <v>GSK-Gestionnaire stocks</v>
          </cell>
          <cell r="E43">
            <v>1418</v>
          </cell>
          <cell r="F43">
            <v>2.0144413518675846</v>
          </cell>
          <cell r="G43">
            <v>12</v>
          </cell>
          <cell r="H43">
            <v>34277.734043378819</v>
          </cell>
          <cell r="J43">
            <v>2.4962009982560351</v>
          </cell>
          <cell r="K43">
            <v>42475.356186324694</v>
          </cell>
        </row>
        <row r="44">
          <cell r="D44" t="str">
            <v>MFO-Moniteur formateur</v>
          </cell>
          <cell r="E44">
            <v>1683</v>
          </cell>
          <cell r="F44">
            <v>1.9640401600125821</v>
          </cell>
          <cell r="G44">
            <v>12</v>
          </cell>
          <cell r="H44">
            <v>39665.755071614105</v>
          </cell>
          <cell r="J44">
            <v>2.3699434152584673</v>
          </cell>
          <cell r="K44">
            <v>47863.377214560001</v>
          </cell>
        </row>
        <row r="45">
          <cell r="D45" t="str">
            <v>PFX-Pilote flux</v>
          </cell>
          <cell r="E45">
            <v>1464</v>
          </cell>
          <cell r="F45">
            <v>2.0043837184233371</v>
          </cell>
          <cell r="G45">
            <v>12</v>
          </cell>
          <cell r="H45">
            <v>35213.013165261182</v>
          </cell>
          <cell r="J45">
            <v>2.4710061081629693</v>
          </cell>
          <cell r="K45">
            <v>43410.635308207042</v>
          </cell>
        </row>
        <row r="46">
          <cell r="D46" t="str">
            <v>RAD-Resp administratif site</v>
          </cell>
          <cell r="E46">
            <v>1954</v>
          </cell>
          <cell r="F46">
            <v>1.9266363454789568</v>
          </cell>
          <cell r="G46">
            <v>12</v>
          </cell>
          <cell r="H46">
            <v>45175.769028790579</v>
          </cell>
          <cell r="J46">
            <v>2.2762449322644343</v>
          </cell>
          <cell r="K46">
            <v>53373.391171736454</v>
          </cell>
        </row>
        <row r="47">
          <cell r="D47" t="str">
            <v>REX-Resp d'exploitation ETAM</v>
          </cell>
          <cell r="E47">
            <v>2309</v>
          </cell>
          <cell r="F47">
            <v>1.8909226213058867</v>
          </cell>
          <cell r="G47">
            <v>12</v>
          </cell>
          <cell r="H47">
            <v>52393.683991143509</v>
          </cell>
          <cell r="J47">
            <v>2.1867802127215747</v>
          </cell>
          <cell r="K47">
            <v>60591.306134089391</v>
          </cell>
        </row>
        <row r="48">
          <cell r="D48" t="str">
            <v>TME-Technicien méthodes</v>
          </cell>
          <cell r="E48">
            <v>2156</v>
          </cell>
          <cell r="F48">
            <v>1.904872615303939</v>
          </cell>
          <cell r="G48">
            <v>12</v>
          </cell>
          <cell r="H48">
            <v>49282.864303143506</v>
          </cell>
          <cell r="J48">
            <v>2.2217256665928189</v>
          </cell>
          <cell r="K48">
            <v>57480.486446089402</v>
          </cell>
        </row>
        <row r="49">
          <cell r="D49" t="str">
            <v>-</v>
          </cell>
          <cell r="G49">
            <v>12</v>
          </cell>
          <cell r="H49">
            <v>0</v>
          </cell>
          <cell r="K49">
            <v>0</v>
          </cell>
        </row>
        <row r="50">
          <cell r="D50" t="str">
            <v>-</v>
          </cell>
          <cell r="G50">
            <v>12</v>
          </cell>
          <cell r="H50">
            <v>0</v>
          </cell>
          <cell r="K50">
            <v>0</v>
          </cell>
        </row>
        <row r="51">
          <cell r="D51" t="str">
            <v>-</v>
          </cell>
          <cell r="G51">
            <v>12</v>
          </cell>
          <cell r="H51">
            <v>0</v>
          </cell>
          <cell r="K51">
            <v>0</v>
          </cell>
        </row>
        <row r="52">
          <cell r="D52" t="str">
            <v>-</v>
          </cell>
          <cell r="G52">
            <v>12</v>
          </cell>
          <cell r="H52">
            <v>0</v>
          </cell>
          <cell r="K52">
            <v>0</v>
          </cell>
        </row>
        <row r="53">
          <cell r="D53" t="str">
            <v>-</v>
          </cell>
          <cell r="G53">
            <v>12</v>
          </cell>
          <cell r="H53">
            <v>0</v>
          </cell>
          <cell r="K53">
            <v>0</v>
          </cell>
        </row>
        <row r="54">
          <cell r="D54" t="str">
            <v>-</v>
          </cell>
          <cell r="G54">
            <v>12</v>
          </cell>
          <cell r="H54">
            <v>0</v>
          </cell>
          <cell r="K54">
            <v>0</v>
          </cell>
        </row>
        <row r="55">
          <cell r="D55" t="str">
            <v>-</v>
          </cell>
          <cell r="G55">
            <v>12</v>
          </cell>
          <cell r="H55">
            <v>0</v>
          </cell>
          <cell r="K55">
            <v>0</v>
          </cell>
        </row>
        <row r="56">
          <cell r="D56" t="str">
            <v>-</v>
          </cell>
          <cell r="G56">
            <v>12</v>
          </cell>
          <cell r="H56">
            <v>0</v>
          </cell>
          <cell r="K56">
            <v>0</v>
          </cell>
        </row>
        <row r="57">
          <cell r="D57" t="str">
            <v>-</v>
          </cell>
          <cell r="G57">
            <v>12</v>
          </cell>
          <cell r="H57">
            <v>0</v>
          </cell>
          <cell r="K57">
            <v>0</v>
          </cell>
        </row>
        <row r="58">
          <cell r="D58" t="str">
            <v>-</v>
          </cell>
          <cell r="G58">
            <v>12</v>
          </cell>
          <cell r="H58">
            <v>0</v>
          </cell>
          <cell r="K58">
            <v>0</v>
          </cell>
        </row>
        <row r="64">
          <cell r="D64" t="str">
            <v>RCP-Resp Coordination prod</v>
          </cell>
          <cell r="E64">
            <v>35000</v>
          </cell>
          <cell r="F64">
            <v>1.92</v>
          </cell>
          <cell r="G64">
            <v>67200</v>
          </cell>
        </row>
        <row r="65">
          <cell r="D65" t="str">
            <v>REX-Resp d'exploitation Cadre</v>
          </cell>
          <cell r="E65">
            <v>35000</v>
          </cell>
          <cell r="F65">
            <v>1.92</v>
          </cell>
          <cell r="G65">
            <v>67200</v>
          </cell>
        </row>
        <row r="66">
          <cell r="D66" t="str">
            <v>RPF-Resp plate-forme log</v>
          </cell>
          <cell r="E66">
            <v>42000</v>
          </cell>
          <cell r="F66">
            <v>1.92</v>
          </cell>
          <cell r="G66">
            <v>80640</v>
          </cell>
        </row>
        <row r="67">
          <cell r="D67" t="str">
            <v>RSL-Resp site logistique</v>
          </cell>
          <cell r="E67">
            <v>56000</v>
          </cell>
          <cell r="F67">
            <v>1.92</v>
          </cell>
          <cell r="G67">
            <v>107520</v>
          </cell>
        </row>
        <row r="68">
          <cell r="D68" t="str">
            <v>RMT-Resp méthode et tech exploit</v>
          </cell>
          <cell r="E68">
            <v>35000</v>
          </cell>
          <cell r="F68">
            <v>1.92</v>
          </cell>
          <cell r="G68">
            <v>67200</v>
          </cell>
        </row>
        <row r="69">
          <cell r="D69" t="str">
            <v>IMT-Ingénieur méthode</v>
          </cell>
          <cell r="E69">
            <v>35000</v>
          </cell>
          <cell r="F69">
            <v>1.92</v>
          </cell>
          <cell r="G69">
            <v>67200</v>
          </cell>
        </row>
        <row r="70">
          <cell r="D70" t="str">
            <v>SYS-Support systèmes info</v>
          </cell>
          <cell r="E70">
            <v>35000</v>
          </cell>
          <cell r="F70">
            <v>1.92</v>
          </cell>
          <cell r="G70">
            <v>67200</v>
          </cell>
        </row>
        <row r="71">
          <cell r="D71" t="str">
            <v>-</v>
          </cell>
          <cell r="G71">
            <v>0</v>
          </cell>
        </row>
        <row r="72">
          <cell r="D72" t="str">
            <v>-</v>
          </cell>
          <cell r="G72">
            <v>0</v>
          </cell>
        </row>
        <row r="73">
          <cell r="D73" t="str">
            <v>-</v>
          </cell>
          <cell r="G73">
            <v>0</v>
          </cell>
        </row>
        <row r="74">
          <cell r="D74" t="str">
            <v>-</v>
          </cell>
          <cell r="G74">
            <v>0</v>
          </cell>
        </row>
        <row r="75">
          <cell r="D75" t="str">
            <v>-</v>
          </cell>
          <cell r="G75">
            <v>0</v>
          </cell>
        </row>
        <row r="76">
          <cell r="D76" t="str">
            <v>-</v>
          </cell>
          <cell r="G76">
            <v>0</v>
          </cell>
        </row>
        <row r="77">
          <cell r="D77" t="str">
            <v>-</v>
          </cell>
          <cell r="G77">
            <v>0</v>
          </cell>
        </row>
        <row r="78">
          <cell r="D78" t="str">
            <v>-</v>
          </cell>
          <cell r="G78">
            <v>0</v>
          </cell>
        </row>
        <row r="79">
          <cell r="D79" t="str">
            <v>-</v>
          </cell>
          <cell r="G79">
            <v>0</v>
          </cell>
        </row>
        <row r="80">
          <cell r="D80" t="str">
            <v>-</v>
          </cell>
          <cell r="G80">
            <v>0</v>
          </cell>
        </row>
        <row r="81">
          <cell r="D81" t="str">
            <v>-</v>
          </cell>
          <cell r="G81">
            <v>0</v>
          </cell>
        </row>
        <row r="82">
          <cell r="D82" t="str">
            <v>-</v>
          </cell>
          <cell r="G82">
            <v>0</v>
          </cell>
        </row>
        <row r="83">
          <cell r="D83" t="str">
            <v>-</v>
          </cell>
          <cell r="G83">
            <v>0</v>
          </cell>
        </row>
        <row r="84">
          <cell r="D84" t="str">
            <v>-</v>
          </cell>
          <cell r="G84">
            <v>0</v>
          </cell>
        </row>
        <row r="85">
          <cell r="D85" t="str">
            <v>-</v>
          </cell>
          <cell r="G85">
            <v>0</v>
          </cell>
        </row>
        <row r="86">
          <cell r="D86" t="str">
            <v>-</v>
          </cell>
          <cell r="G86">
            <v>0</v>
          </cell>
        </row>
        <row r="87">
          <cell r="D87" t="str">
            <v>-</v>
          </cell>
          <cell r="G87">
            <v>0</v>
          </cell>
        </row>
        <row r="135">
          <cell r="D135" t="str">
            <v>TM-Transpalette manuel</v>
          </cell>
          <cell r="K135">
            <v>0</v>
          </cell>
        </row>
        <row r="136">
          <cell r="D136" t="str">
            <v>TE-Transpalette électrique</v>
          </cell>
          <cell r="K136">
            <v>0</v>
          </cell>
        </row>
        <row r="137">
          <cell r="D137" t="str">
            <v>PH-Préparateur RECOR</v>
          </cell>
          <cell r="K137">
            <v>0</v>
          </cell>
        </row>
        <row r="138">
          <cell r="D138" t="str">
            <v>PV-Préparateur Synchrone</v>
          </cell>
          <cell r="K138">
            <v>0</v>
          </cell>
        </row>
        <row r="139">
          <cell r="D139" t="str">
            <v>CFE R-Chariot frontal électrique</v>
          </cell>
          <cell r="K139">
            <v>0</v>
          </cell>
        </row>
        <row r="140">
          <cell r="D140" t="str">
            <v>CFG-Frontal chauffeur Synchrone</v>
          </cell>
          <cell r="K140">
            <v>0</v>
          </cell>
        </row>
        <row r="141">
          <cell r="D141" t="str">
            <v>CR R-Chariot rétractable</v>
          </cell>
          <cell r="K141">
            <v>0</v>
          </cell>
        </row>
        <row r="142">
          <cell r="D142" t="str">
            <v>CFE S-Chariot frontal électrique S</v>
          </cell>
          <cell r="K142">
            <v>0</v>
          </cell>
        </row>
        <row r="143">
          <cell r="D143" t="str">
            <v>CR S-Chariot rétractable S</v>
          </cell>
          <cell r="K143">
            <v>0</v>
          </cell>
        </row>
        <row r="144">
          <cell r="D144" t="str">
            <v>-</v>
          </cell>
          <cell r="K144">
            <v>0</v>
          </cell>
        </row>
        <row r="145">
          <cell r="D145" t="str">
            <v>-</v>
          </cell>
          <cell r="K145">
            <v>0</v>
          </cell>
        </row>
        <row r="146">
          <cell r="D146" t="str">
            <v>-</v>
          </cell>
          <cell r="K146">
            <v>0</v>
          </cell>
        </row>
        <row r="147">
          <cell r="D147" t="str">
            <v>-</v>
          </cell>
          <cell r="K147">
            <v>0</v>
          </cell>
        </row>
        <row r="148">
          <cell r="D148" t="str">
            <v>-</v>
          </cell>
          <cell r="K148">
            <v>0</v>
          </cell>
        </row>
        <row r="149">
          <cell r="D149" t="str">
            <v>-</v>
          </cell>
          <cell r="K149">
            <v>0</v>
          </cell>
        </row>
        <row r="150">
          <cell r="D150" t="str">
            <v>-</v>
          </cell>
          <cell r="K150">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Type de personnel</v>
          </cell>
          <cell r="C7" t="str">
            <v>Equiv ETP par jour ouvré</v>
          </cell>
          <cell r="D7" t="str">
            <v>Salaire CDI Gefco</v>
          </cell>
          <cell r="E7" t="str">
            <v>Nbre CDI Gefco</v>
          </cell>
          <cell r="F7" t="str">
            <v>Nbre CDI Ajusté</v>
          </cell>
          <cell r="G7" t="str">
            <v>Intérim</v>
          </cell>
          <cell r="H7" t="str">
            <v>Intérim ajusté (auto)</v>
          </cell>
          <cell r="I7" t="str">
            <v>Effectif à budgeter</v>
          </cell>
          <cell r="J7" t="str">
            <v>T% évolution</v>
          </cell>
        </row>
        <row r="8">
          <cell r="B8" t="str">
            <v>CAR-Cariste</v>
          </cell>
          <cell r="C8">
            <v>0</v>
          </cell>
          <cell r="D8">
            <v>0</v>
          </cell>
          <cell r="E8" t="e">
            <v>#DIV/0!</v>
          </cell>
          <cell r="G8" t="e">
            <v>#DIV/0!</v>
          </cell>
          <cell r="H8" t="e">
            <v>#DIV/0!</v>
          </cell>
          <cell r="I8" t="e">
            <v>#DIV/0!</v>
          </cell>
          <cell r="J8" t="e">
            <v>#DIV/0!</v>
          </cell>
        </row>
        <row r="9">
          <cell r="B9" t="str">
            <v>CAR R-Cariste RECOR</v>
          </cell>
          <cell r="C9">
            <v>16.028225178960472</v>
          </cell>
          <cell r="D9">
            <v>32224.18640620236</v>
          </cell>
          <cell r="E9" t="e">
            <v>#DIV/0!</v>
          </cell>
          <cell r="G9" t="e">
            <v>#DIV/0!</v>
          </cell>
          <cell r="H9" t="e">
            <v>#DIV/0!</v>
          </cell>
          <cell r="I9" t="e">
            <v>#DIV/0!</v>
          </cell>
          <cell r="J9" t="e">
            <v>#DIV/0!</v>
          </cell>
        </row>
        <row r="10">
          <cell r="B10" t="str">
            <v>CAR S-Cariste Synchrone</v>
          </cell>
          <cell r="C10">
            <v>20.269607843137255</v>
          </cell>
          <cell r="D10">
            <v>32312.443743066469</v>
          </cell>
          <cell r="E10" t="e">
            <v>#DIV/0!</v>
          </cell>
          <cell r="G10" t="e">
            <v>#DIV/0!</v>
          </cell>
          <cell r="H10" t="e">
            <v>#DIV/0!</v>
          </cell>
          <cell r="I10" t="e">
            <v>#DIV/0!</v>
          </cell>
          <cell r="J10" t="e">
            <v>#DIV/0!</v>
          </cell>
        </row>
        <row r="11">
          <cell r="B11" t="str">
            <v>PCO-Préparateur synchrone</v>
          </cell>
          <cell r="C11">
            <v>41.683333333333337</v>
          </cell>
          <cell r="D11">
            <v>33037.472599143519</v>
          </cell>
          <cell r="E11" t="e">
            <v>#DIV/0!</v>
          </cell>
          <cell r="G11" t="e">
            <v>#DIV/0!</v>
          </cell>
          <cell r="H11" t="e">
            <v>#DIV/0!</v>
          </cell>
          <cell r="I11" t="e">
            <v>#DIV/0!</v>
          </cell>
          <cell r="J11" t="e">
            <v>#DIV/0!</v>
          </cell>
        </row>
        <row r="12">
          <cell r="B12" t="str">
            <v>CAR CHS-Cariste chargement Syn</v>
          </cell>
          <cell r="C12">
            <v>5.0647058823529427</v>
          </cell>
          <cell r="D12">
            <v>32312.443743066469</v>
          </cell>
          <cell r="E12" t="e">
            <v>#DIV/0!</v>
          </cell>
          <cell r="G12" t="e">
            <v>#DIV/0!</v>
          </cell>
          <cell r="H12" t="e">
            <v>#DIV/0!</v>
          </cell>
          <cell r="I12" t="e">
            <v>#DIV/0!</v>
          </cell>
          <cell r="J12" t="e">
            <v>#DIV/0!</v>
          </cell>
        </row>
        <row r="13">
          <cell r="B13" t="str">
            <v>Total</v>
          </cell>
          <cell r="C13">
            <v>83.04587223778401</v>
          </cell>
          <cell r="D13">
            <v>0</v>
          </cell>
          <cell r="E13">
            <v>0</v>
          </cell>
          <cell r="G13">
            <v>0</v>
          </cell>
          <cell r="H13">
            <v>0</v>
          </cell>
          <cell r="I13">
            <v>0</v>
          </cell>
          <cell r="J13" t="str">
            <v/>
          </cell>
        </row>
        <row r="14">
          <cell r="D14">
            <v>0</v>
          </cell>
          <cell r="E14">
            <v>0</v>
          </cell>
          <cell r="G14" t="str">
            <v/>
          </cell>
          <cell r="H14" t="str">
            <v/>
          </cell>
          <cell r="I14">
            <v>0</v>
          </cell>
          <cell r="J14" t="str">
            <v/>
          </cell>
        </row>
        <row r="15">
          <cell r="D15">
            <v>0</v>
          </cell>
          <cell r="E15">
            <v>0</v>
          </cell>
          <cell r="G15" t="str">
            <v/>
          </cell>
          <cell r="H15" t="str">
            <v/>
          </cell>
          <cell r="I15">
            <v>0</v>
          </cell>
          <cell r="J15" t="str">
            <v/>
          </cell>
        </row>
        <row r="16">
          <cell r="D16">
            <v>0</v>
          </cell>
          <cell r="E16">
            <v>0</v>
          </cell>
          <cell r="G16" t="str">
            <v/>
          </cell>
          <cell r="H16" t="str">
            <v/>
          </cell>
          <cell r="I16">
            <v>0</v>
          </cell>
          <cell r="J16" t="str">
            <v/>
          </cell>
        </row>
        <row r="17">
          <cell r="D17">
            <v>0</v>
          </cell>
          <cell r="E17">
            <v>0</v>
          </cell>
          <cell r="G17" t="str">
            <v/>
          </cell>
          <cell r="H17" t="str">
            <v/>
          </cell>
          <cell r="I17">
            <v>0</v>
          </cell>
          <cell r="J17" t="str">
            <v/>
          </cell>
        </row>
        <row r="18">
          <cell r="D18">
            <v>0</v>
          </cell>
          <cell r="E18">
            <v>0</v>
          </cell>
          <cell r="G18" t="str">
            <v/>
          </cell>
          <cell r="H18" t="str">
            <v/>
          </cell>
          <cell r="I18">
            <v>0</v>
          </cell>
          <cell r="J18" t="str">
            <v/>
          </cell>
        </row>
        <row r="19">
          <cell r="D19">
            <v>0</v>
          </cell>
          <cell r="E19">
            <v>0</v>
          </cell>
          <cell r="G19" t="str">
            <v/>
          </cell>
          <cell r="H19" t="str">
            <v/>
          </cell>
          <cell r="I19">
            <v>0</v>
          </cell>
          <cell r="J19" t="str">
            <v/>
          </cell>
        </row>
        <row r="20">
          <cell r="D20">
            <v>0</v>
          </cell>
          <cell r="E20">
            <v>0</v>
          </cell>
          <cell r="G20" t="str">
            <v/>
          </cell>
          <cell r="H20" t="str">
            <v/>
          </cell>
          <cell r="I20">
            <v>0</v>
          </cell>
          <cell r="J20" t="str">
            <v/>
          </cell>
        </row>
        <row r="21">
          <cell r="D21">
            <v>0</v>
          </cell>
          <cell r="E21">
            <v>0</v>
          </cell>
          <cell r="G21" t="str">
            <v/>
          </cell>
          <cell r="H21" t="str">
            <v/>
          </cell>
          <cell r="I21">
            <v>0</v>
          </cell>
          <cell r="J21" t="str">
            <v/>
          </cell>
        </row>
        <row r="22">
          <cell r="D22">
            <v>0</v>
          </cell>
          <cell r="E22">
            <v>0</v>
          </cell>
          <cell r="G22" t="str">
            <v/>
          </cell>
          <cell r="H22" t="str">
            <v/>
          </cell>
          <cell r="I22">
            <v>0</v>
          </cell>
          <cell r="J22" t="str">
            <v/>
          </cell>
        </row>
        <row r="23">
          <cell r="D23">
            <v>0</v>
          </cell>
          <cell r="E23">
            <v>0</v>
          </cell>
          <cell r="G23" t="str">
            <v/>
          </cell>
          <cell r="H23" t="str">
            <v/>
          </cell>
          <cell r="I23">
            <v>0</v>
          </cell>
          <cell r="J23" t="str">
            <v/>
          </cell>
        </row>
        <row r="24">
          <cell r="D24">
            <v>0</v>
          </cell>
          <cell r="E24">
            <v>0</v>
          </cell>
          <cell r="G24" t="str">
            <v/>
          </cell>
          <cell r="H24" t="str">
            <v/>
          </cell>
          <cell r="I24">
            <v>0</v>
          </cell>
          <cell r="J24" t="str">
            <v/>
          </cell>
        </row>
        <row r="25">
          <cell r="D25">
            <v>0</v>
          </cell>
          <cell r="E25">
            <v>0</v>
          </cell>
          <cell r="G25" t="str">
            <v/>
          </cell>
          <cell r="H25" t="str">
            <v/>
          </cell>
          <cell r="I25">
            <v>0</v>
          </cell>
          <cell r="J25" t="str">
            <v/>
          </cell>
        </row>
        <row r="26">
          <cell r="D26">
            <v>0</v>
          </cell>
          <cell r="E26">
            <v>0</v>
          </cell>
          <cell r="G26" t="str">
            <v/>
          </cell>
          <cell r="H26" t="str">
            <v/>
          </cell>
          <cell r="I26">
            <v>0</v>
          </cell>
          <cell r="J26" t="str">
            <v/>
          </cell>
        </row>
        <row r="27">
          <cell r="D27">
            <v>0</v>
          </cell>
          <cell r="E27">
            <v>0</v>
          </cell>
          <cell r="G27" t="str">
            <v/>
          </cell>
          <cell r="H27" t="str">
            <v/>
          </cell>
          <cell r="I27">
            <v>0</v>
          </cell>
          <cell r="J27" t="str">
            <v/>
          </cell>
        </row>
        <row r="28">
          <cell r="D28">
            <v>0</v>
          </cell>
          <cell r="E28">
            <v>0</v>
          </cell>
          <cell r="G28" t="str">
            <v/>
          </cell>
          <cell r="H28" t="str">
            <v/>
          </cell>
          <cell r="I28">
            <v>0</v>
          </cell>
          <cell r="J28" t="str">
            <v/>
          </cell>
        </row>
        <row r="29">
          <cell r="D29">
            <v>0</v>
          </cell>
          <cell r="E29">
            <v>0</v>
          </cell>
          <cell r="G29" t="str">
            <v/>
          </cell>
          <cell r="H29" t="str">
            <v/>
          </cell>
          <cell r="I29">
            <v>0</v>
          </cell>
          <cell r="J29" t="str">
            <v/>
          </cell>
        </row>
        <row r="30">
          <cell r="D30">
            <v>0</v>
          </cell>
          <cell r="E30">
            <v>0</v>
          </cell>
          <cell r="G30" t="str">
            <v/>
          </cell>
          <cell r="H30" t="str">
            <v/>
          </cell>
          <cell r="I30">
            <v>0</v>
          </cell>
          <cell r="J30" t="str">
            <v/>
          </cell>
        </row>
        <row r="31">
          <cell r="D31">
            <v>0</v>
          </cell>
          <cell r="E31">
            <v>0</v>
          </cell>
          <cell r="G31" t="str">
            <v/>
          </cell>
          <cell r="H31" t="str">
            <v/>
          </cell>
          <cell r="I31">
            <v>0</v>
          </cell>
          <cell r="J31" t="str">
            <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Übersicht"/>
      <sheetName val="JIS Fender and Bumper"/>
      <sheetName val="JIS Fender Bumper Kaufteile"/>
      <sheetName val="Headlamp reinforcement"/>
      <sheetName val="Kaufteile Headlamp reinf."/>
      <sheetName val="Carrier"/>
      <sheetName val="Kaufteile Carrier"/>
      <sheetName val="Bumper Reinforcement"/>
      <sheetName val="Bumper Front"/>
      <sheetName val="Lower Grill"/>
      <sheetName val="Fender"/>
      <sheetName val="Fenderliner Radhausschale"/>
      <sheetName val="Wheelfinisher"/>
      <sheetName val="Airguides"/>
      <sheetName val="Washer support"/>
      <sheetName val="BMW E70 QAF JIS Fender Bumper k"/>
      <sheetName val="Feuil1"/>
      <sheetName val="Feuil2"/>
      <sheetName val="Feuil3"/>
      <sheetName val="econ.data"/>
      <sheetName val="Taux horaires"/>
      <sheetName val="Param"/>
      <sheetName val="Saisonnalite"/>
      <sheetName val="Coefic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TAS"/>
      <sheetName val="Base"/>
      <sheetName val="Chapa"/>
      <sheetName val="febrero"/>
      <sheetName val="marzo"/>
      <sheetName val="abril"/>
      <sheetName val="Localidades"/>
      <sheetName val="Auszug f. Lieferant"/>
      <sheetName val="BS. USO"/>
    </sheetNames>
    <sheetDataSet>
      <sheetData sheetId="0"/>
      <sheetData sheetId="1"/>
      <sheetData sheetId="2"/>
      <sheetData sheetId="3"/>
      <sheetData sheetId="4"/>
      <sheetData sheetId="5" refreshError="1">
        <row r="4">
          <cell r="A4" t="str">
            <v>Codigo</v>
          </cell>
          <cell r="B4" t="str">
            <v>Concesionaria</v>
          </cell>
          <cell r="C4" t="str">
            <v>Emerg</v>
          </cell>
          <cell r="D4" t="str">
            <v>Semanal</v>
          </cell>
          <cell r="E4" t="str">
            <v>Emerg</v>
          </cell>
          <cell r="F4" t="str">
            <v>Semanal</v>
          </cell>
        </row>
        <row r="5">
          <cell r="A5">
            <v>220</v>
          </cell>
          <cell r="B5" t="str">
            <v>Pussetto Salta S.A</v>
          </cell>
          <cell r="C5">
            <v>42</v>
          </cell>
          <cell r="D5">
            <v>9</v>
          </cell>
          <cell r="E5">
            <v>458</v>
          </cell>
          <cell r="F5">
            <v>2713</v>
          </cell>
        </row>
        <row r="6">
          <cell r="A6">
            <v>225</v>
          </cell>
          <cell r="B6" t="str">
            <v>Automotores Tierra del Fuego</v>
          </cell>
          <cell r="C6">
            <v>48</v>
          </cell>
          <cell r="D6">
            <v>1</v>
          </cell>
          <cell r="E6">
            <v>353</v>
          </cell>
          <cell r="F6">
            <v>240</v>
          </cell>
        </row>
        <row r="7">
          <cell r="A7">
            <v>231</v>
          </cell>
          <cell r="B7" t="str">
            <v>Escobar Santa Fe S.A.</v>
          </cell>
          <cell r="C7">
            <v>40</v>
          </cell>
          <cell r="D7">
            <v>13</v>
          </cell>
          <cell r="E7">
            <v>743</v>
          </cell>
          <cell r="F7">
            <v>2650</v>
          </cell>
        </row>
        <row r="8">
          <cell r="A8">
            <v>232</v>
          </cell>
          <cell r="B8" t="str">
            <v>Rayco S.R.L.</v>
          </cell>
          <cell r="C8">
            <v>34</v>
          </cell>
          <cell r="D8">
            <v>14</v>
          </cell>
          <cell r="E8">
            <v>500</v>
          </cell>
          <cell r="F8">
            <v>2572</v>
          </cell>
        </row>
        <row r="9">
          <cell r="A9">
            <v>246</v>
          </cell>
          <cell r="B9" t="str">
            <v>Ismael Ferrarotti S.A.C.I</v>
          </cell>
          <cell r="C9">
            <v>36</v>
          </cell>
          <cell r="D9">
            <v>9</v>
          </cell>
          <cell r="E9">
            <v>99</v>
          </cell>
          <cell r="F9">
            <v>183</v>
          </cell>
        </row>
        <row r="10">
          <cell r="A10">
            <v>267</v>
          </cell>
          <cell r="B10" t="str">
            <v>Ramos Mejia Motor S.A.</v>
          </cell>
          <cell r="C10">
            <v>35</v>
          </cell>
          <cell r="D10">
            <v>27</v>
          </cell>
          <cell r="E10">
            <v>222</v>
          </cell>
          <cell r="F10">
            <v>2696</v>
          </cell>
        </row>
        <row r="11">
          <cell r="A11">
            <v>280</v>
          </cell>
          <cell r="B11" t="str">
            <v>AUTOS DEL SUR</v>
          </cell>
          <cell r="C11">
            <v>55</v>
          </cell>
          <cell r="D11">
            <v>11</v>
          </cell>
          <cell r="E11">
            <v>381</v>
          </cell>
          <cell r="F11">
            <v>166</v>
          </cell>
        </row>
        <row r="12">
          <cell r="A12">
            <v>291</v>
          </cell>
          <cell r="B12" t="str">
            <v>Perfecto Lopez y Cia. S.A.</v>
          </cell>
          <cell r="C12">
            <v>50</v>
          </cell>
          <cell r="D12">
            <v>10</v>
          </cell>
          <cell r="E12">
            <v>722</v>
          </cell>
          <cell r="F12">
            <v>213</v>
          </cell>
        </row>
        <row r="13">
          <cell r="A13">
            <v>430</v>
          </cell>
          <cell r="B13" t="str">
            <v>Berta Motorsport S.R.L.</v>
          </cell>
          <cell r="C13">
            <v>4</v>
          </cell>
          <cell r="D13">
            <v>0</v>
          </cell>
          <cell r="E13">
            <v>76</v>
          </cell>
          <cell r="F13">
            <v>0</v>
          </cell>
        </row>
        <row r="14">
          <cell r="A14">
            <v>439</v>
          </cell>
          <cell r="B14" t="str">
            <v>MERCO REP</v>
          </cell>
          <cell r="C14">
            <v>27</v>
          </cell>
          <cell r="D14">
            <v>8</v>
          </cell>
          <cell r="E14">
            <v>532</v>
          </cell>
          <cell r="F14">
            <v>1072</v>
          </cell>
        </row>
        <row r="15">
          <cell r="A15" t="str">
            <v>476*1</v>
          </cell>
          <cell r="B15" t="str">
            <v>Igarreta S.A.</v>
          </cell>
          <cell r="C15">
            <v>28</v>
          </cell>
          <cell r="D15">
            <v>1</v>
          </cell>
          <cell r="E15">
            <v>245</v>
          </cell>
          <cell r="F15">
            <v>48</v>
          </cell>
        </row>
        <row r="16">
          <cell r="A16" t="str">
            <v>476*2</v>
          </cell>
          <cell r="B16" t="str">
            <v>IGARRETA</v>
          </cell>
          <cell r="C16">
            <v>28</v>
          </cell>
          <cell r="D16">
            <v>1</v>
          </cell>
          <cell r="E16">
            <v>245</v>
          </cell>
          <cell r="F16">
            <v>48</v>
          </cell>
        </row>
        <row r="17">
          <cell r="A17">
            <v>805</v>
          </cell>
          <cell r="B17" t="str">
            <v>Deposito Materiales</v>
          </cell>
          <cell r="C17">
            <v>4</v>
          </cell>
          <cell r="D17">
            <v>0</v>
          </cell>
          <cell r="E17">
            <v>34726</v>
          </cell>
          <cell r="F17">
            <v>0</v>
          </cell>
        </row>
        <row r="18">
          <cell r="A18">
            <v>2001</v>
          </cell>
          <cell r="B18" t="str">
            <v>Guillermo Simone S.A.</v>
          </cell>
          <cell r="C18">
            <v>21</v>
          </cell>
          <cell r="D18">
            <v>17</v>
          </cell>
          <cell r="E18">
            <v>401</v>
          </cell>
          <cell r="F18">
            <v>1447</v>
          </cell>
        </row>
        <row r="19">
          <cell r="A19">
            <v>2002</v>
          </cell>
          <cell r="B19" t="str">
            <v>SUR CAM</v>
          </cell>
          <cell r="C19">
            <v>13</v>
          </cell>
          <cell r="D19">
            <v>12</v>
          </cell>
          <cell r="E19">
            <v>372</v>
          </cell>
          <cell r="F19">
            <v>687</v>
          </cell>
        </row>
        <row r="20">
          <cell r="A20">
            <v>2003</v>
          </cell>
          <cell r="B20" t="str">
            <v>ARAUCO</v>
          </cell>
          <cell r="C20">
            <v>11</v>
          </cell>
          <cell r="D20">
            <v>9</v>
          </cell>
          <cell r="E20">
            <v>460</v>
          </cell>
          <cell r="F20">
            <v>745</v>
          </cell>
        </row>
        <row r="21">
          <cell r="A21">
            <v>2011</v>
          </cell>
          <cell r="B21" t="str">
            <v>Forcam S.A</v>
          </cell>
          <cell r="C21">
            <v>16</v>
          </cell>
          <cell r="D21">
            <v>10</v>
          </cell>
          <cell r="E21">
            <v>508</v>
          </cell>
          <cell r="F21">
            <v>649</v>
          </cell>
        </row>
        <row r="22">
          <cell r="A22">
            <v>2051</v>
          </cell>
          <cell r="B22" t="str">
            <v>Armando del Rio S.A.</v>
          </cell>
          <cell r="C22">
            <v>17</v>
          </cell>
          <cell r="D22">
            <v>9</v>
          </cell>
          <cell r="E22">
            <v>176</v>
          </cell>
          <cell r="F22">
            <v>2418</v>
          </cell>
        </row>
        <row r="23">
          <cell r="A23">
            <v>2071</v>
          </cell>
          <cell r="B23" t="str">
            <v>Del Sol Automotor S.R.L.</v>
          </cell>
          <cell r="C23">
            <v>12</v>
          </cell>
          <cell r="D23">
            <v>9</v>
          </cell>
          <cell r="E23">
            <v>85</v>
          </cell>
          <cell r="F23">
            <v>561</v>
          </cell>
        </row>
        <row r="24">
          <cell r="A24">
            <v>2082</v>
          </cell>
          <cell r="B24" t="str">
            <v>Automotores Tierra del Fuego</v>
          </cell>
          <cell r="C24">
            <v>2</v>
          </cell>
          <cell r="D24">
            <v>2</v>
          </cell>
          <cell r="E24">
            <v>14</v>
          </cell>
          <cell r="F24">
            <v>16</v>
          </cell>
        </row>
        <row r="25">
          <cell r="A25">
            <v>2087</v>
          </cell>
          <cell r="B25" t="str">
            <v>MOTORSPORT</v>
          </cell>
          <cell r="C25">
            <v>25</v>
          </cell>
          <cell r="D25">
            <v>6</v>
          </cell>
          <cell r="E25">
            <v>645</v>
          </cell>
          <cell r="F25">
            <v>389</v>
          </cell>
        </row>
        <row r="26">
          <cell r="A26">
            <v>2091</v>
          </cell>
          <cell r="B26" t="str">
            <v>Rodados Integrales S.A.</v>
          </cell>
          <cell r="C26">
            <v>10</v>
          </cell>
          <cell r="D26">
            <v>9</v>
          </cell>
          <cell r="E26">
            <v>305</v>
          </cell>
          <cell r="F26">
            <v>3025</v>
          </cell>
        </row>
        <row r="27">
          <cell r="A27">
            <v>3074</v>
          </cell>
          <cell r="B27" t="str">
            <v>Giorgi Automotores S.A.</v>
          </cell>
          <cell r="C27">
            <v>24</v>
          </cell>
          <cell r="D27">
            <v>0</v>
          </cell>
          <cell r="E27">
            <v>99</v>
          </cell>
          <cell r="F27">
            <v>0</v>
          </cell>
        </row>
        <row r="28">
          <cell r="A28">
            <v>3107</v>
          </cell>
          <cell r="B28" t="str">
            <v>Long Automotores S.A.</v>
          </cell>
          <cell r="C28">
            <v>16</v>
          </cell>
          <cell r="D28">
            <v>0</v>
          </cell>
          <cell r="E28">
            <v>119</v>
          </cell>
          <cell r="F28">
            <v>0</v>
          </cell>
        </row>
        <row r="29">
          <cell r="A29">
            <v>3134</v>
          </cell>
          <cell r="B29" t="str">
            <v>Guspamar S.A</v>
          </cell>
          <cell r="C29">
            <v>9</v>
          </cell>
          <cell r="D29">
            <v>0</v>
          </cell>
          <cell r="E29">
            <v>81</v>
          </cell>
          <cell r="F29">
            <v>0</v>
          </cell>
        </row>
        <row r="30">
          <cell r="A30">
            <v>3216</v>
          </cell>
          <cell r="B30" t="str">
            <v>Tito Gonzalez S.A.C.y F.</v>
          </cell>
          <cell r="C30">
            <v>23</v>
          </cell>
          <cell r="D30">
            <v>0</v>
          </cell>
          <cell r="E30">
            <v>190</v>
          </cell>
          <cell r="F30">
            <v>0</v>
          </cell>
        </row>
        <row r="31">
          <cell r="A31">
            <v>3220</v>
          </cell>
          <cell r="B31" t="str">
            <v>Pussetto Salta S.A.</v>
          </cell>
          <cell r="C31">
            <v>5</v>
          </cell>
          <cell r="D31">
            <v>0</v>
          </cell>
          <cell r="E31">
            <v>21</v>
          </cell>
          <cell r="F31">
            <v>0</v>
          </cell>
        </row>
        <row r="32">
          <cell r="A32">
            <v>3225</v>
          </cell>
          <cell r="B32" t="str">
            <v>Automotores Tierra del Fuego</v>
          </cell>
          <cell r="C32">
            <v>6</v>
          </cell>
          <cell r="D32">
            <v>0</v>
          </cell>
          <cell r="E32">
            <v>28</v>
          </cell>
          <cell r="F32">
            <v>0</v>
          </cell>
        </row>
        <row r="33">
          <cell r="A33">
            <v>11002</v>
          </cell>
          <cell r="B33" t="str">
            <v>Jakos SH</v>
          </cell>
          <cell r="C33">
            <v>11</v>
          </cell>
          <cell r="D33">
            <v>0</v>
          </cell>
          <cell r="E33">
            <v>43</v>
          </cell>
          <cell r="F33">
            <v>0</v>
          </cell>
        </row>
        <row r="34">
          <cell r="A34">
            <v>11003</v>
          </cell>
          <cell r="B34" t="str">
            <v>Silgrada S.A.</v>
          </cell>
          <cell r="C34">
            <v>25</v>
          </cell>
          <cell r="D34">
            <v>0</v>
          </cell>
          <cell r="E34">
            <v>325</v>
          </cell>
          <cell r="F34">
            <v>0</v>
          </cell>
        </row>
        <row r="35">
          <cell r="A35">
            <v>11004</v>
          </cell>
          <cell r="B35" t="str">
            <v>Volsweed S.A.-Land Rover</v>
          </cell>
          <cell r="C35">
            <v>2</v>
          </cell>
          <cell r="D35">
            <v>0</v>
          </cell>
          <cell r="E35">
            <v>45</v>
          </cell>
          <cell r="F35">
            <v>0</v>
          </cell>
        </row>
        <row r="36">
          <cell r="A36">
            <v>11023</v>
          </cell>
          <cell r="B36" t="str">
            <v>Viel-Land Rover</v>
          </cell>
          <cell r="C36">
            <v>31</v>
          </cell>
          <cell r="D36">
            <v>2</v>
          </cell>
          <cell r="E36">
            <v>479</v>
          </cell>
          <cell r="F36">
            <v>12</v>
          </cell>
        </row>
        <row r="37">
          <cell r="A37">
            <v>11042</v>
          </cell>
          <cell r="B37" t="str">
            <v>Guillermo Simone S.A.</v>
          </cell>
          <cell r="C37">
            <v>32</v>
          </cell>
          <cell r="D37">
            <v>2</v>
          </cell>
          <cell r="E37">
            <v>158</v>
          </cell>
          <cell r="F37">
            <v>8</v>
          </cell>
        </row>
        <row r="38">
          <cell r="A38">
            <v>11062</v>
          </cell>
          <cell r="B38" t="str">
            <v>Automotores Maipu S.A.-La</v>
          </cell>
          <cell r="C38">
            <v>20</v>
          </cell>
          <cell r="D38">
            <v>4</v>
          </cell>
          <cell r="E38">
            <v>190</v>
          </cell>
          <cell r="F38">
            <v>2</v>
          </cell>
        </row>
        <row r="39">
          <cell r="A39">
            <v>11225</v>
          </cell>
          <cell r="B39" t="str">
            <v>Aut.Tierra del Fuego-Land</v>
          </cell>
          <cell r="C39">
            <v>5</v>
          </cell>
          <cell r="D39">
            <v>0</v>
          </cell>
          <cell r="E39">
            <v>18</v>
          </cell>
          <cell r="F39">
            <v>0</v>
          </cell>
        </row>
        <row r="40">
          <cell r="A40">
            <v>11231</v>
          </cell>
          <cell r="B40" t="str">
            <v>Escobar-Land Rover</v>
          </cell>
          <cell r="C40">
            <v>17</v>
          </cell>
          <cell r="D40">
            <v>1</v>
          </cell>
          <cell r="E40">
            <v>94</v>
          </cell>
          <cell r="F40">
            <v>20</v>
          </cell>
        </row>
        <row r="41">
          <cell r="A41">
            <v>11264</v>
          </cell>
          <cell r="B41" t="str">
            <v>Mario Goldstein S.A.C.I.</v>
          </cell>
          <cell r="C41">
            <v>27</v>
          </cell>
          <cell r="D41">
            <v>0</v>
          </cell>
          <cell r="E41">
            <v>113</v>
          </cell>
          <cell r="F41">
            <v>0</v>
          </cell>
        </row>
        <row r="42">
          <cell r="A42">
            <v>12004</v>
          </cell>
          <cell r="B42" t="str">
            <v>Volsweed S.A.-Volvo</v>
          </cell>
          <cell r="C42">
            <v>1</v>
          </cell>
          <cell r="D42">
            <v>0</v>
          </cell>
          <cell r="E42">
            <v>0</v>
          </cell>
          <cell r="F42">
            <v>0</v>
          </cell>
        </row>
        <row r="43">
          <cell r="A43">
            <v>12008</v>
          </cell>
          <cell r="B43" t="str">
            <v>Eduardo Bruno S.A.</v>
          </cell>
          <cell r="C43">
            <v>26</v>
          </cell>
          <cell r="D43">
            <v>0</v>
          </cell>
          <cell r="E43">
            <v>303</v>
          </cell>
          <cell r="F43">
            <v>0</v>
          </cell>
        </row>
        <row r="44">
          <cell r="A44">
            <v>12010</v>
          </cell>
          <cell r="B44" t="str">
            <v>Juan Pedro Bonavita S.R.L.</v>
          </cell>
          <cell r="C44">
            <v>12</v>
          </cell>
          <cell r="D44">
            <v>0</v>
          </cell>
          <cell r="E44">
            <v>71</v>
          </cell>
          <cell r="F44">
            <v>0</v>
          </cell>
        </row>
        <row r="45">
          <cell r="A45">
            <v>12011</v>
          </cell>
          <cell r="B45" t="str">
            <v>Jorge Meriggi e Hijos S.R.L.</v>
          </cell>
          <cell r="C45">
            <v>16</v>
          </cell>
          <cell r="D45">
            <v>0</v>
          </cell>
          <cell r="E45">
            <v>128</v>
          </cell>
          <cell r="F45">
            <v>0</v>
          </cell>
        </row>
        <row r="46">
          <cell r="A46">
            <v>12023</v>
          </cell>
          <cell r="B46" t="str">
            <v>Viel-Volvo</v>
          </cell>
          <cell r="C46">
            <v>33</v>
          </cell>
          <cell r="D46">
            <v>0</v>
          </cell>
          <cell r="E46">
            <v>265</v>
          </cell>
          <cell r="F46">
            <v>0</v>
          </cell>
        </row>
        <row r="47">
          <cell r="A47">
            <v>30101</v>
          </cell>
          <cell r="B47" t="str">
            <v>Acra S.A.C.I.F.</v>
          </cell>
          <cell r="C47">
            <v>15</v>
          </cell>
          <cell r="D47">
            <v>6</v>
          </cell>
          <cell r="E47">
            <v>54</v>
          </cell>
          <cell r="F47">
            <v>223</v>
          </cell>
        </row>
        <row r="48">
          <cell r="A48">
            <v>30264</v>
          </cell>
          <cell r="B48" t="str">
            <v>Mario Goldstein S.A.C.I.</v>
          </cell>
          <cell r="C48">
            <v>36</v>
          </cell>
          <cell r="D48">
            <v>6</v>
          </cell>
          <cell r="E48">
            <v>349</v>
          </cell>
          <cell r="F48">
            <v>391</v>
          </cell>
        </row>
        <row r="49">
          <cell r="A49">
            <v>30265</v>
          </cell>
          <cell r="B49" t="str">
            <v>Mario Goldstein S.A.C.I.</v>
          </cell>
          <cell r="C49">
            <v>23</v>
          </cell>
          <cell r="D49">
            <v>5</v>
          </cell>
          <cell r="E49">
            <v>66</v>
          </cell>
          <cell r="F49">
            <v>142</v>
          </cell>
        </row>
        <row r="50">
          <cell r="A50">
            <v>30514</v>
          </cell>
          <cell r="B50" t="str">
            <v>Guillermo Dietrich S.A.</v>
          </cell>
          <cell r="C50">
            <v>45</v>
          </cell>
          <cell r="D50">
            <v>9</v>
          </cell>
          <cell r="E50">
            <v>741</v>
          </cell>
          <cell r="F50">
            <v>3120</v>
          </cell>
        </row>
        <row r="51">
          <cell r="A51">
            <v>31403</v>
          </cell>
          <cell r="B51" t="str">
            <v>Maisonnave y Cia S.A.</v>
          </cell>
          <cell r="C51">
            <v>30</v>
          </cell>
          <cell r="D51">
            <v>4</v>
          </cell>
          <cell r="E51">
            <v>382</v>
          </cell>
          <cell r="F51">
            <v>408</v>
          </cell>
        </row>
        <row r="52">
          <cell r="A52">
            <v>31825</v>
          </cell>
          <cell r="B52" t="str">
            <v>Maximo Pinasco S.A.</v>
          </cell>
          <cell r="C52">
            <v>35</v>
          </cell>
          <cell r="D52">
            <v>6</v>
          </cell>
          <cell r="E52">
            <v>280</v>
          </cell>
          <cell r="F52">
            <v>332</v>
          </cell>
        </row>
        <row r="53">
          <cell r="A53">
            <v>32160</v>
          </cell>
          <cell r="B53" t="str">
            <v>Strianese Hnos.S.A.C.I.F.</v>
          </cell>
          <cell r="C53">
            <v>32</v>
          </cell>
          <cell r="D53">
            <v>17</v>
          </cell>
          <cell r="E53">
            <v>187</v>
          </cell>
          <cell r="F53">
            <v>975</v>
          </cell>
        </row>
        <row r="54">
          <cell r="A54">
            <v>32165</v>
          </cell>
          <cell r="B54" t="str">
            <v>Sauma Automotores S.A.C.I</v>
          </cell>
          <cell r="C54">
            <v>46</v>
          </cell>
          <cell r="D54">
            <v>23</v>
          </cell>
          <cell r="E54">
            <v>978</v>
          </cell>
          <cell r="F54">
            <v>1090</v>
          </cell>
        </row>
        <row r="55">
          <cell r="A55">
            <v>6</v>
          </cell>
          <cell r="B55" t="str">
            <v>Forcor S.A.</v>
          </cell>
          <cell r="C55">
            <v>30</v>
          </cell>
          <cell r="D55">
            <v>65</v>
          </cell>
          <cell r="E55">
            <v>2083</v>
          </cell>
          <cell r="F55">
            <v>16062</v>
          </cell>
        </row>
        <row r="56">
          <cell r="A56">
            <v>7</v>
          </cell>
          <cell r="B56" t="str">
            <v>Roas S.A.</v>
          </cell>
          <cell r="C56">
            <v>39</v>
          </cell>
          <cell r="D56">
            <v>6</v>
          </cell>
          <cell r="E56">
            <v>246</v>
          </cell>
          <cell r="F56">
            <v>645</v>
          </cell>
        </row>
        <row r="57">
          <cell r="A57">
            <v>9</v>
          </cell>
          <cell r="B57" t="str">
            <v>J.C.Suarez S.A.</v>
          </cell>
          <cell r="C57">
            <v>37</v>
          </cell>
          <cell r="D57">
            <v>15</v>
          </cell>
          <cell r="E57">
            <v>183</v>
          </cell>
          <cell r="F57">
            <v>1165</v>
          </cell>
        </row>
        <row r="58">
          <cell r="A58">
            <v>12</v>
          </cell>
          <cell r="B58" t="str">
            <v>Organizacion Sur Automoto</v>
          </cell>
          <cell r="C58">
            <v>53</v>
          </cell>
          <cell r="D58">
            <v>19</v>
          </cell>
          <cell r="E58">
            <v>409</v>
          </cell>
          <cell r="F58">
            <v>1027</v>
          </cell>
        </row>
        <row r="59">
          <cell r="A59">
            <v>16</v>
          </cell>
          <cell r="B59" t="str">
            <v>J.Bessone E Hijos</v>
          </cell>
          <cell r="C59">
            <v>31</v>
          </cell>
          <cell r="D59">
            <v>14</v>
          </cell>
          <cell r="E59">
            <v>140</v>
          </cell>
          <cell r="F59">
            <v>888</v>
          </cell>
        </row>
        <row r="60">
          <cell r="A60">
            <v>21</v>
          </cell>
          <cell r="B60" t="str">
            <v>Formar S.A</v>
          </cell>
          <cell r="C60">
            <v>53</v>
          </cell>
          <cell r="D60">
            <v>4</v>
          </cell>
          <cell r="E60">
            <v>481</v>
          </cell>
          <cell r="F60">
            <v>342</v>
          </cell>
        </row>
        <row r="61">
          <cell r="A61">
            <v>23</v>
          </cell>
          <cell r="B61" t="str">
            <v>Viel Automotores S.A.C.I.</v>
          </cell>
          <cell r="C61">
            <v>57</v>
          </cell>
          <cell r="D61">
            <v>14</v>
          </cell>
          <cell r="E61">
            <v>607</v>
          </cell>
          <cell r="F61">
            <v>1141</v>
          </cell>
        </row>
        <row r="62">
          <cell r="A62">
            <v>25</v>
          </cell>
          <cell r="B62" t="str">
            <v>Acura S.A.</v>
          </cell>
          <cell r="C62">
            <v>32</v>
          </cell>
          <cell r="D62">
            <v>5</v>
          </cell>
          <cell r="E62">
            <v>194</v>
          </cell>
          <cell r="F62">
            <v>156</v>
          </cell>
        </row>
        <row r="63">
          <cell r="A63">
            <v>29</v>
          </cell>
          <cell r="B63" t="str">
            <v>Serra Lima S.A.C.E.I.</v>
          </cell>
          <cell r="C63">
            <v>43</v>
          </cell>
          <cell r="D63">
            <v>38</v>
          </cell>
          <cell r="E63">
            <v>1020</v>
          </cell>
          <cell r="F63">
            <v>16574</v>
          </cell>
        </row>
        <row r="64">
          <cell r="A64">
            <v>34</v>
          </cell>
          <cell r="B64" t="str">
            <v>A. Russoniello S.A.</v>
          </cell>
          <cell r="C64">
            <v>41</v>
          </cell>
          <cell r="D64">
            <v>16</v>
          </cell>
          <cell r="E64">
            <v>799</v>
          </cell>
          <cell r="F64">
            <v>1438</v>
          </cell>
        </row>
        <row r="65">
          <cell r="A65">
            <v>40</v>
          </cell>
          <cell r="B65" t="str">
            <v>Nativa S.A</v>
          </cell>
          <cell r="C65">
            <v>13</v>
          </cell>
          <cell r="D65">
            <v>5</v>
          </cell>
          <cell r="E65">
            <v>164</v>
          </cell>
          <cell r="F65">
            <v>387</v>
          </cell>
        </row>
        <row r="66">
          <cell r="A66">
            <v>42</v>
          </cell>
          <cell r="B66" t="str">
            <v>Guillermo Simone S.A.</v>
          </cell>
          <cell r="C66">
            <v>125</v>
          </cell>
          <cell r="D66">
            <v>56</v>
          </cell>
          <cell r="E66">
            <v>1351</v>
          </cell>
          <cell r="F66">
            <v>2980</v>
          </cell>
        </row>
        <row r="67">
          <cell r="A67">
            <v>46</v>
          </cell>
          <cell r="B67" t="str">
            <v>Autostop S.A.</v>
          </cell>
          <cell r="C67">
            <v>23</v>
          </cell>
          <cell r="D67">
            <v>7</v>
          </cell>
          <cell r="E67">
            <v>162</v>
          </cell>
          <cell r="F67">
            <v>738</v>
          </cell>
        </row>
        <row r="68">
          <cell r="A68">
            <v>52</v>
          </cell>
          <cell r="B68" t="str">
            <v>Trammel S.A.</v>
          </cell>
          <cell r="C68">
            <v>25</v>
          </cell>
          <cell r="D68">
            <v>12</v>
          </cell>
          <cell r="E68">
            <v>431</v>
          </cell>
          <cell r="F68">
            <v>218</v>
          </cell>
        </row>
        <row r="69">
          <cell r="A69">
            <v>54</v>
          </cell>
          <cell r="B69" t="str">
            <v>Zingaro Automotores S.A.</v>
          </cell>
          <cell r="C69">
            <v>58</v>
          </cell>
          <cell r="D69">
            <v>23</v>
          </cell>
          <cell r="E69">
            <v>718</v>
          </cell>
          <cell r="F69">
            <v>2854</v>
          </cell>
        </row>
        <row r="70">
          <cell r="A70">
            <v>55</v>
          </cell>
          <cell r="B70" t="str">
            <v>Lo Bruno Automotores S.A.</v>
          </cell>
          <cell r="C70">
            <v>19</v>
          </cell>
          <cell r="D70">
            <v>8</v>
          </cell>
          <cell r="E70">
            <v>55</v>
          </cell>
          <cell r="F70">
            <v>1001</v>
          </cell>
        </row>
        <row r="71">
          <cell r="A71">
            <v>57</v>
          </cell>
          <cell r="B71" t="str">
            <v>Albino Picco E Hijo S.A.</v>
          </cell>
          <cell r="C71">
            <v>29</v>
          </cell>
          <cell r="D71">
            <v>12</v>
          </cell>
          <cell r="E71">
            <v>489</v>
          </cell>
          <cell r="F71">
            <v>2145</v>
          </cell>
        </row>
        <row r="72">
          <cell r="A72">
            <v>58</v>
          </cell>
          <cell r="B72" t="str">
            <v>Lowe y Cia S.A.C.I.F.I.</v>
          </cell>
          <cell r="C72">
            <v>23</v>
          </cell>
          <cell r="D72">
            <v>8</v>
          </cell>
          <cell r="E72">
            <v>123</v>
          </cell>
          <cell r="F72">
            <v>249</v>
          </cell>
        </row>
        <row r="73">
          <cell r="A73">
            <v>61</v>
          </cell>
          <cell r="B73" t="str">
            <v>Del Sol Automotores S.R.L.</v>
          </cell>
          <cell r="C73">
            <v>37</v>
          </cell>
          <cell r="D73">
            <v>13</v>
          </cell>
          <cell r="E73">
            <v>577</v>
          </cell>
          <cell r="F73">
            <v>5236</v>
          </cell>
        </row>
        <row r="74">
          <cell r="A74">
            <v>62</v>
          </cell>
          <cell r="B74" t="str">
            <v>Automotores Maipu S.A.</v>
          </cell>
          <cell r="C74">
            <v>81</v>
          </cell>
          <cell r="D74">
            <v>20</v>
          </cell>
          <cell r="E74">
            <v>2876</v>
          </cell>
          <cell r="F74">
            <v>5999</v>
          </cell>
        </row>
        <row r="75">
          <cell r="A75">
            <v>67</v>
          </cell>
          <cell r="B75" t="str">
            <v>Veneranda Automotores S.A</v>
          </cell>
          <cell r="C75">
            <v>26</v>
          </cell>
          <cell r="D75">
            <v>9</v>
          </cell>
          <cell r="E75">
            <v>217</v>
          </cell>
          <cell r="F75">
            <v>293</v>
          </cell>
        </row>
        <row r="76">
          <cell r="A76">
            <v>70</v>
          </cell>
          <cell r="B76" t="str">
            <v>LEON ALPEROVICH</v>
          </cell>
          <cell r="C76">
            <v>46</v>
          </cell>
          <cell r="D76">
            <v>9</v>
          </cell>
          <cell r="E76">
            <v>522</v>
          </cell>
          <cell r="F76">
            <v>1602</v>
          </cell>
        </row>
        <row r="77">
          <cell r="A77">
            <v>74</v>
          </cell>
          <cell r="B77" t="str">
            <v>Giorgi Automotores S.A.</v>
          </cell>
          <cell r="C77">
            <v>53</v>
          </cell>
          <cell r="D77">
            <v>16</v>
          </cell>
          <cell r="E77">
            <v>1896</v>
          </cell>
          <cell r="F77">
            <v>7142</v>
          </cell>
        </row>
        <row r="78">
          <cell r="A78">
            <v>75</v>
          </cell>
          <cell r="B78" t="str">
            <v>Jama S.A.</v>
          </cell>
          <cell r="C78">
            <v>21</v>
          </cell>
          <cell r="D78">
            <v>6</v>
          </cell>
          <cell r="E78">
            <v>116</v>
          </cell>
          <cell r="F78">
            <v>1156</v>
          </cell>
        </row>
        <row r="79">
          <cell r="A79">
            <v>86</v>
          </cell>
          <cell r="B79" t="str">
            <v>Selva S.A.</v>
          </cell>
          <cell r="C79">
            <v>43</v>
          </cell>
          <cell r="D79">
            <v>16</v>
          </cell>
          <cell r="E79">
            <v>347</v>
          </cell>
          <cell r="F79">
            <v>860</v>
          </cell>
        </row>
        <row r="80">
          <cell r="A80">
            <v>87</v>
          </cell>
          <cell r="B80" t="str">
            <v>MOTORSPORT</v>
          </cell>
          <cell r="C80">
            <v>54</v>
          </cell>
          <cell r="D80">
            <v>9</v>
          </cell>
          <cell r="E80">
            <v>749</v>
          </cell>
          <cell r="F80">
            <v>2388</v>
          </cell>
        </row>
        <row r="81">
          <cell r="A81">
            <v>92</v>
          </cell>
          <cell r="B81" t="str">
            <v>Aback S.A.</v>
          </cell>
          <cell r="C81">
            <v>58</v>
          </cell>
          <cell r="D81">
            <v>27</v>
          </cell>
          <cell r="E81">
            <v>399</v>
          </cell>
          <cell r="F81">
            <v>2549</v>
          </cell>
        </row>
        <row r="82">
          <cell r="A82">
            <v>101</v>
          </cell>
          <cell r="B82" t="str">
            <v>Automotores Simoni y Cia.</v>
          </cell>
          <cell r="C82">
            <v>57</v>
          </cell>
          <cell r="D82">
            <v>15</v>
          </cell>
          <cell r="E82">
            <v>179</v>
          </cell>
          <cell r="F82">
            <v>723</v>
          </cell>
        </row>
        <row r="83">
          <cell r="A83">
            <v>103</v>
          </cell>
          <cell r="B83" t="str">
            <v>AUTOANDINA</v>
          </cell>
          <cell r="C83">
            <v>41</v>
          </cell>
          <cell r="D83">
            <v>5</v>
          </cell>
          <cell r="E83">
            <v>295</v>
          </cell>
          <cell r="F83">
            <v>44</v>
          </cell>
        </row>
        <row r="84">
          <cell r="A84">
            <v>107</v>
          </cell>
          <cell r="B84" t="str">
            <v>Long Automotores S.A.</v>
          </cell>
          <cell r="C84">
            <v>49</v>
          </cell>
          <cell r="D84">
            <v>11</v>
          </cell>
          <cell r="E84">
            <v>946</v>
          </cell>
          <cell r="F84">
            <v>4075</v>
          </cell>
        </row>
        <row r="85">
          <cell r="A85">
            <v>113</v>
          </cell>
          <cell r="B85" t="str">
            <v>Arauco S.A.C.I.F.</v>
          </cell>
          <cell r="C85">
            <v>60</v>
          </cell>
          <cell r="D85">
            <v>7</v>
          </cell>
          <cell r="E85">
            <v>1177</v>
          </cell>
          <cell r="F85">
            <v>1462</v>
          </cell>
        </row>
        <row r="86">
          <cell r="A86">
            <v>116</v>
          </cell>
          <cell r="B86" t="str">
            <v>Alberto Logarzo S.A.</v>
          </cell>
          <cell r="C86">
            <v>22</v>
          </cell>
          <cell r="D86">
            <v>4</v>
          </cell>
          <cell r="E86">
            <v>116</v>
          </cell>
          <cell r="F86">
            <v>489</v>
          </cell>
        </row>
        <row r="87">
          <cell r="A87">
            <v>117</v>
          </cell>
          <cell r="B87" t="str">
            <v>Montironi Automotores S.A</v>
          </cell>
          <cell r="C87">
            <v>48</v>
          </cell>
          <cell r="D87">
            <v>11</v>
          </cell>
          <cell r="E87">
            <v>283</v>
          </cell>
          <cell r="F87">
            <v>4145</v>
          </cell>
        </row>
        <row r="88">
          <cell r="A88">
            <v>124</v>
          </cell>
          <cell r="B88" t="str">
            <v>BANCHIK AUT</v>
          </cell>
          <cell r="C88">
            <v>24</v>
          </cell>
          <cell r="D88">
            <v>8</v>
          </cell>
          <cell r="E88">
            <v>90</v>
          </cell>
          <cell r="F88">
            <v>561</v>
          </cell>
        </row>
        <row r="89">
          <cell r="A89">
            <v>126</v>
          </cell>
          <cell r="B89" t="str">
            <v>Sapac S.A.</v>
          </cell>
          <cell r="C89">
            <v>51</v>
          </cell>
          <cell r="D89">
            <v>10</v>
          </cell>
          <cell r="E89">
            <v>262</v>
          </cell>
          <cell r="F89">
            <v>2627</v>
          </cell>
        </row>
        <row r="90">
          <cell r="A90">
            <v>128</v>
          </cell>
          <cell r="B90" t="str">
            <v>Ayala Automotores S.A.</v>
          </cell>
          <cell r="C90">
            <v>23</v>
          </cell>
          <cell r="D90">
            <v>7</v>
          </cell>
          <cell r="E90">
            <v>76</v>
          </cell>
          <cell r="F90">
            <v>182</v>
          </cell>
        </row>
        <row r="91">
          <cell r="A91">
            <v>133</v>
          </cell>
          <cell r="B91" t="str">
            <v>SUDAMERICAN AUTOS</v>
          </cell>
          <cell r="C91">
            <v>27</v>
          </cell>
          <cell r="D91">
            <v>12</v>
          </cell>
          <cell r="E91">
            <v>111</v>
          </cell>
          <cell r="F91">
            <v>1585</v>
          </cell>
        </row>
        <row r="92">
          <cell r="A92">
            <v>134</v>
          </cell>
          <cell r="B92" t="str">
            <v>Guspamar S.A.</v>
          </cell>
          <cell r="C92">
            <v>67</v>
          </cell>
          <cell r="D92">
            <v>26</v>
          </cell>
          <cell r="E92">
            <v>757</v>
          </cell>
          <cell r="F92">
            <v>6155</v>
          </cell>
        </row>
        <row r="93">
          <cell r="A93">
            <v>135</v>
          </cell>
          <cell r="B93" t="str">
            <v>Pablo Eloy Donnet S.A.C.I.</v>
          </cell>
          <cell r="C93">
            <v>28</v>
          </cell>
          <cell r="D93">
            <v>7</v>
          </cell>
          <cell r="E93">
            <v>223</v>
          </cell>
          <cell r="F93">
            <v>343</v>
          </cell>
        </row>
        <row r="94">
          <cell r="A94">
            <v>141</v>
          </cell>
          <cell r="B94" t="str">
            <v>Pettiti Automotores S.A.</v>
          </cell>
          <cell r="C94">
            <v>38</v>
          </cell>
          <cell r="D94">
            <v>11</v>
          </cell>
          <cell r="E94">
            <v>315</v>
          </cell>
          <cell r="F94">
            <v>3434</v>
          </cell>
        </row>
        <row r="95">
          <cell r="A95">
            <v>147</v>
          </cell>
          <cell r="B95" t="str">
            <v>Automotores Mataderos S.A</v>
          </cell>
          <cell r="C95">
            <v>46</v>
          </cell>
          <cell r="D95">
            <v>29</v>
          </cell>
          <cell r="E95">
            <v>2662</v>
          </cell>
          <cell r="F95">
            <v>3586</v>
          </cell>
        </row>
        <row r="96">
          <cell r="A96">
            <v>149</v>
          </cell>
          <cell r="B96" t="str">
            <v>Caleta Olivia Automotores</v>
          </cell>
          <cell r="C96">
            <v>29</v>
          </cell>
          <cell r="D96">
            <v>9</v>
          </cell>
          <cell r="E96">
            <v>235</v>
          </cell>
          <cell r="F96">
            <v>2403</v>
          </cell>
        </row>
        <row r="97">
          <cell r="A97">
            <v>150</v>
          </cell>
          <cell r="B97" t="str">
            <v>Auto Motor Salto</v>
          </cell>
          <cell r="C97">
            <v>27</v>
          </cell>
          <cell r="D97">
            <v>6</v>
          </cell>
          <cell r="E97">
            <v>100</v>
          </cell>
          <cell r="F97">
            <v>617</v>
          </cell>
        </row>
        <row r="98">
          <cell r="A98">
            <v>154</v>
          </cell>
          <cell r="B98" t="str">
            <v>SEBASTIANI AUT</v>
          </cell>
          <cell r="C98">
            <v>16</v>
          </cell>
          <cell r="D98">
            <v>3</v>
          </cell>
          <cell r="E98">
            <v>154</v>
          </cell>
          <cell r="F98">
            <v>108</v>
          </cell>
        </row>
        <row r="99">
          <cell r="A99">
            <v>156</v>
          </cell>
          <cell r="B99" t="str">
            <v>MARTIN TRUCKS</v>
          </cell>
          <cell r="C99">
            <v>15</v>
          </cell>
          <cell r="D99">
            <v>5</v>
          </cell>
          <cell r="E99">
            <v>116</v>
          </cell>
          <cell r="F99">
            <v>512</v>
          </cell>
        </row>
        <row r="100">
          <cell r="A100">
            <v>158</v>
          </cell>
          <cell r="B100" t="str">
            <v>AUTO SPECIAL</v>
          </cell>
          <cell r="C100">
            <v>41</v>
          </cell>
          <cell r="D100">
            <v>11</v>
          </cell>
          <cell r="E100">
            <v>539</v>
          </cell>
          <cell r="F100">
            <v>596</v>
          </cell>
        </row>
        <row r="101">
          <cell r="A101">
            <v>159</v>
          </cell>
          <cell r="B101" t="str">
            <v>Escobar S.A.C.I.F.I.</v>
          </cell>
          <cell r="C101">
            <v>23</v>
          </cell>
          <cell r="D101">
            <v>5</v>
          </cell>
          <cell r="E101">
            <v>171</v>
          </cell>
          <cell r="F101">
            <v>1000</v>
          </cell>
        </row>
        <row r="102">
          <cell r="A102">
            <v>172</v>
          </cell>
          <cell r="B102" t="str">
            <v>MONTANARI MOTORS</v>
          </cell>
          <cell r="C102">
            <v>20</v>
          </cell>
          <cell r="D102">
            <v>7</v>
          </cell>
          <cell r="E102">
            <v>73</v>
          </cell>
          <cell r="F102">
            <v>497</v>
          </cell>
        </row>
        <row r="103">
          <cell r="A103">
            <v>173</v>
          </cell>
          <cell r="B103" t="str">
            <v>FORCAM</v>
          </cell>
          <cell r="C103">
            <v>78</v>
          </cell>
          <cell r="D103">
            <v>22</v>
          </cell>
          <cell r="E103">
            <v>922</v>
          </cell>
          <cell r="F103">
            <v>3576</v>
          </cell>
        </row>
        <row r="104">
          <cell r="A104">
            <v>177</v>
          </cell>
          <cell r="B104" t="str">
            <v>Pedro Corradi S.A.C.I.F.I</v>
          </cell>
          <cell r="C104">
            <v>40</v>
          </cell>
          <cell r="D104">
            <v>10</v>
          </cell>
          <cell r="E104">
            <v>382</v>
          </cell>
          <cell r="F104">
            <v>1776</v>
          </cell>
        </row>
        <row r="105">
          <cell r="A105">
            <v>184</v>
          </cell>
          <cell r="B105" t="str">
            <v>Folmer S.A.</v>
          </cell>
          <cell r="C105">
            <v>40</v>
          </cell>
          <cell r="D105">
            <v>7</v>
          </cell>
          <cell r="E105">
            <v>228</v>
          </cell>
          <cell r="F105">
            <v>607</v>
          </cell>
        </row>
        <row r="106">
          <cell r="A106">
            <v>191</v>
          </cell>
          <cell r="B106" t="str">
            <v>Karam Automotores S.A.</v>
          </cell>
          <cell r="C106">
            <v>16</v>
          </cell>
          <cell r="D106">
            <v>7</v>
          </cell>
          <cell r="E106">
            <v>89</v>
          </cell>
          <cell r="F106">
            <v>527</v>
          </cell>
        </row>
        <row r="107">
          <cell r="A107">
            <v>208</v>
          </cell>
          <cell r="B107" t="str">
            <v>Noble S.A</v>
          </cell>
          <cell r="C107">
            <v>20</v>
          </cell>
          <cell r="D107">
            <v>7</v>
          </cell>
          <cell r="E107">
            <v>34</v>
          </cell>
          <cell r="F107">
            <v>147</v>
          </cell>
        </row>
        <row r="108">
          <cell r="A108">
            <v>211</v>
          </cell>
          <cell r="B108" t="str">
            <v>Amendola Automotores S.A.</v>
          </cell>
          <cell r="C108">
            <v>47</v>
          </cell>
          <cell r="D108">
            <v>9</v>
          </cell>
          <cell r="E108">
            <v>301</v>
          </cell>
          <cell r="F108">
            <v>79</v>
          </cell>
        </row>
        <row r="109">
          <cell r="A109">
            <v>216</v>
          </cell>
          <cell r="B109" t="str">
            <v>Tito Gonzalez S.A.C.y F.</v>
          </cell>
          <cell r="C109">
            <v>45</v>
          </cell>
          <cell r="D109">
            <v>17</v>
          </cell>
          <cell r="E109">
            <v>160</v>
          </cell>
          <cell r="F109">
            <v>484</v>
          </cell>
        </row>
      </sheetData>
      <sheetData sheetId="6" refreshError="1">
        <row r="2">
          <cell r="A2" t="str">
            <v>Código</v>
          </cell>
          <cell r="B2" t="str">
            <v>Concesionario</v>
          </cell>
          <cell r="C2" t="str">
            <v>Localidad</v>
          </cell>
          <cell r="D2" t="str">
            <v>Provincia</v>
          </cell>
          <cell r="E2" t="str">
            <v>Ruta</v>
          </cell>
        </row>
        <row r="3">
          <cell r="A3">
            <v>25</v>
          </cell>
          <cell r="B3" t="str">
            <v>Acura S.A.</v>
          </cell>
          <cell r="C3" t="str">
            <v>Acassuso</v>
          </cell>
          <cell r="D3" t="str">
            <v>BUENOS AIRES</v>
          </cell>
          <cell r="E3">
            <v>9</v>
          </cell>
        </row>
        <row r="4">
          <cell r="A4">
            <v>2002</v>
          </cell>
          <cell r="B4" t="str">
            <v>SUR CAM</v>
          </cell>
          <cell r="C4" t="str">
            <v>AVELLANEDA</v>
          </cell>
          <cell r="D4" t="str">
            <v>BUENOS AIRES</v>
          </cell>
          <cell r="E4">
            <v>4</v>
          </cell>
        </row>
        <row r="5">
          <cell r="A5">
            <v>7</v>
          </cell>
          <cell r="B5" t="str">
            <v>Roas S.A.</v>
          </cell>
          <cell r="C5" t="str">
            <v>Azul</v>
          </cell>
          <cell r="D5" t="str">
            <v>BUENOS AIRES</v>
          </cell>
          <cell r="E5">
            <v>2</v>
          </cell>
        </row>
        <row r="6">
          <cell r="A6">
            <v>134</v>
          </cell>
          <cell r="B6" t="str">
            <v>Guspamar S.A.</v>
          </cell>
          <cell r="C6" t="str">
            <v>Bahía Blanca</v>
          </cell>
          <cell r="D6" t="str">
            <v>BUENOS AIRES</v>
          </cell>
          <cell r="E6">
            <v>2</v>
          </cell>
        </row>
        <row r="7">
          <cell r="A7">
            <v>3134</v>
          </cell>
          <cell r="B7" t="str">
            <v>Guspamar S.A.</v>
          </cell>
          <cell r="C7" t="str">
            <v>Bahía Blanca</v>
          </cell>
          <cell r="D7" t="str">
            <v>BUENOS AIRES</v>
          </cell>
          <cell r="E7">
            <v>2</v>
          </cell>
        </row>
        <row r="8">
          <cell r="A8">
            <v>9</v>
          </cell>
          <cell r="B8" t="str">
            <v>J.C.Suárez S.A.</v>
          </cell>
          <cell r="C8" t="str">
            <v>Balcarce</v>
          </cell>
          <cell r="D8" t="str">
            <v>BUENOS AIRES</v>
          </cell>
          <cell r="E8">
            <v>2</v>
          </cell>
        </row>
        <row r="9">
          <cell r="A9">
            <v>32165</v>
          </cell>
          <cell r="B9" t="str">
            <v>Sauma Automotores S.A.C.I.</v>
          </cell>
          <cell r="C9" t="str">
            <v>Beccar</v>
          </cell>
          <cell r="D9" t="str">
            <v>BUENOS AIRES</v>
          </cell>
          <cell r="E9">
            <v>9</v>
          </cell>
        </row>
        <row r="10">
          <cell r="A10">
            <v>29</v>
          </cell>
          <cell r="B10" t="str">
            <v>Serra Lima S.A.C.E.I.</v>
          </cell>
          <cell r="C10" t="str">
            <v>Capital Federal</v>
          </cell>
          <cell r="D10" t="str">
            <v>BUENOS AIRES</v>
          </cell>
          <cell r="E10">
            <v>3</v>
          </cell>
        </row>
        <row r="11">
          <cell r="A11">
            <v>34</v>
          </cell>
          <cell r="B11" t="str">
            <v>A. Russoniello S.A.</v>
          </cell>
          <cell r="C11" t="str">
            <v>Capital Federal</v>
          </cell>
          <cell r="D11" t="str">
            <v>BUENOS AIRES</v>
          </cell>
          <cell r="E11">
            <v>3</v>
          </cell>
        </row>
        <row r="12">
          <cell r="A12">
            <v>147</v>
          </cell>
          <cell r="B12" t="str">
            <v>Automotores Mataderos S.A.</v>
          </cell>
          <cell r="C12" t="str">
            <v>Capital Federal</v>
          </cell>
          <cell r="D12" t="str">
            <v>BUENOS AIRES</v>
          </cell>
          <cell r="E12">
            <v>3</v>
          </cell>
        </row>
        <row r="13">
          <cell r="A13">
            <v>158</v>
          </cell>
          <cell r="B13" t="str">
            <v>AUTO SPECIAL</v>
          </cell>
          <cell r="C13" t="str">
            <v>Capital Federal</v>
          </cell>
          <cell r="D13" t="str">
            <v>BUENOS AIRES</v>
          </cell>
          <cell r="E13">
            <v>3</v>
          </cell>
        </row>
        <row r="14">
          <cell r="A14">
            <v>216</v>
          </cell>
          <cell r="B14" t="str">
            <v>Tito González S.A.C.y F.</v>
          </cell>
          <cell r="C14" t="str">
            <v>Capital Federal</v>
          </cell>
          <cell r="D14" t="str">
            <v>BUENOS AIRES</v>
          </cell>
          <cell r="E14">
            <v>3</v>
          </cell>
        </row>
        <row r="15">
          <cell r="A15">
            <v>291</v>
          </cell>
          <cell r="B15" t="str">
            <v>Perfecto López y Cía. S.A.</v>
          </cell>
          <cell r="C15" t="str">
            <v>Capital Federal</v>
          </cell>
          <cell r="D15" t="str">
            <v>BUENOS AIRES</v>
          </cell>
          <cell r="E15">
            <v>3</v>
          </cell>
        </row>
        <row r="16">
          <cell r="A16" t="str">
            <v>476*1</v>
          </cell>
          <cell r="B16" t="str">
            <v>Igarreta S.A.</v>
          </cell>
          <cell r="C16" t="str">
            <v>Capital Federal</v>
          </cell>
          <cell r="D16" t="str">
            <v>BUENOS AIRES</v>
          </cell>
          <cell r="E16">
            <v>3</v>
          </cell>
        </row>
        <row r="17">
          <cell r="A17" t="str">
            <v>476*2</v>
          </cell>
          <cell r="B17" t="str">
            <v>IGARRETA</v>
          </cell>
          <cell r="C17" t="str">
            <v>Capital Federal</v>
          </cell>
          <cell r="D17" t="str">
            <v>BUENOS AIRES</v>
          </cell>
          <cell r="E17">
            <v>3</v>
          </cell>
        </row>
        <row r="18">
          <cell r="A18">
            <v>3216</v>
          </cell>
          <cell r="B18" t="str">
            <v>Tito González S.A.C.y F.</v>
          </cell>
          <cell r="C18" t="str">
            <v>Capital Federal</v>
          </cell>
          <cell r="D18" t="str">
            <v>BUENOS AIRES</v>
          </cell>
          <cell r="E18">
            <v>3</v>
          </cell>
        </row>
        <row r="19">
          <cell r="A19">
            <v>11023</v>
          </cell>
          <cell r="B19" t="str">
            <v>Viel-Land Rover</v>
          </cell>
          <cell r="C19" t="str">
            <v>Capital Federal</v>
          </cell>
          <cell r="D19" t="str">
            <v>BUENOS AIRES</v>
          </cell>
          <cell r="E19">
            <v>3</v>
          </cell>
        </row>
        <row r="20">
          <cell r="A20">
            <v>12023</v>
          </cell>
          <cell r="B20" t="str">
            <v>Viel-Volvo</v>
          </cell>
          <cell r="C20" t="str">
            <v>Capital Federal</v>
          </cell>
          <cell r="D20" t="str">
            <v>BUENOS AIRES</v>
          </cell>
          <cell r="E20">
            <v>3</v>
          </cell>
        </row>
        <row r="21">
          <cell r="A21">
            <v>30514</v>
          </cell>
          <cell r="B21" t="str">
            <v>Guillermo Dietrich S.A.</v>
          </cell>
          <cell r="C21" t="str">
            <v>Capital Federal</v>
          </cell>
          <cell r="D21" t="str">
            <v>BUENOS AIRES</v>
          </cell>
          <cell r="E21">
            <v>3</v>
          </cell>
        </row>
        <row r="22">
          <cell r="A22">
            <v>92</v>
          </cell>
          <cell r="B22" t="str">
            <v>Aback S.A.</v>
          </cell>
          <cell r="C22" t="str">
            <v>Castelar</v>
          </cell>
          <cell r="D22" t="str">
            <v>BUENOS AIRES</v>
          </cell>
          <cell r="E22">
            <v>6</v>
          </cell>
        </row>
        <row r="23">
          <cell r="A23">
            <v>31403</v>
          </cell>
          <cell r="B23" t="str">
            <v>Maissonave y Cía S.A.</v>
          </cell>
          <cell r="C23" t="str">
            <v>Coronel Suarez</v>
          </cell>
          <cell r="D23" t="str">
            <v>BUENOS AIRES</v>
          </cell>
          <cell r="E23">
            <v>6</v>
          </cell>
        </row>
        <row r="24">
          <cell r="A24">
            <v>31825</v>
          </cell>
          <cell r="B24" t="str">
            <v>Máximo Pinasco S.A.</v>
          </cell>
          <cell r="C24" t="str">
            <v>Dolores</v>
          </cell>
          <cell r="D24" t="str">
            <v>BUENOS AIRES</v>
          </cell>
          <cell r="E24">
            <v>2</v>
          </cell>
        </row>
        <row r="25">
          <cell r="A25">
            <v>133</v>
          </cell>
          <cell r="B25" t="str">
            <v>SUDAMERICAN AUTOS</v>
          </cell>
          <cell r="C25" t="str">
            <v>Don Torcuato</v>
          </cell>
          <cell r="D25" t="str">
            <v>BUENOS AIRES</v>
          </cell>
          <cell r="E25">
            <v>5</v>
          </cell>
        </row>
        <row r="26">
          <cell r="A26">
            <v>42</v>
          </cell>
          <cell r="B26" t="str">
            <v>Guillermo Simone S.A.</v>
          </cell>
          <cell r="C26" t="str">
            <v>La Plata</v>
          </cell>
          <cell r="D26" t="str">
            <v>BUENOS AIRES</v>
          </cell>
          <cell r="E26">
            <v>4</v>
          </cell>
        </row>
        <row r="27">
          <cell r="A27">
            <v>54</v>
          </cell>
          <cell r="B27" t="str">
            <v>Zingaro Automotores S.A.</v>
          </cell>
          <cell r="C27" t="str">
            <v>La Plata</v>
          </cell>
          <cell r="D27" t="str">
            <v>BUENOS AIRES</v>
          </cell>
          <cell r="E27">
            <v>4</v>
          </cell>
        </row>
        <row r="28">
          <cell r="A28">
            <v>2001</v>
          </cell>
          <cell r="B28" t="str">
            <v>Guillermo Simone S.A.</v>
          </cell>
          <cell r="C28" t="str">
            <v>La Plata</v>
          </cell>
          <cell r="D28" t="str">
            <v>BUENOS AIRES</v>
          </cell>
          <cell r="E28">
            <v>4</v>
          </cell>
        </row>
        <row r="29">
          <cell r="A29">
            <v>11042</v>
          </cell>
          <cell r="B29" t="str">
            <v>Guillermo Simone S.A.</v>
          </cell>
          <cell r="C29" t="str">
            <v>La Plata</v>
          </cell>
          <cell r="D29" t="str">
            <v>BUENOS AIRES</v>
          </cell>
          <cell r="E29">
            <v>4</v>
          </cell>
        </row>
        <row r="30">
          <cell r="A30">
            <v>116</v>
          </cell>
          <cell r="B30" t="str">
            <v>Alberto Logarzo S.A.</v>
          </cell>
          <cell r="C30" t="str">
            <v>Lobos</v>
          </cell>
          <cell r="D30" t="str">
            <v>BUENOS AIRES</v>
          </cell>
          <cell r="E30">
            <v>2</v>
          </cell>
        </row>
        <row r="31">
          <cell r="A31">
            <v>211</v>
          </cell>
          <cell r="B31" t="str">
            <v>Améndola Automotores S:A.</v>
          </cell>
          <cell r="C31" t="str">
            <v>Lomas del Mirador</v>
          </cell>
          <cell r="D31" t="str">
            <v>BUENOS AIRES</v>
          </cell>
          <cell r="E31">
            <v>6</v>
          </cell>
        </row>
        <row r="32">
          <cell r="A32">
            <v>101</v>
          </cell>
          <cell r="B32" t="str">
            <v>Automotores Simoni y Cía.</v>
          </cell>
          <cell r="C32" t="str">
            <v>Luján</v>
          </cell>
          <cell r="D32" t="str">
            <v>BUENOS AIRES</v>
          </cell>
          <cell r="E32">
            <v>6</v>
          </cell>
        </row>
        <row r="33">
          <cell r="A33">
            <v>21</v>
          </cell>
          <cell r="B33" t="str">
            <v>Formar S.A.</v>
          </cell>
          <cell r="C33" t="str">
            <v>Mar del Plata</v>
          </cell>
          <cell r="D33" t="str">
            <v>BUENOS AIRES</v>
          </cell>
          <cell r="E33">
            <v>2</v>
          </cell>
        </row>
        <row r="34">
          <cell r="A34">
            <v>173</v>
          </cell>
          <cell r="B34" t="str">
            <v>FORCAM</v>
          </cell>
          <cell r="C34" t="str">
            <v>Moreno</v>
          </cell>
          <cell r="D34" t="str">
            <v>BUENOS AIRES</v>
          </cell>
          <cell r="E34">
            <v>6</v>
          </cell>
        </row>
        <row r="35">
          <cell r="A35">
            <v>2011</v>
          </cell>
          <cell r="B35" t="str">
            <v>Forcam S.A.</v>
          </cell>
          <cell r="C35" t="str">
            <v>Moreno</v>
          </cell>
          <cell r="D35" t="str">
            <v>BUENOS AIRES</v>
          </cell>
          <cell r="E35">
            <v>6</v>
          </cell>
        </row>
        <row r="36">
          <cell r="A36">
            <v>11003</v>
          </cell>
          <cell r="B36" t="str">
            <v>Silgrada S.A.</v>
          </cell>
          <cell r="C36" t="str">
            <v>Olivos</v>
          </cell>
          <cell r="D36" t="str">
            <v>BUENOS AIRES</v>
          </cell>
          <cell r="E36">
            <v>9</v>
          </cell>
        </row>
        <row r="37">
          <cell r="A37">
            <v>805</v>
          </cell>
          <cell r="B37" t="str">
            <v>Depósito Materiales</v>
          </cell>
          <cell r="C37" t="str">
            <v>Pacheco</v>
          </cell>
          <cell r="D37" t="str">
            <v>BUENOS AIRES</v>
          </cell>
          <cell r="E37">
            <v>12</v>
          </cell>
        </row>
        <row r="38">
          <cell r="A38">
            <v>172</v>
          </cell>
          <cell r="B38" t="str">
            <v>MONTANARI MOTORS</v>
          </cell>
          <cell r="C38" t="str">
            <v>Pergamino</v>
          </cell>
          <cell r="D38" t="str">
            <v>BUENOS AIRES</v>
          </cell>
          <cell r="E38">
            <v>5</v>
          </cell>
        </row>
        <row r="39">
          <cell r="A39">
            <v>52</v>
          </cell>
          <cell r="B39" t="str">
            <v>Trammel S.A.</v>
          </cell>
          <cell r="C39" t="str">
            <v>Pilar</v>
          </cell>
          <cell r="D39" t="str">
            <v>BUENOS AIRES</v>
          </cell>
          <cell r="E39">
            <v>9</v>
          </cell>
        </row>
        <row r="40">
          <cell r="A40">
            <v>246</v>
          </cell>
          <cell r="B40" t="str">
            <v>Ismael Ferraroti S.A.C.I.</v>
          </cell>
          <cell r="C40" t="str">
            <v>Pilar</v>
          </cell>
          <cell r="D40" t="str">
            <v>BUENOS AIRES</v>
          </cell>
          <cell r="E40">
            <v>9</v>
          </cell>
        </row>
        <row r="41">
          <cell r="A41">
            <v>280</v>
          </cell>
          <cell r="B41" t="str">
            <v>AUTOS DEL SUR</v>
          </cell>
          <cell r="C41" t="str">
            <v>QUILMES</v>
          </cell>
          <cell r="D41" t="str">
            <v>BUENOS AIRES</v>
          </cell>
          <cell r="E41">
            <v>4</v>
          </cell>
        </row>
        <row r="42">
          <cell r="A42">
            <v>267</v>
          </cell>
          <cell r="B42" t="str">
            <v>Ramos Mejía Motor S.A.</v>
          </cell>
          <cell r="C42" t="str">
            <v>Ramos Mejía</v>
          </cell>
          <cell r="D42" t="str">
            <v>BUENOS AIRES</v>
          </cell>
          <cell r="E42">
            <v>6</v>
          </cell>
        </row>
        <row r="43">
          <cell r="A43">
            <v>11002</v>
          </cell>
          <cell r="B43" t="str">
            <v>Jakos SH</v>
          </cell>
          <cell r="C43" t="str">
            <v>Ramos Mejía</v>
          </cell>
          <cell r="D43" t="str">
            <v>BUENOS AIRES</v>
          </cell>
          <cell r="E43">
            <v>6</v>
          </cell>
        </row>
        <row r="44">
          <cell r="A44">
            <v>12</v>
          </cell>
          <cell r="B44" t="str">
            <v>Organización Sur Automotor</v>
          </cell>
          <cell r="C44" t="str">
            <v>Remedios de Escalada</v>
          </cell>
          <cell r="D44" t="str">
            <v>BUENOS AIRES</v>
          </cell>
          <cell r="E44">
            <v>2</v>
          </cell>
        </row>
        <row r="45">
          <cell r="A45">
            <v>3012</v>
          </cell>
          <cell r="B45" t="str">
            <v>Organización Sur Automotor</v>
          </cell>
          <cell r="C45" t="str">
            <v>Remedios de Escalada</v>
          </cell>
          <cell r="D45" t="str">
            <v>BUENOS AIRES</v>
          </cell>
          <cell r="E45">
            <v>2</v>
          </cell>
        </row>
        <row r="46">
          <cell r="A46">
            <v>150</v>
          </cell>
          <cell r="B46" t="str">
            <v>Auto Motor Salto</v>
          </cell>
          <cell r="C46" t="str">
            <v>Salto</v>
          </cell>
          <cell r="D46" t="str">
            <v>BUENOS AIRES</v>
          </cell>
          <cell r="E46">
            <v>5</v>
          </cell>
        </row>
        <row r="47">
          <cell r="A47">
            <v>103</v>
          </cell>
          <cell r="B47" t="str">
            <v>AUTOANDINA</v>
          </cell>
          <cell r="C47" t="str">
            <v>San Justo</v>
          </cell>
          <cell r="D47" t="str">
            <v>BUENOS AIRES</v>
          </cell>
          <cell r="E47">
            <v>6</v>
          </cell>
        </row>
        <row r="48">
          <cell r="A48">
            <v>32160</v>
          </cell>
          <cell r="B48" t="str">
            <v>Strianese Hnos. S.A.C.I.F.</v>
          </cell>
          <cell r="C48" t="str">
            <v>Turdera</v>
          </cell>
          <cell r="D48" t="str">
            <v>BUENOS AIRES</v>
          </cell>
          <cell r="E48">
            <v>2</v>
          </cell>
        </row>
        <row r="49">
          <cell r="A49">
            <v>23</v>
          </cell>
          <cell r="B49" t="str">
            <v>Viel Automotores S.A.</v>
          </cell>
          <cell r="C49" t="str">
            <v>Vicente López</v>
          </cell>
          <cell r="D49" t="str">
            <v>BUENOS AIRES</v>
          </cell>
          <cell r="E49">
            <v>9</v>
          </cell>
        </row>
        <row r="50">
          <cell r="A50">
            <v>12008</v>
          </cell>
          <cell r="B50" t="str">
            <v>Eduardo Bruno S.A.</v>
          </cell>
          <cell r="C50" t="str">
            <v>Vicente López</v>
          </cell>
          <cell r="D50" t="str">
            <v>BUENOS AIRES</v>
          </cell>
          <cell r="E50">
            <v>9</v>
          </cell>
        </row>
        <row r="51">
          <cell r="A51">
            <v>12010</v>
          </cell>
          <cell r="B51" t="str">
            <v>Juan Pedro Bonavita S.R.L.</v>
          </cell>
          <cell r="C51" t="str">
            <v>Vicente López</v>
          </cell>
          <cell r="D51" t="str">
            <v>BUENOS AIRES</v>
          </cell>
          <cell r="E51">
            <v>9</v>
          </cell>
        </row>
        <row r="52">
          <cell r="A52">
            <v>208</v>
          </cell>
          <cell r="B52" t="str">
            <v>Noble S.A.</v>
          </cell>
          <cell r="C52" t="str">
            <v>Sumalao</v>
          </cell>
          <cell r="D52" t="str">
            <v>CATAMARCA</v>
          </cell>
          <cell r="E52">
            <v>1</v>
          </cell>
        </row>
        <row r="53">
          <cell r="A53">
            <v>135</v>
          </cell>
          <cell r="B53" t="str">
            <v>Pablo Eloy Donnet S.A.C.I.</v>
          </cell>
          <cell r="C53" t="str">
            <v>RESISTENCIA</v>
          </cell>
          <cell r="D53" t="str">
            <v>CHACO</v>
          </cell>
          <cell r="E53">
            <v>1</v>
          </cell>
        </row>
        <row r="54">
          <cell r="A54">
            <v>439</v>
          </cell>
          <cell r="B54" t="str">
            <v>MERCO REP</v>
          </cell>
          <cell r="C54" t="str">
            <v>RESISTENCIA</v>
          </cell>
          <cell r="D54" t="str">
            <v>CHACO</v>
          </cell>
          <cell r="E54">
            <v>1</v>
          </cell>
        </row>
        <row r="55">
          <cell r="A55">
            <v>443</v>
          </cell>
          <cell r="B55" t="str">
            <v>MERCO REP CAMIONES</v>
          </cell>
          <cell r="C55" t="str">
            <v>RESISTENCIA</v>
          </cell>
          <cell r="D55" t="str">
            <v>CHACO</v>
          </cell>
          <cell r="E55">
            <v>1</v>
          </cell>
        </row>
        <row r="56">
          <cell r="A56">
            <v>61</v>
          </cell>
          <cell r="B56" t="str">
            <v>Del Sol Automotores S.R.L.</v>
          </cell>
          <cell r="C56" t="str">
            <v>Comodoro Rivadavia</v>
          </cell>
          <cell r="D56" t="str">
            <v>CHUBUT</v>
          </cell>
          <cell r="E56">
            <v>2</v>
          </cell>
        </row>
        <row r="57">
          <cell r="A57">
            <v>2071</v>
          </cell>
          <cell r="B57" t="str">
            <v>Del Sol Automotor S.A.</v>
          </cell>
          <cell r="C57" t="str">
            <v>Comodoro Rivadavia</v>
          </cell>
          <cell r="D57" t="str">
            <v>CHUBUT</v>
          </cell>
          <cell r="E57">
            <v>2</v>
          </cell>
        </row>
        <row r="58">
          <cell r="A58">
            <v>177</v>
          </cell>
          <cell r="B58" t="str">
            <v>Pedro Corradi S.A.C.I.F.I.</v>
          </cell>
          <cell r="C58" t="str">
            <v>Trelew</v>
          </cell>
          <cell r="D58" t="str">
            <v>CHUBUT</v>
          </cell>
          <cell r="E58">
            <v>2</v>
          </cell>
        </row>
        <row r="59">
          <cell r="A59">
            <v>3177</v>
          </cell>
          <cell r="B59" t="str">
            <v>Pedro Corradi S.A.C.I.F.I.</v>
          </cell>
          <cell r="C59" t="str">
            <v>Trelew</v>
          </cell>
          <cell r="D59" t="str">
            <v>CHUBUT</v>
          </cell>
          <cell r="E59">
            <v>2</v>
          </cell>
        </row>
        <row r="60">
          <cell r="A60">
            <v>430</v>
          </cell>
          <cell r="B60" t="str">
            <v>Berta Motorsport S.A.</v>
          </cell>
          <cell r="C60" t="str">
            <v>Alta Gracia</v>
          </cell>
          <cell r="D60" t="str">
            <v>CÓRDOBA</v>
          </cell>
          <cell r="E60">
            <v>8</v>
          </cell>
        </row>
        <row r="61">
          <cell r="A61">
            <v>6</v>
          </cell>
          <cell r="B61" t="str">
            <v>Forcor S.A.</v>
          </cell>
          <cell r="C61" t="str">
            <v>Córdoba</v>
          </cell>
          <cell r="D61" t="str">
            <v>CÓRDOBA</v>
          </cell>
          <cell r="E61">
            <v>8</v>
          </cell>
        </row>
        <row r="62">
          <cell r="A62">
            <v>62</v>
          </cell>
          <cell r="B62" t="str">
            <v>Automotores Maipú S.A.</v>
          </cell>
          <cell r="C62" t="str">
            <v>Córdoba</v>
          </cell>
          <cell r="D62" t="str">
            <v>CÓRDOBA</v>
          </cell>
          <cell r="E62">
            <v>8</v>
          </cell>
        </row>
        <row r="63">
          <cell r="A63">
            <v>2051</v>
          </cell>
          <cell r="B63" t="str">
            <v>Armando del Río S.A.</v>
          </cell>
          <cell r="C63" t="str">
            <v>Córdoba</v>
          </cell>
          <cell r="D63" t="str">
            <v>CÓRDOBA</v>
          </cell>
          <cell r="E63">
            <v>8</v>
          </cell>
        </row>
        <row r="64">
          <cell r="A64">
            <v>11062</v>
          </cell>
          <cell r="B64" t="str">
            <v>Automotores Maipú S.A.</v>
          </cell>
          <cell r="C64" t="str">
            <v>Córdoba</v>
          </cell>
          <cell r="D64" t="str">
            <v>CÓRDOBA</v>
          </cell>
          <cell r="E64">
            <v>8</v>
          </cell>
        </row>
        <row r="65">
          <cell r="A65">
            <v>57</v>
          </cell>
          <cell r="B65" t="str">
            <v>Albino Picco e Hijo S.A.</v>
          </cell>
          <cell r="C65" t="str">
            <v>Devoto</v>
          </cell>
          <cell r="D65" t="str">
            <v>CÓRDOBA</v>
          </cell>
          <cell r="E65">
            <v>8</v>
          </cell>
        </row>
        <row r="66">
          <cell r="A66">
            <v>117</v>
          </cell>
          <cell r="B66" t="str">
            <v>Montironi Automotores S.A.</v>
          </cell>
          <cell r="C66" t="str">
            <v>Oncativo</v>
          </cell>
          <cell r="D66" t="str">
            <v>CÓRDOBA</v>
          </cell>
          <cell r="E66">
            <v>8</v>
          </cell>
        </row>
        <row r="67">
          <cell r="A67">
            <v>30101</v>
          </cell>
          <cell r="B67" t="str">
            <v>Acra S.A.C.I.F.</v>
          </cell>
          <cell r="C67" t="str">
            <v>Río Cuarto</v>
          </cell>
          <cell r="D67" t="str">
            <v>CÓRDOBA</v>
          </cell>
          <cell r="E67">
            <v>8</v>
          </cell>
        </row>
        <row r="68">
          <cell r="A68">
            <v>141</v>
          </cell>
          <cell r="B68" t="str">
            <v>Pettiti Automotores S.A.</v>
          </cell>
          <cell r="C68" t="str">
            <v>Río Tercero</v>
          </cell>
          <cell r="D68" t="str">
            <v>CÓRDOBA</v>
          </cell>
          <cell r="E68">
            <v>8</v>
          </cell>
        </row>
        <row r="69">
          <cell r="A69">
            <v>67</v>
          </cell>
          <cell r="B69" t="str">
            <v>Vienerande Automotores S.A.</v>
          </cell>
          <cell r="C69" t="str">
            <v>Villa María</v>
          </cell>
          <cell r="D69" t="str">
            <v>CÓRDOBA</v>
          </cell>
          <cell r="E69">
            <v>8</v>
          </cell>
        </row>
        <row r="70">
          <cell r="A70">
            <v>128</v>
          </cell>
          <cell r="B70" t="str">
            <v>Ayala Automotores S.A.</v>
          </cell>
          <cell r="C70" t="str">
            <v>Corrientes</v>
          </cell>
          <cell r="D70" t="str">
            <v>CORRIENTES</v>
          </cell>
          <cell r="E70">
            <v>7</v>
          </cell>
        </row>
        <row r="71">
          <cell r="A71">
            <v>124</v>
          </cell>
          <cell r="B71" t="str">
            <v>BANCHIK AUT</v>
          </cell>
          <cell r="C71" t="str">
            <v>Concepción del Uruguay</v>
          </cell>
          <cell r="D71" t="str">
            <v>ENTRE RÍOS</v>
          </cell>
          <cell r="E71">
            <v>7</v>
          </cell>
        </row>
        <row r="72">
          <cell r="A72">
            <v>184</v>
          </cell>
          <cell r="B72" t="str">
            <v>Folmer S.A.</v>
          </cell>
          <cell r="C72" t="str">
            <v>Concordia</v>
          </cell>
          <cell r="D72" t="str">
            <v>ENTRE RÍOS</v>
          </cell>
          <cell r="E72">
            <v>7</v>
          </cell>
        </row>
        <row r="73">
          <cell r="A73">
            <v>154</v>
          </cell>
          <cell r="B73" t="str">
            <v>SEBASTIANI AUTOMOTORES</v>
          </cell>
          <cell r="C73" t="str">
            <v>Formosa</v>
          </cell>
          <cell r="D73" t="str">
            <v>FORMOSA</v>
          </cell>
          <cell r="E73">
            <v>1</v>
          </cell>
        </row>
        <row r="74">
          <cell r="A74">
            <v>75</v>
          </cell>
          <cell r="B74" t="str">
            <v>Jama S.A.</v>
          </cell>
          <cell r="C74" t="str">
            <v>San Salvador de Jujuy</v>
          </cell>
          <cell r="D74" t="str">
            <v>JUJUY</v>
          </cell>
          <cell r="E74">
            <v>1</v>
          </cell>
        </row>
        <row r="75">
          <cell r="A75">
            <v>191</v>
          </cell>
          <cell r="B75" t="str">
            <v>Karam Automotores S.A.</v>
          </cell>
          <cell r="C75" t="str">
            <v>La Rioja</v>
          </cell>
          <cell r="D75" t="str">
            <v>LA RIOJA</v>
          </cell>
          <cell r="E75">
            <v>1</v>
          </cell>
        </row>
        <row r="76">
          <cell r="A76">
            <v>87</v>
          </cell>
          <cell r="B76" t="str">
            <v>MOTORSPORT</v>
          </cell>
          <cell r="C76" t="str">
            <v>Godoy Cruz</v>
          </cell>
          <cell r="D76" t="str">
            <v>MENDOZA</v>
          </cell>
          <cell r="E76">
            <v>10</v>
          </cell>
        </row>
        <row r="77">
          <cell r="A77">
            <v>2087</v>
          </cell>
          <cell r="B77" t="str">
            <v>MOTORSPORT</v>
          </cell>
          <cell r="C77" t="str">
            <v>GODOY CRUZ</v>
          </cell>
          <cell r="D77" t="str">
            <v>MENDOZA</v>
          </cell>
          <cell r="E77">
            <v>10</v>
          </cell>
        </row>
        <row r="78">
          <cell r="A78">
            <v>11264</v>
          </cell>
          <cell r="B78" t="str">
            <v>Mario Goldstein S.A.C.I.</v>
          </cell>
          <cell r="C78" t="str">
            <v>Mendoza</v>
          </cell>
          <cell r="D78" t="str">
            <v>MENDOZA</v>
          </cell>
          <cell r="E78">
            <v>10</v>
          </cell>
        </row>
        <row r="79">
          <cell r="A79">
            <v>30264</v>
          </cell>
          <cell r="B79" t="str">
            <v>Mario Goldstein S.A.C.I.</v>
          </cell>
          <cell r="C79" t="str">
            <v>Mendoza</v>
          </cell>
          <cell r="D79" t="str">
            <v>MENDOZA</v>
          </cell>
          <cell r="E79">
            <v>10</v>
          </cell>
        </row>
        <row r="80">
          <cell r="A80">
            <v>58</v>
          </cell>
          <cell r="B80" t="str">
            <v>Lowe y Cía. S.A.C.I.F.I.</v>
          </cell>
          <cell r="C80" t="str">
            <v>Eldorado</v>
          </cell>
          <cell r="D80" t="str">
            <v>MISIONES</v>
          </cell>
          <cell r="E80">
            <v>7</v>
          </cell>
        </row>
        <row r="81">
          <cell r="A81">
            <v>86</v>
          </cell>
          <cell r="B81" t="str">
            <v>Selva S.A.</v>
          </cell>
          <cell r="C81" t="str">
            <v>Posadas</v>
          </cell>
          <cell r="D81" t="str">
            <v>MISIONES</v>
          </cell>
          <cell r="E81">
            <v>7</v>
          </cell>
        </row>
        <row r="82">
          <cell r="A82">
            <v>113</v>
          </cell>
          <cell r="B82" t="str">
            <v>Arauco S.A.C.I.F.</v>
          </cell>
          <cell r="C82" t="str">
            <v>NEUQUÉN</v>
          </cell>
          <cell r="D82" t="str">
            <v>NEUQUÉN</v>
          </cell>
          <cell r="E82">
            <v>2</v>
          </cell>
        </row>
        <row r="83">
          <cell r="A83">
            <v>126</v>
          </cell>
          <cell r="B83" t="str">
            <v>Sapac S.A.</v>
          </cell>
          <cell r="C83" t="str">
            <v>NEUQUÉN</v>
          </cell>
          <cell r="D83" t="str">
            <v>NEUQUÉN</v>
          </cell>
          <cell r="E83">
            <v>2</v>
          </cell>
        </row>
        <row r="84">
          <cell r="A84">
            <v>2003</v>
          </cell>
          <cell r="B84" t="str">
            <v>ARAUCO</v>
          </cell>
          <cell r="C84" t="str">
            <v>NEUQUÉN</v>
          </cell>
          <cell r="D84" t="str">
            <v>NEUQUÉN</v>
          </cell>
          <cell r="E84">
            <v>2</v>
          </cell>
        </row>
        <row r="85">
          <cell r="A85">
            <v>40</v>
          </cell>
          <cell r="B85" t="str">
            <v>Nativa S.A.</v>
          </cell>
          <cell r="C85" t="str">
            <v>Zapala</v>
          </cell>
          <cell r="D85" t="str">
            <v>NEUQUÉN</v>
          </cell>
          <cell r="E85">
            <v>2</v>
          </cell>
        </row>
        <row r="86">
          <cell r="A86">
            <v>220</v>
          </cell>
          <cell r="B86" t="str">
            <v>Pussetto Salta S.A.</v>
          </cell>
          <cell r="C86" t="str">
            <v>Salta</v>
          </cell>
          <cell r="D86" t="str">
            <v>SALTA</v>
          </cell>
          <cell r="E86">
            <v>1</v>
          </cell>
        </row>
        <row r="87">
          <cell r="A87">
            <v>3220</v>
          </cell>
          <cell r="B87" t="str">
            <v>Pussetto Salta S.A.</v>
          </cell>
          <cell r="C87" t="str">
            <v>Salta</v>
          </cell>
          <cell r="D87" t="str">
            <v>SALTA</v>
          </cell>
          <cell r="E87">
            <v>1</v>
          </cell>
        </row>
        <row r="88">
          <cell r="A88">
            <v>159</v>
          </cell>
          <cell r="B88" t="str">
            <v>Escobar S.A.C.I.F.I.</v>
          </cell>
          <cell r="C88" t="str">
            <v>San Juan</v>
          </cell>
          <cell r="D88" t="str">
            <v>SAN JUAN</v>
          </cell>
          <cell r="E88">
            <v>10</v>
          </cell>
        </row>
        <row r="89">
          <cell r="A89">
            <v>30265</v>
          </cell>
          <cell r="B89" t="str">
            <v>Mario Goldstein S.A.C.I.</v>
          </cell>
          <cell r="C89" t="str">
            <v>Santa Fe</v>
          </cell>
          <cell r="D89" t="str">
            <v>SAN JUAN</v>
          </cell>
          <cell r="E89">
            <v>10</v>
          </cell>
        </row>
        <row r="90">
          <cell r="A90">
            <v>156</v>
          </cell>
          <cell r="B90" t="str">
            <v>MARTÍN TRUCKS</v>
          </cell>
          <cell r="C90" t="str">
            <v>San Luis</v>
          </cell>
          <cell r="D90" t="str">
            <v>SAN LUIS</v>
          </cell>
          <cell r="E90">
            <v>10</v>
          </cell>
        </row>
        <row r="91">
          <cell r="A91">
            <v>149</v>
          </cell>
          <cell r="B91" t="str">
            <v>Caleta Olivia Automotores</v>
          </cell>
          <cell r="C91" t="str">
            <v>Caleto Olivia</v>
          </cell>
          <cell r="D91" t="str">
            <v>SANTA CRUZ</v>
          </cell>
          <cell r="E91">
            <v>2</v>
          </cell>
        </row>
        <row r="92">
          <cell r="A92">
            <v>46</v>
          </cell>
          <cell r="B92" t="str">
            <v>Autostop S.A.</v>
          </cell>
          <cell r="C92" t="str">
            <v>Río Gallegos</v>
          </cell>
          <cell r="D92" t="str">
            <v>SANTA CRUZ</v>
          </cell>
          <cell r="E92">
            <v>2</v>
          </cell>
        </row>
        <row r="93">
          <cell r="A93">
            <v>16</v>
          </cell>
          <cell r="B93" t="str">
            <v>J. Bessone e Hijos S.A.</v>
          </cell>
          <cell r="C93" t="str">
            <v>Cañada de Gómez</v>
          </cell>
          <cell r="D93" t="str">
            <v>SANTA FE</v>
          </cell>
          <cell r="E93">
            <v>5</v>
          </cell>
        </row>
        <row r="94">
          <cell r="A94">
            <v>107</v>
          </cell>
          <cell r="B94" t="str">
            <v>Long Automotores S.A.</v>
          </cell>
          <cell r="C94" t="str">
            <v>Rafaela</v>
          </cell>
          <cell r="D94" t="str">
            <v>SANTA FE</v>
          </cell>
          <cell r="E94">
            <v>5</v>
          </cell>
        </row>
        <row r="95">
          <cell r="A95">
            <v>3107</v>
          </cell>
          <cell r="B95" t="str">
            <v>Long Automotores S.A.</v>
          </cell>
          <cell r="C95" t="str">
            <v>Rafaela</v>
          </cell>
          <cell r="D95" t="str">
            <v>SANTA FE</v>
          </cell>
          <cell r="E95">
            <v>5</v>
          </cell>
        </row>
        <row r="96">
          <cell r="A96">
            <v>74</v>
          </cell>
          <cell r="B96" t="str">
            <v>Giorgi Automotores S.A.</v>
          </cell>
          <cell r="C96" t="str">
            <v>Rosario</v>
          </cell>
          <cell r="D96" t="str">
            <v>SANTA FE</v>
          </cell>
          <cell r="E96">
            <v>5</v>
          </cell>
        </row>
        <row r="97">
          <cell r="A97">
            <v>2091</v>
          </cell>
          <cell r="B97" t="str">
            <v>Rodados Integrales S.A.</v>
          </cell>
          <cell r="C97" t="str">
            <v>Rosario</v>
          </cell>
          <cell r="D97" t="str">
            <v>SANTA FE</v>
          </cell>
          <cell r="E97">
            <v>5</v>
          </cell>
        </row>
        <row r="98">
          <cell r="A98">
            <v>3074</v>
          </cell>
          <cell r="B98" t="str">
            <v>Giorgi Automotores S.A.</v>
          </cell>
          <cell r="C98" t="str">
            <v>Rosario</v>
          </cell>
          <cell r="D98" t="str">
            <v>SANTA FE</v>
          </cell>
          <cell r="E98">
            <v>5</v>
          </cell>
        </row>
        <row r="99">
          <cell r="A99">
            <v>12011</v>
          </cell>
          <cell r="B99" t="str">
            <v>Jorge Meriggi e Hijos S.R.</v>
          </cell>
          <cell r="C99" t="str">
            <v>Rosario</v>
          </cell>
          <cell r="D99" t="str">
            <v>SANTA FE</v>
          </cell>
          <cell r="E99">
            <v>5</v>
          </cell>
        </row>
        <row r="100">
          <cell r="A100">
            <v>232</v>
          </cell>
          <cell r="B100" t="str">
            <v>Rayco S.R.L.</v>
          </cell>
          <cell r="C100" t="str">
            <v>San José de Esquina</v>
          </cell>
          <cell r="D100" t="str">
            <v>SANTA FE</v>
          </cell>
          <cell r="E100">
            <v>5</v>
          </cell>
        </row>
        <row r="101">
          <cell r="A101">
            <v>231</v>
          </cell>
          <cell r="B101" t="str">
            <v>Escobar Santa Fe S.A.</v>
          </cell>
          <cell r="C101" t="str">
            <v>Santa Fe</v>
          </cell>
          <cell r="D101" t="str">
            <v>SANTA FE</v>
          </cell>
          <cell r="E101">
            <v>5</v>
          </cell>
        </row>
        <row r="102">
          <cell r="A102">
            <v>11231</v>
          </cell>
          <cell r="B102" t="str">
            <v>Escobar - Land Rover</v>
          </cell>
          <cell r="C102" t="str">
            <v>Santa Fe</v>
          </cell>
          <cell r="D102" t="str">
            <v>SANTA FE</v>
          </cell>
          <cell r="E102">
            <v>5</v>
          </cell>
        </row>
        <row r="103">
          <cell r="A103">
            <v>55</v>
          </cell>
          <cell r="B103" t="str">
            <v>Lo Bruno Automotores S.A.</v>
          </cell>
          <cell r="C103" t="str">
            <v>Santiago del Estero</v>
          </cell>
          <cell r="D103" t="str">
            <v>SANTIAGO DEL ESTERO</v>
          </cell>
          <cell r="E103">
            <v>1</v>
          </cell>
        </row>
        <row r="104">
          <cell r="A104">
            <v>225</v>
          </cell>
          <cell r="B104" t="str">
            <v>Automotores Tierra del Fuego</v>
          </cell>
          <cell r="C104" t="str">
            <v>Río Grande</v>
          </cell>
          <cell r="D104" t="str">
            <v>TIERRA DEL FUEGO</v>
          </cell>
          <cell r="E104">
            <v>2</v>
          </cell>
        </row>
        <row r="105">
          <cell r="A105">
            <v>2082</v>
          </cell>
          <cell r="B105" t="str">
            <v>Automotores Tierra del Fuego</v>
          </cell>
          <cell r="C105" t="str">
            <v>Río Grande</v>
          </cell>
          <cell r="D105" t="str">
            <v>TIERRA DEL FUEGO</v>
          </cell>
          <cell r="E105">
            <v>2</v>
          </cell>
        </row>
        <row r="106">
          <cell r="A106">
            <v>3225</v>
          </cell>
          <cell r="B106" t="str">
            <v>Automotores Tierra del Fuego</v>
          </cell>
          <cell r="C106" t="str">
            <v>Río Grande</v>
          </cell>
          <cell r="D106" t="str">
            <v>TIERRA DEL FUEGO</v>
          </cell>
          <cell r="E106">
            <v>2</v>
          </cell>
        </row>
        <row r="107">
          <cell r="A107">
            <v>11225</v>
          </cell>
          <cell r="B107" t="str">
            <v>Aut. Tierra del Fuego - Land Rover</v>
          </cell>
          <cell r="C107" t="str">
            <v>Río Grande</v>
          </cell>
          <cell r="D107" t="str">
            <v>TIERRA DEL FUEGO</v>
          </cell>
          <cell r="E107">
            <v>2</v>
          </cell>
        </row>
        <row r="108">
          <cell r="A108">
            <v>70</v>
          </cell>
          <cell r="B108" t="str">
            <v>LEÓN ALPEROVICH</v>
          </cell>
          <cell r="C108" t="str">
            <v>San Miguel</v>
          </cell>
          <cell r="D108" t="str">
            <v>TUCUMÁN</v>
          </cell>
          <cell r="E108">
            <v>1</v>
          </cell>
        </row>
        <row r="109">
          <cell r="A109">
            <v>11004</v>
          </cell>
          <cell r="B109" t="str">
            <v>Volsweed S.A.-Land Rover</v>
          </cell>
          <cell r="E109">
            <v>11</v>
          </cell>
        </row>
        <row r="110">
          <cell r="A110">
            <v>12004</v>
          </cell>
          <cell r="B110" t="str">
            <v>Volsweed S.A.-Volvo</v>
          </cell>
          <cell r="E110">
            <v>11</v>
          </cell>
        </row>
      </sheetData>
      <sheetData sheetId="7" refreshError="1"/>
      <sheetData sheetId="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iche synthèse"/>
      <sheetName val="chiffres 2010"/>
      <sheetName val="Effectif"/>
      <sheetName val="SF filiales"/>
      <sheetName val="Budget Filiales"/>
      <sheetName val="Réalisé Filiales"/>
      <sheetName val="R_Effectifs"/>
      <sheetName val="Feuil1"/>
    </sheetNames>
    <sheetDataSet>
      <sheetData sheetId="0">
        <row r="16">
          <cell r="I16">
            <v>841</v>
          </cell>
        </row>
      </sheetData>
      <sheetData sheetId="1">
        <row r="6">
          <cell r="K6" t="str">
            <v>DIV</v>
          </cell>
        </row>
        <row r="31">
          <cell r="K31" t="str">
            <v>DIV</v>
          </cell>
        </row>
        <row r="32">
          <cell r="K32" t="str">
            <v>CTP</v>
          </cell>
        </row>
        <row r="33">
          <cell r="K33" t="str">
            <v>GMO</v>
          </cell>
        </row>
        <row r="34">
          <cell r="K34" t="str">
            <v>Transport et Logistique Automobiles</v>
          </cell>
        </row>
        <row r="35">
          <cell r="K35" t="str">
            <v>OVL</v>
          </cell>
        </row>
        <row r="36">
          <cell r="K36" t="str">
            <v>OVS</v>
          </cell>
        </row>
        <row r="37">
          <cell r="K37" t="str">
            <v>LOG</v>
          </cell>
        </row>
        <row r="38">
          <cell r="K38" t="str">
            <v>Transport et Logistique Industriels</v>
          </cell>
        </row>
        <row r="39">
          <cell r="K39" t="str">
            <v>Siège fonctionnel et Hors activité</v>
          </cell>
        </row>
        <row r="40">
          <cell r="K40" t="str">
            <v>Informatique</v>
          </cell>
        </row>
        <row r="41">
          <cell r="K41" t="str">
            <v>GEFCO</v>
          </cell>
        </row>
      </sheetData>
      <sheetData sheetId="2"/>
      <sheetData sheetId="3">
        <row r="130">
          <cell r="B130" t="str">
            <v>Structure Financière
décembre 2010</v>
          </cell>
          <cell r="C130" t="str">
            <v>Groupe</v>
          </cell>
          <cell r="D130">
            <v>800</v>
          </cell>
          <cell r="E130">
            <v>814</v>
          </cell>
          <cell r="F130">
            <v>815</v>
          </cell>
          <cell r="G130">
            <v>817</v>
          </cell>
          <cell r="H130">
            <v>820</v>
          </cell>
          <cell r="I130">
            <v>822</v>
          </cell>
          <cell r="J130">
            <v>825</v>
          </cell>
          <cell r="K130">
            <v>829</v>
          </cell>
          <cell r="L130">
            <v>830</v>
          </cell>
          <cell r="M130">
            <v>832</v>
          </cell>
          <cell r="N130">
            <v>833</v>
          </cell>
          <cell r="O130">
            <v>834</v>
          </cell>
          <cell r="P130">
            <v>835</v>
          </cell>
          <cell r="Q130">
            <v>836</v>
          </cell>
          <cell r="R130">
            <v>837</v>
          </cell>
          <cell r="S130">
            <v>838</v>
          </cell>
          <cell r="T130">
            <v>839</v>
          </cell>
          <cell r="U130">
            <v>840</v>
          </cell>
          <cell r="V130">
            <v>841</v>
          </cell>
          <cell r="W130">
            <v>842</v>
          </cell>
          <cell r="X130">
            <v>843</v>
          </cell>
          <cell r="Y130">
            <v>844</v>
          </cell>
          <cell r="Z130">
            <v>845</v>
          </cell>
          <cell r="AA130">
            <v>846</v>
          </cell>
          <cell r="AB130">
            <v>848</v>
          </cell>
          <cell r="AC130">
            <v>849</v>
          </cell>
          <cell r="AD130">
            <v>851</v>
          </cell>
          <cell r="AE130">
            <v>852</v>
          </cell>
        </row>
      </sheetData>
      <sheetData sheetId="4">
        <row r="4">
          <cell r="A4" t="str">
            <v>GEFCO France</v>
          </cell>
        </row>
        <row r="5">
          <cell r="A5" t="str">
            <v>GEFCO Allemagne</v>
          </cell>
        </row>
        <row r="6">
          <cell r="A6" t="str">
            <v>GEFCO Italie</v>
          </cell>
        </row>
        <row r="7">
          <cell r="A7" t="str">
            <v>GEFCO Benelux</v>
          </cell>
        </row>
        <row r="8">
          <cell r="A8" t="str">
            <v>GEFCO Espagne</v>
          </cell>
        </row>
        <row r="9">
          <cell r="A9" t="str">
            <v>GEFCO Portugal</v>
          </cell>
        </row>
        <row r="10">
          <cell r="A10" t="str">
            <v>GEFCO UK</v>
          </cell>
        </row>
        <row r="11">
          <cell r="A11" t="str">
            <v>GEFCO Baltic</v>
          </cell>
        </row>
        <row r="12">
          <cell r="A12" t="str">
            <v>GEFCO Suisse</v>
          </cell>
        </row>
        <row r="13">
          <cell r="A13" t="str">
            <v>GEFCO Autriche</v>
          </cell>
        </row>
        <row r="14">
          <cell r="A14" t="str">
            <v>GEFCO Rép. Tchèque</v>
          </cell>
        </row>
        <row r="15">
          <cell r="A15" t="str">
            <v>GEFCO Slovaquie</v>
          </cell>
        </row>
        <row r="16">
          <cell r="A16" t="str">
            <v>GEFCO Pologne</v>
          </cell>
        </row>
        <row r="17">
          <cell r="A17" t="str">
            <v>GEFCO Roumanie</v>
          </cell>
        </row>
        <row r="18">
          <cell r="A18" t="str">
            <v>GEFCO Russie</v>
          </cell>
        </row>
        <row r="19">
          <cell r="A19" t="str">
            <v>GEFCO Slovénie</v>
          </cell>
        </row>
        <row r="20">
          <cell r="A20" t="str">
            <v>GEFCO Hongrie</v>
          </cell>
        </row>
        <row r="21">
          <cell r="A21" t="str">
            <v>GEFCO Brésil</v>
          </cell>
        </row>
        <row r="22">
          <cell r="A22" t="str">
            <v>GEFCO Argentine</v>
          </cell>
        </row>
        <row r="23">
          <cell r="A23" t="str">
            <v>GEFCO Maroc</v>
          </cell>
        </row>
        <row r="24">
          <cell r="A24" t="str">
            <v>GEFCO Turquie</v>
          </cell>
        </row>
        <row r="25">
          <cell r="A25" t="str">
            <v>GEFCO Chili</v>
          </cell>
        </row>
        <row r="26">
          <cell r="A26" t="str">
            <v>Algai</v>
          </cell>
        </row>
        <row r="27">
          <cell r="A27" t="str">
            <v>GEFCO Chine</v>
          </cell>
        </row>
        <row r="28">
          <cell r="A28" t="str">
            <v>GEFCO Hong Kong</v>
          </cell>
        </row>
        <row r="29">
          <cell r="A29" t="str">
            <v>GEFCO Ukraine</v>
          </cell>
        </row>
        <row r="30">
          <cell r="A30" t="str">
            <v>Granat</v>
          </cell>
        </row>
        <row r="31">
          <cell r="A31" t="str">
            <v>Régularisations Consolidation</v>
          </cell>
        </row>
        <row r="32">
          <cell r="A32" t="str">
            <v>Régularisations Ajustement</v>
          </cell>
        </row>
        <row r="33">
          <cell r="A33" t="str">
            <v>Consolidation Gefco (Exploit.)</v>
          </cell>
        </row>
        <row r="34">
          <cell r="A34" t="str">
            <v>Consolidation Gefco (Finance)</v>
          </cell>
        </row>
        <row r="35">
          <cell r="A35" t="str">
            <v>Consolidation Gefco (Siège Fonct.)</v>
          </cell>
        </row>
        <row r="36">
          <cell r="A36" t="str">
            <v>Consolidation Gefco (Hors Activité)</v>
          </cell>
        </row>
        <row r="37">
          <cell r="A37" t="str">
            <v>Consolidation Gefco (Informatique)</v>
          </cell>
        </row>
        <row r="38">
          <cell r="A38" t="str">
            <v>Consolidation Gefco (cum. ligne à ligne)</v>
          </cell>
        </row>
        <row r="39">
          <cell r="A39" t="str">
            <v>Consolidation Gefco</v>
          </cell>
        </row>
        <row r="41">
          <cell r="A41" t="str">
            <v>MERCURIO Italie</v>
          </cell>
        </row>
        <row r="42">
          <cell r="A42" t="str">
            <v>MERCURIO Allemagne</v>
          </cell>
        </row>
        <row r="43">
          <cell r="A43" t="str">
            <v>MERCURIO Bénélux</v>
          </cell>
        </row>
        <row r="44">
          <cell r="A44" t="str">
            <v>MERCURIO Slovaquie</v>
          </cell>
        </row>
        <row r="45">
          <cell r="A45" t="str">
            <v>MERCURIO France</v>
          </cell>
        </row>
        <row r="46">
          <cell r="A46" t="str">
            <v>MERCURIO Inde</v>
          </cell>
        </row>
        <row r="47">
          <cell r="A47" t="str">
            <v>Régularisations Consolidation Mercurio</v>
          </cell>
        </row>
        <row r="48">
          <cell r="A48" t="str">
            <v>Consolidation Mercurio (Exploit.)</v>
          </cell>
        </row>
        <row r="49">
          <cell r="A49" t="str">
            <v>Consolidation Mercurio (Siège Fonct.)</v>
          </cell>
        </row>
        <row r="50">
          <cell r="A50" t="str">
            <v>Consolidation Mercurio (Informatique)</v>
          </cell>
        </row>
        <row r="51">
          <cell r="A51" t="str">
            <v>Consolidation Mercurio (Finance)</v>
          </cell>
        </row>
        <row r="52">
          <cell r="A52" t="str">
            <v>Consolidation Mercurio (Hors Activité)</v>
          </cell>
        </row>
        <row r="53">
          <cell r="A53" t="str">
            <v>Consolidation Mercurio (cum. ligne à ligne)</v>
          </cell>
        </row>
        <row r="54">
          <cell r="A54" t="str">
            <v>Consolidation Mercurio</v>
          </cell>
        </row>
        <row r="56">
          <cell r="A56" t="str">
            <v>Consolidation GROUPE GEFCO</v>
          </cell>
        </row>
      </sheetData>
      <sheetData sheetId="5">
        <row r="4">
          <cell r="A4" t="str">
            <v>GEFCO France</v>
          </cell>
        </row>
      </sheetData>
      <sheetData sheetId="6">
        <row r="3">
          <cell r="B3" t="str">
            <v>CTP</v>
          </cell>
        </row>
      </sheetData>
      <sheetData sheetId="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roveedores"/>
      <sheetName val="Hoja3"/>
      <sheetName val="cara"/>
      <sheetName val="Hoja1"/>
      <sheetName val="graficoranking"/>
      <sheetName val="ranking"/>
      <sheetName val="fcxproveed"/>
      <sheetName val="cofor"/>
      <sheetName val="porcentaje"/>
      <sheetName val="Sintesis"/>
      <sheetName val="Informativo"/>
      <sheetName val="Comparisons"/>
      <sheetName val="FEUILLE DE BASE"/>
      <sheetName val="BAREME"/>
      <sheetName val="SF filiales"/>
      <sheetName val="chiffres 2010"/>
      <sheetName val="Budget Filiales"/>
      <sheetName val="DEUDORES EN GESTION"/>
    </sheetNames>
    <sheetDataSet>
      <sheetData sheetId="0"/>
      <sheetData sheetId="1" refreshError="1"/>
      <sheetData sheetId="2" refreshError="1"/>
      <sheetData sheetId="3" refreshError="1"/>
      <sheetData sheetId="4" refreshError="1"/>
      <sheetData sheetId="5" refreshError="1"/>
      <sheetData sheetId="6" refreshError="1"/>
      <sheetData sheetId="7" refreshError="1">
        <row r="2">
          <cell r="A2" t="str">
            <v>A. Prats</v>
          </cell>
          <cell r="B2" t="str">
            <v>15042ZB2B2</v>
          </cell>
        </row>
        <row r="3">
          <cell r="A3" t="str">
            <v>AAM do Brasil</v>
          </cell>
          <cell r="B3" t="str">
            <v>15153V0101</v>
          </cell>
        </row>
        <row r="4">
          <cell r="A4" t="str">
            <v>Adler PTI</v>
          </cell>
          <cell r="B4" t="str">
            <v>15068CB2B2</v>
          </cell>
        </row>
        <row r="5">
          <cell r="A5" t="str">
            <v>AKsys</v>
          </cell>
          <cell r="B5" t="str">
            <v>15282K0101</v>
          </cell>
        </row>
        <row r="6">
          <cell r="A6" t="str">
            <v>ArvinMeritor</v>
          </cell>
          <cell r="B6" t="str">
            <v>15020A0303</v>
          </cell>
        </row>
        <row r="7">
          <cell r="A7" t="str">
            <v>ASK</v>
          </cell>
          <cell r="B7" t="str">
            <v>15222V0101</v>
          </cell>
        </row>
        <row r="8">
          <cell r="A8" t="str">
            <v>Autoliv</v>
          </cell>
          <cell r="B8" t="str">
            <v>15061VB2B2</v>
          </cell>
        </row>
        <row r="9">
          <cell r="A9" t="str">
            <v>Basf</v>
          </cell>
          <cell r="B9" t="str">
            <v>15051J0101</v>
          </cell>
        </row>
        <row r="10">
          <cell r="A10" t="str">
            <v>Benteler</v>
          </cell>
          <cell r="B10" t="str">
            <v>15037UB3B3</v>
          </cell>
        </row>
        <row r="11">
          <cell r="A11" t="str">
            <v>Benteler PR</v>
          </cell>
          <cell r="B11" t="str">
            <v>15037UB3B3</v>
          </cell>
        </row>
        <row r="12">
          <cell r="A12" t="str">
            <v>Bollhoff Moll</v>
          </cell>
          <cell r="B12" t="str">
            <v>15066A0101</v>
          </cell>
        </row>
        <row r="13">
          <cell r="A13" t="str">
            <v>Borlem</v>
          </cell>
          <cell r="B13" t="str">
            <v>15026GB1B1</v>
          </cell>
        </row>
        <row r="14">
          <cell r="A14" t="str">
            <v>Bosal</v>
          </cell>
          <cell r="B14" t="str">
            <v>15229C0101</v>
          </cell>
        </row>
        <row r="15">
          <cell r="A15" t="str">
            <v>Brandl</v>
          </cell>
          <cell r="B15" t="str">
            <v>15213KB0B0</v>
          </cell>
        </row>
        <row r="16">
          <cell r="A16" t="str">
            <v>Cobra Metais</v>
          </cell>
          <cell r="B16" t="str">
            <v>15131WB0B0</v>
          </cell>
        </row>
        <row r="17">
          <cell r="A17" t="str">
            <v>Continental</v>
          </cell>
          <cell r="B17" t="str">
            <v>15322D0101</v>
          </cell>
        </row>
        <row r="18">
          <cell r="A18" t="str">
            <v>Contitech Cur</v>
          </cell>
          <cell r="B18" t="str">
            <v>15021BB2B2</v>
          </cell>
        </row>
        <row r="19">
          <cell r="A19" t="str">
            <v>Cooperstand</v>
          </cell>
        </row>
        <row r="20">
          <cell r="A20" t="str">
            <v>Daytec</v>
          </cell>
          <cell r="B20" t="str">
            <v>15303G0101</v>
          </cell>
        </row>
        <row r="21">
          <cell r="A21" t="str">
            <v>Delco Remy</v>
          </cell>
          <cell r="B21" t="str">
            <v>15257H0101</v>
          </cell>
        </row>
        <row r="22">
          <cell r="A22" t="str">
            <v>Delphi Jepp</v>
          </cell>
          <cell r="B22" t="str">
            <v>81883CB2B2</v>
          </cell>
        </row>
        <row r="23">
          <cell r="A23" t="str">
            <v>Delphi Ram</v>
          </cell>
          <cell r="B23" t="str">
            <v>81883CB2B2</v>
          </cell>
        </row>
        <row r="24">
          <cell r="A24" t="str">
            <v>Denso</v>
          </cell>
          <cell r="B24" t="str">
            <v>15012SB7B7</v>
          </cell>
        </row>
        <row r="25">
          <cell r="A25" t="str">
            <v>DHB Comp</v>
          </cell>
          <cell r="B25" t="str">
            <v>15239N0101</v>
          </cell>
        </row>
        <row r="26">
          <cell r="A26" t="str">
            <v>Dura</v>
          </cell>
          <cell r="B26" t="str">
            <v>15057RB2B2</v>
          </cell>
        </row>
        <row r="27">
          <cell r="A27" t="str">
            <v>Elice</v>
          </cell>
        </row>
        <row r="28">
          <cell r="A28" t="str">
            <v>Faurecia</v>
          </cell>
          <cell r="B28" t="str">
            <v>15009NB1B1</v>
          </cell>
        </row>
        <row r="29">
          <cell r="A29" t="str">
            <v>Faurecia Pan</v>
          </cell>
          <cell r="B29" t="str">
            <v>15228B0101</v>
          </cell>
        </row>
        <row r="30">
          <cell r="A30" t="str">
            <v>Ficosa</v>
          </cell>
          <cell r="B30" t="str">
            <v>15087YB2B2</v>
          </cell>
        </row>
        <row r="31">
          <cell r="A31" t="str">
            <v>Filtros Mann</v>
          </cell>
          <cell r="B31" t="str">
            <v>15054MB2B2</v>
          </cell>
        </row>
        <row r="32">
          <cell r="A32" t="str">
            <v>Freuden</v>
          </cell>
          <cell r="B32" t="str">
            <v>15214LB0B0</v>
          </cell>
        </row>
        <row r="33">
          <cell r="A33" t="str">
            <v>Hutch-Ext</v>
          </cell>
        </row>
        <row r="34">
          <cell r="A34" t="str">
            <v>Hutch-M Alto</v>
          </cell>
        </row>
        <row r="35">
          <cell r="A35" t="str">
            <v>Indebras</v>
          </cell>
        </row>
        <row r="36">
          <cell r="A36" t="str">
            <v>Iramec</v>
          </cell>
          <cell r="B36" t="str">
            <v>15079PB2B2</v>
          </cell>
        </row>
        <row r="37">
          <cell r="A37" t="str">
            <v>Italspeed</v>
          </cell>
          <cell r="B37" t="str">
            <v>15015VB3B3</v>
          </cell>
        </row>
        <row r="38">
          <cell r="A38" t="str">
            <v>JCAE</v>
          </cell>
          <cell r="B38" t="str">
            <v>15121KB0B0</v>
          </cell>
        </row>
        <row r="39">
          <cell r="A39" t="str">
            <v>Jhonson Ctrls</v>
          </cell>
          <cell r="B39" t="str">
            <v>15006KB2B2</v>
          </cell>
        </row>
        <row r="40">
          <cell r="A40" t="str">
            <v>Kidde</v>
          </cell>
          <cell r="B40" t="str">
            <v>15275C0101</v>
          </cell>
        </row>
        <row r="41">
          <cell r="A41" t="str">
            <v>Magneti Cofap</v>
          </cell>
          <cell r="B41" t="str">
            <v>15157ZB0B0</v>
          </cell>
        </row>
        <row r="42">
          <cell r="A42" t="str">
            <v>Magneti Marelli</v>
          </cell>
          <cell r="B42" t="str">
            <v>15012SB6B6</v>
          </cell>
        </row>
        <row r="43">
          <cell r="A43" t="str">
            <v>Manuli</v>
          </cell>
          <cell r="B43" t="str">
            <v>15053LB2B2</v>
          </cell>
        </row>
        <row r="44">
          <cell r="A44" t="str">
            <v>Meritor</v>
          </cell>
          <cell r="B44" t="str">
            <v>15020A0303</v>
          </cell>
        </row>
        <row r="45">
          <cell r="A45" t="str">
            <v>Metal Paschoal</v>
          </cell>
          <cell r="B45" t="str">
            <v>15116EB2B2</v>
          </cell>
        </row>
        <row r="46">
          <cell r="A46" t="str">
            <v>Metal Pedro</v>
          </cell>
          <cell r="B46" t="str">
            <v>15162EB0B0</v>
          </cell>
        </row>
        <row r="47">
          <cell r="A47" t="str">
            <v>MGI</v>
          </cell>
          <cell r="B47" t="str">
            <v>15065ZB2B2</v>
          </cell>
        </row>
        <row r="48">
          <cell r="A48" t="str">
            <v>Paranao</v>
          </cell>
          <cell r="B48" t="str">
            <v>15259K0101</v>
          </cell>
        </row>
        <row r="49">
          <cell r="A49" t="str">
            <v>Peças Quality</v>
          </cell>
          <cell r="B49" t="str">
            <v>15224X0101</v>
          </cell>
        </row>
        <row r="50">
          <cell r="A50" t="str">
            <v>Peug Bra</v>
          </cell>
          <cell r="B50" t="str">
            <v>51550G 04</v>
          </cell>
        </row>
        <row r="51">
          <cell r="A51" t="str">
            <v>Peug DLPR</v>
          </cell>
        </row>
        <row r="52">
          <cell r="A52" t="str">
            <v>Plas Omnium</v>
          </cell>
          <cell r="B52" t="str">
            <v>15005JB2B2</v>
          </cell>
        </row>
        <row r="53">
          <cell r="A53" t="str">
            <v>Progeral</v>
          </cell>
          <cell r="B53" t="str">
            <v>15263P0101</v>
          </cell>
        </row>
        <row r="54">
          <cell r="A54" t="str">
            <v>R Bosch Camp</v>
          </cell>
          <cell r="B54" t="str">
            <v>15017XB5B5</v>
          </cell>
        </row>
        <row r="55">
          <cell r="A55" t="str">
            <v>R Bosch Fre</v>
          </cell>
          <cell r="B55" t="str">
            <v>15017XB5B5</v>
          </cell>
        </row>
        <row r="56">
          <cell r="A56" t="str">
            <v>R Bosch SP</v>
          </cell>
          <cell r="B56" t="str">
            <v>15017XB5B5</v>
          </cell>
        </row>
        <row r="57">
          <cell r="A57" t="str">
            <v>Rieter</v>
          </cell>
          <cell r="B57" t="str">
            <v>15011RB2B2</v>
          </cell>
        </row>
        <row r="58">
          <cell r="A58" t="str">
            <v>S Gobain</v>
          </cell>
          <cell r="B58" t="str">
            <v>15001EB3B3</v>
          </cell>
        </row>
        <row r="59">
          <cell r="A59" t="str">
            <v>Schrader</v>
          </cell>
          <cell r="B59" t="str">
            <v>15251B0101</v>
          </cell>
        </row>
        <row r="60">
          <cell r="A60" t="str">
            <v>Silvaflex</v>
          </cell>
          <cell r="B60" t="str">
            <v>15342A0101</v>
          </cell>
        </row>
        <row r="61">
          <cell r="A61" t="str">
            <v>Silvaflex Cur</v>
          </cell>
          <cell r="B61" t="str">
            <v>15342A0101</v>
          </cell>
        </row>
        <row r="62">
          <cell r="A62" t="str">
            <v>SNR</v>
          </cell>
        </row>
        <row r="63">
          <cell r="A63" t="str">
            <v>Sofedit</v>
          </cell>
          <cell r="B63" t="str">
            <v>15063XB2B2</v>
          </cell>
        </row>
        <row r="64">
          <cell r="A64" t="str">
            <v>Sogefi Fiamn</v>
          </cell>
          <cell r="B64" t="str">
            <v>15236K0101</v>
          </cell>
        </row>
        <row r="65">
          <cell r="A65" t="str">
            <v>Sparco</v>
          </cell>
        </row>
        <row r="66">
          <cell r="A66" t="str">
            <v>Stamp Pumas</v>
          </cell>
          <cell r="B66" t="str">
            <v>15334S0101</v>
          </cell>
        </row>
        <row r="67">
          <cell r="A67" t="str">
            <v>Teleflex</v>
          </cell>
          <cell r="B67" t="str">
            <v>15123MB0B0</v>
          </cell>
        </row>
        <row r="68">
          <cell r="A68" t="str">
            <v>Tenneco</v>
          </cell>
        </row>
        <row r="69">
          <cell r="A69" t="str">
            <v>Thyssenkrupp</v>
          </cell>
        </row>
        <row r="70">
          <cell r="A70" t="str">
            <v>Treves do Brasil</v>
          </cell>
        </row>
        <row r="71">
          <cell r="A71" t="str">
            <v>Trimtec</v>
          </cell>
        </row>
        <row r="72">
          <cell r="A72" t="str">
            <v>TRW</v>
          </cell>
        </row>
        <row r="73">
          <cell r="A73" t="str">
            <v>Tupy</v>
          </cell>
          <cell r="B73" t="str">
            <v>15083UB0B0</v>
          </cell>
        </row>
        <row r="74">
          <cell r="A74" t="str">
            <v>Valeo Eléc</v>
          </cell>
          <cell r="B74" t="str">
            <v>15025F0202</v>
          </cell>
        </row>
        <row r="75">
          <cell r="A75" t="str">
            <v>Valeo Embr</v>
          </cell>
        </row>
        <row r="76">
          <cell r="A76" t="str">
            <v>Valeo Limp</v>
          </cell>
          <cell r="B76" t="str">
            <v>15025F0000</v>
          </cell>
        </row>
        <row r="77">
          <cell r="A77" t="str">
            <v>Valeo Sistemas Autom.</v>
          </cell>
          <cell r="B77" t="str">
            <v>15025F0404</v>
          </cell>
        </row>
        <row r="78">
          <cell r="A78" t="str">
            <v>Valeo Térm</v>
          </cell>
          <cell r="B78" t="str">
            <v>15025F0303</v>
          </cell>
        </row>
        <row r="79">
          <cell r="A79" t="str">
            <v>VDO Siemens</v>
          </cell>
          <cell r="B79" t="str">
            <v>15103RB0B0</v>
          </cell>
        </row>
        <row r="80">
          <cell r="A80" t="str">
            <v>Visteon</v>
          </cell>
          <cell r="B80" t="str">
            <v>15003GB2B2</v>
          </cell>
        </row>
        <row r="81">
          <cell r="A81" t="str">
            <v>Weidman</v>
          </cell>
          <cell r="B81" t="str">
            <v>15249Z0101</v>
          </cell>
        </row>
        <row r="82">
          <cell r="A82" t="str">
            <v>Westaflex</v>
          </cell>
          <cell r="B82" t="str">
            <v>15082TB2B2</v>
          </cell>
        </row>
        <row r="83">
          <cell r="A83" t="str">
            <v>Yazaki</v>
          </cell>
          <cell r="B83" t="str">
            <v>15190KB0B0</v>
          </cell>
        </row>
        <row r="84">
          <cell r="A84" t="str">
            <v>Zanini</v>
          </cell>
          <cell r="B84" t="str">
            <v>15067BB2B2</v>
          </cell>
        </row>
        <row r="85">
          <cell r="A85" t="str">
            <v>ZF Lemforder</v>
          </cell>
          <cell r="B85" t="str">
            <v>15241R0101</v>
          </cell>
        </row>
        <row r="86">
          <cell r="A86" t="str">
            <v>ZF Nacam</v>
          </cell>
          <cell r="B86" t="str">
            <v>1453</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euil"/>
      <sheetName val="ESQUEMA"/>
      <sheetName val="SANTA FE"/>
      <sheetName val="CORDOBA"/>
      <sheetName val="MENDOZA"/>
      <sheetName val="PERSONAL"/>
      <sheetName val="GASTOS GENERALES"/>
      <sheetName val="RESUMEN GASTOS"/>
      <sheetName val="CPTE EXPLOITATION"/>
      <sheetName val="TARIFAS"/>
      <sheetName val="COMPARATIVA ACTUAL"/>
      <sheetName val="cofor"/>
    </sheetNames>
    <sheetDataSet>
      <sheetData sheetId="0"/>
      <sheetData sheetId="1"/>
      <sheetData sheetId="2"/>
      <sheetData sheetId="3"/>
      <sheetData sheetId="4"/>
      <sheetData sheetId="5"/>
      <sheetData sheetId="6"/>
      <sheetData sheetId="7" refreshError="1">
        <row r="23">
          <cell r="E23">
            <v>5.5296846011131722</v>
          </cell>
        </row>
        <row r="25">
          <cell r="E25">
            <v>5.9458974205517983</v>
          </cell>
        </row>
      </sheetData>
      <sheetData sheetId="8"/>
      <sheetData sheetId="9"/>
      <sheetData sheetId="10"/>
      <sheetData sheetId="1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euil1"/>
      <sheetName val="Lay Out CARREFOUR"/>
      <sheetName val="Superficie"/>
      <sheetName val="Salarios"/>
      <sheetName val="Máquinas"/>
      <sheetName val="Gastos Generales"/>
      <sheetName val="Vigilancia, Limpieza"/>
      <sheetName val="Servicios e Impuestos"/>
      <sheetName val="Inversiones"/>
      <sheetName val="Resumen Carrefour"/>
      <sheetName val="Cpte exploitation ILI"/>
      <sheetName val="Lay Out"/>
      <sheetName val="Sistemas1"/>
      <sheetName val="Costos Almacenamiento"/>
      <sheetName val="INOUT"/>
      <sheetName val="Deposito Fiscal"/>
      <sheetName val="Deposito Pacheco"/>
      <sheetName val="RMLAP_ILI"/>
      <sheetName val="Agencia Pacheco"/>
      <sheetName val="RESUMEN GASTOS"/>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OSSIER PROCESS MOYENS"/>
      <sheetName val="SOMMAIRE"/>
      <sheetName val="1. PRESENTATION PROJET"/>
      <sheetName val="2. PRESENTATION PRODUIT"/>
      <sheetName val="2.1 IDENTIFICATION REFERENCES"/>
      <sheetName val="3. PRESENTATION PROCESS"/>
      <sheetName val="3.1 HYPOTHESES PROCESS"/>
      <sheetName val="3.1 HYPOTHESES PROCESS (2)"/>
      <sheetName val="3.2 SYNOPTIQUE PROCESS"/>
      <sheetName val="3.2 SYNOPTIQUE PROCESS (2)"/>
      <sheetName val="3.3 PROCESS FABRICATION"/>
      <sheetName val="3.4 IMPLANTATION"/>
      <sheetName val="3.5 FICHES ANALYSE OPERATIONS"/>
      <sheetName val="3.6 RELEVE TEMPS"/>
      <sheetName val="3.7 SIMOGRAMME"/>
      <sheetName val="3.8 ETUDE MAF"/>
      <sheetName val="3.9 CHIFFRAGE CONDITIONNEMENT"/>
      <sheetName val="3.10 SCHEMA CONDITIONNEMENT"/>
      <sheetName val="Gastos Generales"/>
    </sheetNames>
    <sheetDataSet>
      <sheetData sheetId="0" refreshError="1">
        <row r="8">
          <cell r="K8">
            <v>36971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enu"/>
      <sheetName val="Data"/>
      <sheetName val="Units"/>
      <sheetName val="Param"/>
      <sheetName val="calcul coeff"/>
      <sheetName val="FlowChart"/>
      <sheetName val="Brouillon"/>
      <sheetName val="gammes"/>
      <sheetName val="Cyclo + Transp Aval"/>
      <sheetName val="Calcul Surface"/>
      <sheetName val="Taxes"/>
      <sheetName val="Synthese Gamme"/>
      <sheetName val="Saisonnalite"/>
      <sheetName val="Budget"/>
      <sheetName val="Synthese Dossier"/>
      <sheetName val="Organigramme"/>
      <sheetName val="Décomposition"/>
      <sheetName val="Compte Exploit"/>
      <sheetName val="Cpte Exploit_5ans"/>
      <sheetName val="Cpte Exploit Simpl_5ans"/>
      <sheetName val="DOSSIER PROCESS MOYENS"/>
    </sheetNames>
    <sheetDataSet>
      <sheetData sheetId="0"/>
      <sheetData sheetId="1"/>
      <sheetData sheetId="2" refreshError="1">
        <row r="30">
          <cell r="J30" t="str">
            <v>'Units'!$C$0:$C$0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enu"/>
      <sheetName val="Data"/>
      <sheetName val="Units"/>
      <sheetName val="Param"/>
      <sheetName val="calcul coeff"/>
      <sheetName val="FlowChart"/>
      <sheetName val="Brouillon"/>
      <sheetName val="gammes"/>
      <sheetName val="Cyclo + Transp Aval"/>
      <sheetName val="Calcul Surface"/>
      <sheetName val="Taxes"/>
      <sheetName val="Synthese Gamme"/>
      <sheetName val="Saisonnalite"/>
      <sheetName val="Budget"/>
      <sheetName val="Synthese Dossier"/>
      <sheetName val="Organigramme"/>
      <sheetName val="Compte Exploit"/>
      <sheetName val="Cpte Exploit_5ans"/>
      <sheetName val="Cpte Exploit Simpl_5ans"/>
    </sheetNames>
    <sheetDataSet>
      <sheetData sheetId="0"/>
      <sheetData sheetId="1"/>
      <sheetData sheetId="2"/>
      <sheetData sheetId="3" refreshError="1">
        <row r="176">
          <cell r="E176" t="str">
            <v>'Param'!$D$0:$D$0</v>
          </cell>
        </row>
        <row r="177">
          <cell r="D177" t="str">
            <v>-</v>
          </cell>
        </row>
        <row r="178">
          <cell r="D178" t="str">
            <v>-</v>
          </cell>
        </row>
        <row r="179">
          <cell r="D179" t="str">
            <v>-</v>
          </cell>
        </row>
        <row r="180">
          <cell r="D180" t="str">
            <v>-</v>
          </cell>
        </row>
        <row r="181">
          <cell r="D181" t="str">
            <v>-</v>
          </cell>
        </row>
        <row r="182">
          <cell r="D182" t="str">
            <v>-</v>
          </cell>
        </row>
        <row r="183">
          <cell r="D183" t="str">
            <v>-</v>
          </cell>
        </row>
        <row r="184">
          <cell r="D184" t="str">
            <v>-</v>
          </cell>
        </row>
        <row r="185">
          <cell r="D185" t="str">
            <v>-</v>
          </cell>
        </row>
        <row r="186">
          <cell r="D186" t="str">
            <v>-</v>
          </cell>
        </row>
        <row r="187">
          <cell r="D187" t="str">
            <v>-</v>
          </cell>
        </row>
        <row r="188">
          <cell r="D188" t="str">
            <v>-</v>
          </cell>
        </row>
        <row r="189">
          <cell r="D189" t="str">
            <v>-</v>
          </cell>
        </row>
        <row r="190">
          <cell r="D190" t="str">
            <v>-</v>
          </cell>
        </row>
        <row r="191">
          <cell r="D191" t="str">
            <v>-</v>
          </cell>
        </row>
        <row r="192">
          <cell r="D192"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enu"/>
      <sheetName val="Data"/>
      <sheetName val="Units"/>
      <sheetName val="Param"/>
      <sheetName val="calcul coeff"/>
      <sheetName val="FlowChart"/>
      <sheetName val="Brouillon"/>
      <sheetName val="gammes"/>
      <sheetName val="Cyclo + Transp Aval"/>
      <sheetName val="Calcul Surface"/>
      <sheetName val="Taxes"/>
      <sheetName val="Synthese Gamme"/>
      <sheetName val="Saisonnalite"/>
      <sheetName val="Budget"/>
      <sheetName val="Synthese Dossier"/>
      <sheetName val="Organigramme"/>
      <sheetName val="Compte Exploit"/>
      <sheetName val="Cpte Exploit_5ans"/>
      <sheetName val="Cpte Exploit Simpl_5ans"/>
    </sheetNames>
    <sheetDataSet>
      <sheetData sheetId="0" refreshError="1"/>
      <sheetData sheetId="1" refreshError="1"/>
      <sheetData sheetId="2" refreshError="1"/>
      <sheetData sheetId="3" refreshError="1">
        <row r="196">
          <cell r="E196" t="str">
            <v>'Param'!$B$197:$B$227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atalogue"/>
      <sheetName val="Couts agence std"/>
      <sheetName val="AParam"/>
    </sheetNames>
    <sheetDataSet>
      <sheetData sheetId="0" refreshError="1"/>
      <sheetData sheetId="1" refreshError="1"/>
      <sheetData sheetId="2"/>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Detalle Ventas"/>
      <sheetName val="Feuil1"/>
      <sheetName val="Datos"/>
      <sheetName val="Flujos m3"/>
      <sheetName val="Tiempos"/>
      <sheetName val="Unidades"/>
      <sheetName val="Recepción"/>
      <sheetName val="ILI_Recepción"/>
      <sheetName val="ILI-Abast. a Normalización"/>
      <sheetName val="ILI_Almacenaje"/>
      <sheetName val="Picking"/>
      <sheetName val="ILI_Picking+Expedición"/>
      <sheetName val="Dotación Necesaria"/>
      <sheetName val="Salarios"/>
      <sheetName val="PERSONAL_SONY"/>
      <sheetName val="RMLAP_Pto"/>
      <sheetName val="Cotización Transporte"/>
      <sheetName val="Proyección_RMLAP"/>
      <sheetName val="RMLAP_Dist-Mayorista"/>
      <sheetName val="RMLAP_Dist-Minorista"/>
      <sheetName val="Distribución al Interior"/>
      <sheetName val="Entregas Varias"/>
      <sheetName val="Resumen RML"/>
      <sheetName val="MÁQUINAS"/>
      <sheetName val="INVERSIÓN"/>
      <sheetName val="SISTEMAS-INV"/>
      <sheetName val="GASTOS GENERALES"/>
      <sheetName val="VIGILANTES Y LIMPIEZA"/>
      <sheetName val="APERTURA_COSTOS"/>
      <sheetName val="Compra Venta"/>
      <sheetName val="Budget ILI"/>
      <sheetName val="ILI_Normalización"/>
      <sheetName val="Budget Normalización"/>
      <sheetName val="Tarifario"/>
      <sheetName val="Budget RML"/>
      <sheetName val="Budget Francia"/>
      <sheetName val="VAN2"/>
      <sheetName val="Deposito Fiscal"/>
      <sheetName val="Deposito Pacheco"/>
      <sheetName val="RMLAP"/>
      <sheetName val="Agencia Pacheco"/>
      <sheetName val="Param"/>
    </sheetNames>
    <sheetDataSet>
      <sheetData sheetId="0"/>
      <sheetData sheetId="1"/>
      <sheetData sheetId="2" refreshError="1">
        <row r="6">
          <cell r="C6">
            <v>3.17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en GEFCO"/>
      <sheetName val="resumen PCA"/>
      <sheetName val="Info"/>
      <sheetName val="Info Resumida"/>
      <sheetName val="Tiempos"/>
      <sheetName val="Recursos Caseros"/>
      <sheetName val="Transportes"/>
      <sheetName val="Otros Gastos"/>
      <sheetName val="Inversión SIST"/>
      <sheetName val="ILI"/>
      <sheetName val="util"/>
      <sheetName val="abril"/>
      <sheetName val="Local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General"/>
      <sheetName val="Refubrish"/>
      <sheetName val="Tablas"/>
      <sheetName val="Baseline"/>
      <sheetName val="Rates"/>
      <sheetName val="Personal "/>
      <sheetName val="cost calculateur"/>
      <sheetName val="Gefco Argentina Sa 2"/>
      <sheetName val="Remuneración vs Facturación"/>
      <sheetName val="prov locales"/>
    </sheetNames>
    <sheetDataSet>
      <sheetData sheetId="0" refreshError="1"/>
      <sheetData sheetId="1" refreshError="1"/>
      <sheetData sheetId="2" refreshError="1">
        <row r="3">
          <cell r="A3" t="str">
            <v>No.</v>
          </cell>
          <cell r="B3" t="str">
            <v>Product</v>
          </cell>
          <cell r="D3" t="str">
            <v>No.</v>
          </cell>
          <cell r="E3" t="str">
            <v>Failure</v>
          </cell>
          <cell r="G3" t="str">
            <v>No.</v>
          </cell>
          <cell r="H3" t="str">
            <v>Warranty</v>
          </cell>
        </row>
        <row r="4">
          <cell r="A4">
            <v>1</v>
          </cell>
          <cell r="B4" t="str">
            <v>Sw-441</v>
          </cell>
          <cell r="D4">
            <v>1</v>
          </cell>
          <cell r="E4" t="str">
            <v>No Enciende</v>
          </cell>
          <cell r="G4">
            <v>1</v>
          </cell>
          <cell r="H4" t="str">
            <v>ZHS</v>
          </cell>
        </row>
        <row r="5">
          <cell r="A5">
            <v>2</v>
          </cell>
          <cell r="B5" t="str">
            <v>Sw-55i</v>
          </cell>
          <cell r="D5">
            <v>2</v>
          </cell>
          <cell r="E5" t="str">
            <v>Se Apaga</v>
          </cell>
          <cell r="G5">
            <v>2</v>
          </cell>
          <cell r="H5" t="str">
            <v>Gtía</v>
          </cell>
        </row>
        <row r="6">
          <cell r="A6">
            <v>3</v>
          </cell>
          <cell r="B6" t="str">
            <v>Sw-575n</v>
          </cell>
          <cell r="D6">
            <v>3</v>
          </cell>
          <cell r="E6" t="str">
            <v>Tubo Manchado</v>
          </cell>
          <cell r="G6">
            <v>3</v>
          </cell>
          <cell r="H6" t="str">
            <v>Sin Gtía</v>
          </cell>
        </row>
        <row r="7">
          <cell r="A7">
            <v>4</v>
          </cell>
          <cell r="B7" t="str">
            <v>Sw-57m</v>
          </cell>
          <cell r="D7">
            <v>4</v>
          </cell>
          <cell r="E7" t="str">
            <v>Mal Color</v>
          </cell>
        </row>
        <row r="8">
          <cell r="A8">
            <v>5</v>
          </cell>
          <cell r="B8" t="str">
            <v>Sw-550m</v>
          </cell>
          <cell r="D8">
            <v>5</v>
          </cell>
          <cell r="E8" t="str">
            <v>Mal o sin Imagen</v>
          </cell>
        </row>
        <row r="9">
          <cell r="A9">
            <v>6</v>
          </cell>
          <cell r="B9" t="str">
            <v>Sw-77i</v>
          </cell>
          <cell r="D9">
            <v>6</v>
          </cell>
          <cell r="E9" t="str">
            <v>Mal Vertical</v>
          </cell>
          <cell r="G9" t="str">
            <v>No.</v>
          </cell>
          <cell r="H9" t="str">
            <v>Estado</v>
          </cell>
        </row>
        <row r="10">
          <cell r="A10">
            <v>7</v>
          </cell>
          <cell r="B10" t="str">
            <v>Sw-77m</v>
          </cell>
          <cell r="D10">
            <v>7</v>
          </cell>
          <cell r="E10" t="str">
            <v>Mal Horizontal</v>
          </cell>
          <cell r="G10">
            <v>1</v>
          </cell>
          <cell r="H10" t="str">
            <v>En Laboratorio</v>
          </cell>
        </row>
        <row r="11">
          <cell r="A11">
            <v>8</v>
          </cell>
          <cell r="B11" t="str">
            <v>Sw-775n</v>
          </cell>
          <cell r="D11">
            <v>8</v>
          </cell>
          <cell r="E11" t="str">
            <v>Problema de Tubo</v>
          </cell>
          <cell r="G11">
            <v>2</v>
          </cell>
          <cell r="H11" t="str">
            <v>Para Entregar</v>
          </cell>
        </row>
        <row r="12">
          <cell r="A12">
            <v>9</v>
          </cell>
          <cell r="B12" t="str">
            <v>Sw-500LC</v>
          </cell>
          <cell r="D12">
            <v>9</v>
          </cell>
          <cell r="E12" t="str">
            <v>Sin Diagnostico</v>
          </cell>
          <cell r="G12">
            <v>3</v>
          </cell>
          <cell r="H12" t="str">
            <v>Entregado</v>
          </cell>
        </row>
        <row r="13">
          <cell r="A13">
            <v>10</v>
          </cell>
          <cell r="B13" t="str">
            <v>Sw-795FT</v>
          </cell>
          <cell r="G13">
            <v>4</v>
          </cell>
          <cell r="H13" t="str">
            <v>Pendiente</v>
          </cell>
        </row>
        <row r="14">
          <cell r="A14">
            <v>11</v>
          </cell>
          <cell r="B14" t="str">
            <v>Other</v>
          </cell>
          <cell r="G14">
            <v>5</v>
          </cell>
          <cell r="H14" t="str">
            <v>Scrap</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ynthèse"/>
      <sheetName val="Descriptif"/>
      <sheetName val="Immobilier"/>
      <sheetName val="Informatique"/>
      <sheetName val="Equipement"/>
      <sheetName val="Global P&amp;L"/>
      <sheetName val="P&amp;L Prolongation"/>
      <sheetName val="P&amp;L Extension"/>
      <sheetName val="OVL existing agency"/>
      <sheetName val="Financier"/>
      <sheetName val="Slide Presentation"/>
      <sheetName val="Quote part frais"/>
      <sheetName val="CA"/>
      <sheetName val="FP"/>
      <sheetName val="FE"/>
      <sheetName val="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H9">
            <v>4.32</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ENU"/>
      <sheetName val="ACTIVITE"/>
      <sheetName val="Automotive"/>
      <sheetName val="PVNO"/>
      <sheetName val="RDVM"/>
      <sheetName val="Network"/>
      <sheetName val="Supply"/>
      <sheetName val="RMA"/>
      <sheetName val="ILI"/>
      <sheetName val="Siege"/>
      <sheetName val="Info"/>
    </sheetNames>
    <sheetDataSet>
      <sheetData sheetId="0">
        <row r="1">
          <cell r="AE1" t="str">
            <v>GEFCO Portugal</v>
          </cell>
          <cell r="AK1" t="str">
            <v>DEC</v>
          </cell>
        </row>
        <row r="4">
          <cell r="C4" t="str">
            <v>KEURO</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ode d'emploi_Instructions"/>
      <sheetName val="Mode Opératoire"/>
      <sheetName val="Synthèse projet"/>
      <sheetName val="Risques"/>
      <sheetName val="Immobilier"/>
      <sheetName val="Informatique"/>
      <sheetName val="IT details"/>
      <sheetName val="Equipement"/>
      <sheetName val="Cpte exploitation 1+2+3"/>
      <sheetName val="A"/>
      <sheetName val="UO 1"/>
      <sheetName val="UO 2"/>
      <sheetName val="UO 3"/>
      <sheetName val="Z"/>
      <sheetName val="Financier"/>
      <sheetName val="graph"/>
      <sheetName val="Quote part frais"/>
      <sheetName val="cost calculateur"/>
      <sheetName val="Cashflow forecast"/>
      <sheetName val="Contrô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B4" t="str">
            <v>FR</v>
          </cell>
          <cell r="C4" t="str">
            <v>Inscrits</v>
          </cell>
        </row>
        <row r="5">
          <cell r="C5" t="str">
            <v>Intérimaires</v>
          </cell>
        </row>
      </sheetData>
      <sheetData sheetId="18"/>
      <sheetData sheetId="19"/>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ode opératoire"/>
      <sheetName val="synthesis"/>
      <sheetName val="Description"/>
      <sheetName val="Real Estate"/>
      <sheetName val="IT Systems"/>
      <sheetName val="IT Details"/>
      <sheetName val="Equipment"/>
      <sheetName val="Cpte exploitation 1+2+3"/>
      <sheetName val="Cpte exploitation 1"/>
      <sheetName val="Cpte exploitation 2"/>
      <sheetName val="Cpte exploitation 3"/>
      <sheetName val="Cost calculator"/>
      <sheetName val="Financier"/>
      <sheetName val="Cashflow forecast"/>
      <sheetName val="Slide Presentation"/>
      <sheetName val="Quote part frais"/>
    </sheetNames>
    <sheetDataSet>
      <sheetData sheetId="0"/>
      <sheetData sheetId="1">
        <row r="3">
          <cell r="A3" t="str">
            <v>Project</v>
          </cell>
          <cell r="F3" t="str">
            <v>Option</v>
          </cell>
        </row>
        <row r="5">
          <cell r="E5" t="str">
            <v>Editor</v>
          </cell>
        </row>
        <row r="6">
          <cell r="E6" t="str">
            <v>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B4" t="str">
            <v>FR</v>
          </cell>
          <cell r="C4" t="str">
            <v>Inscrits</v>
          </cell>
        </row>
        <row r="5">
          <cell r="C5" t="str">
            <v>Intérimaires</v>
          </cell>
        </row>
      </sheetData>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vest (2)"/>
      <sheetName val="3round"/>
      <sheetName val="Employees Frontend POLO"/>
      <sheetName val="Employees Frontend Golf"/>
      <sheetName val="Employees Frontend  Colorado"/>
      <sheetName val="Employees"/>
      <sheetName val="Employees ohne SF angebot"/>
      <sheetName val="Employees ohne SF real Lohn"/>
      <sheetName val="Invest"/>
      <sheetName val="B-preis"/>
      <sheetName val="Letztes Angebot B-preis (2)"/>
      <sheetName val="Letztes Angebot B-preis"/>
      <sheetName val="Costs B-preis"/>
      <sheetName val="Angebote SILS Transport"/>
      <sheetName val="Transport- B"/>
      <sheetName val="Zeitablauf neue Vorgaben"/>
      <sheetName val="Zeitablauf Gesamt"/>
      <sheetName val="Zeitablauf Frontend"/>
      <sheetName val="Zeitablauf Bumper"/>
      <sheetName val="surface"/>
      <sheetName val="POLO"/>
      <sheetName val="GOLF"/>
      <sheetName val="Colorado"/>
      <sheetName val="Mac Front"/>
      <sheetName val="Mac Heck"/>
      <sheetName val="E1 Front"/>
      <sheetName val="E1 Heck"/>
      <sheetName val="MENU"/>
      <sheetName val="Cost calculator"/>
      <sheetName val="synthe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3">
          <cell r="X3">
            <v>0</v>
          </cell>
        </row>
      </sheetData>
      <sheetData sheetId="23"/>
      <sheetData sheetId="24"/>
      <sheetData sheetId="25"/>
      <sheetData sheetId="26"/>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euil1"/>
      <sheetName val="Salarios"/>
      <sheetName val="RRHH"/>
      <sheetName val="Máquinaria"/>
      <sheetName val="Alquiler "/>
      <sheetName val="Sistemas"/>
      <sheetName val="Gts. Grales"/>
      <sheetName val="Hoja 5"/>
      <sheetName val="RESUMEN COSTOS"/>
      <sheetName val="BUDGET"/>
      <sheetName val="Color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euil"/>
      <sheetName val="DATOS"/>
      <sheetName val="VOLUMEN"/>
      <sheetName val="ENTREGAS PEUGEOT"/>
      <sheetName val="CONC PEUGEOT"/>
      <sheetName val="CONC CITROEN"/>
      <sheetName val="COTIZACIÓN PROPIO"/>
      <sheetName val="COTIZACIÓN MICRO BUS PACK"/>
      <sheetName val="COTIZACIÓN AÉREOS"/>
      <sheetName val="TRANSFERENCIAS DLPR Y REDESP"/>
      <sheetName val="REDESPACHOS BUENOS AIRES"/>
      <sheetName val="RML-CUYO"/>
      <sheetName val="RML-CORDOBA"/>
      <sheetName val="RML-SANTA FE"/>
      <sheetName val="REDESPACHANTES INTERIOR"/>
      <sheetName val="RESUMEN RML"/>
      <sheetName val="PERSONAL "/>
      <sheetName val="GASTOS GENERALES"/>
      <sheetName val="INFORMATICA"/>
      <sheetName val="MÁQUINAS1"/>
      <sheetName val="Cpte Exploitation"/>
      <sheetName val="Tarifario"/>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Versions"/>
      <sheetName val="Project"/>
      <sheetName val="Synthesis"/>
      <sheetName val="Organigramme"/>
      <sheetName val="Offre (Référence)"/>
      <sheetName val="Input X. LAndry"/>
      <sheetName val="Costs"/>
      <sheetName val="Finished Goods (assembled)"/>
      <sheetName val="SF Goods (painted) "/>
      <sheetName val="Components"/>
      <sheetName val="B.O.M."/>
      <sheetName val="Surfaces"/>
      <sheetName val="Effectifs"/>
      <sheetName val="Data base"/>
      <sheetName val="Labour DB"/>
      <sheetName val="Shipping DB"/>
      <sheetName val="Packaging DB"/>
      <sheetName val="RESUMEN RML"/>
      <sheetName val="Logistic Quotation Argentina ve"/>
    </sheetNames>
    <sheetDataSet>
      <sheetData sheetId="0" refreshError="1"/>
      <sheetData sheetId="1" refreshError="1">
        <row r="11">
          <cell r="J11">
            <v>2</v>
          </cell>
        </row>
        <row r="25">
          <cell r="D25">
            <v>240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PLS"/>
      <sheetName val="PR"/>
      <sheetName val="SS-Semis Finis"/>
      <sheetName val="SS-Composants"/>
      <sheetName val="X3"/>
      <sheetName val="D2"/>
      <sheetName val="D25"/>
      <sheetName val="A7"/>
      <sheetName val="Synthèse"/>
      <sheetName val="Feuille de transfert"/>
      <sheetName val="Consolidation X3-D2-D25-A7"/>
      <sheetName val="Proj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4">
          <cell r="E14">
            <v>230</v>
          </cell>
        </row>
      </sheetData>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ourly rates"/>
      <sheetName val="Env"/>
      <sheetName val="Change"/>
      <sheetName val="Country"/>
      <sheetName val="wage increase"/>
      <sheetName val="customer terms"/>
      <sheetName val="supplier terms"/>
      <sheetName val="Pays=&gt;Site"/>
      <sheetName val="Site=&gt;Moyens"/>
      <sheetName val="Taux022QUA"/>
      <sheetName val="Feuil3"/>
      <sheetName val="econ.data"/>
      <sheetName val="Resumen GEF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EFINITION PROJET"/>
      <sheetName val="AUTRES"/>
      <sheetName val="2"/>
      <sheetName val="3"/>
      <sheetName val="Fiche Devis CPQ"/>
      <sheetName val="Fiche Devis CPR"/>
      <sheetName val="Fiche Devis CPU"/>
      <sheetName val="Fiche Devis CPV"/>
      <sheetName val="Fiche Devis"/>
      <sheetName val="Fiche Devis CPA"/>
      <sheetName val="REF_ACHATS"/>
      <sheetName val="CPA"/>
      <sheetName val="Cablage"/>
      <sheetName val="Eclairages"/>
      <sheetName val="Poutres_abs"/>
      <sheetName val="Joints_butee"/>
      <sheetName val="Pièce_plastiq"/>
      <sheetName val="Pièce_metal"/>
      <sheetName val="Fixations"/>
      <sheetName val="Revet_chrom"/>
      <sheetName val="Peinture"/>
      <sheetName val="Moules"/>
      <sheetName val="Périphériques"/>
      <sheetName val="CPA 1"/>
      <sheetName val=" PERIMETRE"/>
      <sheetName val="PRESTATION CSM"/>
      <sheetName val="PRESTATION CAO"/>
      <sheetName val="PRESTATION CPE"/>
      <sheetName val="Prest_MCC"/>
      <sheetName val="PRESTATION EXI"/>
      <sheetName val="PRESTATION CALCUL"/>
      <sheetName val="Fiche Devis CPE"/>
      <sheetName val="PRESTATION PROTO"/>
      <sheetName val="CPE1"/>
      <sheetName val="Fiche Devis CPP"/>
      <sheetName val="Prest_CPP"/>
      <sheetName val="Prest XPP"/>
      <sheetName val="Prest_MOP"/>
      <sheetName val="Prest_MCD"/>
      <sheetName val="CPP 1"/>
      <sheetName val="Prest_CPV"/>
      <sheetName val="Assistante"/>
      <sheetName val="CPV 1"/>
      <sheetName val="Prest log"/>
      <sheetName val="Prest ml"/>
      <sheetName val="Prest metro"/>
      <sheetName val="refml"/>
      <sheetName val="reflog"/>
      <sheetName val="ML"/>
      <sheetName val="LOG"/>
      <sheetName val="refmet"/>
      <sheetName val="METRO"/>
      <sheetName val="Prest_CPQ"/>
      <sheetName val="CPQ1"/>
      <sheetName val="Périmètre"/>
      <sheetName val="POLE VAL MAT-ETME"/>
      <sheetName val="POLE VAL MAT-PEINT"/>
      <sheetName val="CADRES"/>
      <sheetName val="CPQ1 (2)"/>
      <sheetName val="CPQ2"/>
      <sheetName val="PdC labo"/>
      <sheetName val="Calculs labo"/>
      <sheetName val="Jalons"/>
      <sheetName val="Prest_EPdtP"/>
      <sheetName val="Prest_EPR"/>
      <sheetName val="Prest_PPP"/>
      <sheetName val="CPP2"/>
      <sheetName val="PdC peinture"/>
      <sheetName val="Calculs peinture"/>
      <sheetName val="A7"/>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17">
          <cell r="L17">
            <v>2</v>
          </cell>
        </row>
        <row r="88">
          <cell r="O88">
            <v>4</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ode opératoire"/>
      <sheetName val="synthèse"/>
      <sheetName val="Descriptif"/>
      <sheetName val="Immobilier"/>
      <sheetName val="Informatique"/>
      <sheetName val="Almaty"/>
      <sheetName val="Equipement"/>
      <sheetName val="Cpte exploitation 1+2+3"/>
      <sheetName val="OVL"/>
      <sheetName val="OVL Projects"/>
      <sheetName val="TLA"/>
      <sheetName val="DIV"/>
      <sheetName val="DIV Projects"/>
      <sheetName val="CTP"/>
      <sheetName val="CTP Projects"/>
      <sheetName val="Headquarter &amp; IT"/>
      <sheetName val="HQ&amp;IT Cost details "/>
      <sheetName val="HQ &amp; IT Split per BU"/>
      <sheetName val="Invest Hors IT&amp; Dep. Calc"/>
      <sheetName val="Recruitments&amp; Staff cost"/>
      <sheetName val="Other cal. related staff"/>
      <sheetName val="Financier"/>
      <sheetName val="Cashflow forecast"/>
      <sheetName val="Slide Presentation"/>
      <sheetName val="Quote part frais"/>
      <sheetName val="None useStartup cost Details"/>
      <sheetName val=" NonuseProjects"/>
    </sheetNames>
    <sheetDataSet>
      <sheetData sheetId="0"/>
      <sheetData sheetId="1">
        <row r="3">
          <cell r="A3" t="str">
            <v xml:space="preserve">Project: Creation of Kazakhstan Office </v>
          </cell>
        </row>
        <row r="5">
          <cell r="E5" t="str">
            <v>Sultan Zhassybay</v>
          </cell>
        </row>
        <row r="6">
          <cell r="E6" t="str">
            <v>V0</v>
          </cell>
        </row>
      </sheetData>
      <sheetData sheetId="2"/>
      <sheetData sheetId="3">
        <row r="6">
          <cell r="G6" t="str">
            <v>Kazakhstan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1. Volumes &amp; asumptions"/>
      <sheetName val="2. Dotation in stillages"/>
      <sheetName val="3. General database"/>
      <sheetName val="4. Scheme"/>
      <sheetName val="5. Transportation database"/>
      <sheetName val="Périmètre"/>
      <sheetName val="synthèse"/>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ode opératoire"/>
      <sheetName val="synthèse"/>
      <sheetName val="Descriptif"/>
      <sheetName val="Immobilier"/>
      <sheetName val="Informatique"/>
      <sheetName val="Equipement"/>
      <sheetName val="Cpte exploitation 1+2+3"/>
      <sheetName val="Cpte exploitation 1"/>
      <sheetName val="Cpte exploitation 2"/>
      <sheetName val="Cpte exploitation 3"/>
      <sheetName val="Financier"/>
      <sheetName val="Slide Presentation"/>
      <sheetName val="Quote part frais"/>
      <sheetName val="Feuil1"/>
    </sheetNames>
    <sheetDataSet>
      <sheetData sheetId="0" refreshError="1"/>
      <sheetData sheetId="1">
        <row r="3">
          <cell r="A3" t="str">
            <v>Projet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uppliers Transit Time"/>
      <sheetName val="Suppliers Transit Time (Sin SF)"/>
      <sheetName val="Suppliers Frequency"/>
      <sheetName val="Resources Utilization"/>
      <sheetName val="3. General database"/>
    </sheetNames>
    <sheetDataSet>
      <sheetData sheetId="0" refreshError="1">
        <row r="1">
          <cell r="A1" t="str">
            <v>DUNS</v>
          </cell>
          <cell r="B1" t="str">
            <v>NAME</v>
          </cell>
          <cell r="C1" t="str">
            <v>PICK UP DAY</v>
          </cell>
          <cell r="D1" t="str">
            <v>ARRIVAL</v>
          </cell>
          <cell r="E1" t="str">
            <v>DEPARTURE</v>
          </cell>
          <cell r="F1" t="str">
            <v>Transit Time
Actual</v>
          </cell>
        </row>
        <row r="2">
          <cell r="A2">
            <v>971367131</v>
          </cell>
          <cell r="B2" t="str">
            <v>MONTICH</v>
          </cell>
          <cell r="C2" t="str">
            <v>Lunes a Viernes</v>
          </cell>
          <cell r="D2" t="str">
            <v>8:30</v>
          </cell>
          <cell r="E2" t="str">
            <v>9:00</v>
          </cell>
          <cell r="F2">
            <v>1</v>
          </cell>
        </row>
        <row r="3">
          <cell r="A3">
            <v>971767918</v>
          </cell>
          <cell r="B3" t="str">
            <v>VIALE PRESS S.A.</v>
          </cell>
          <cell r="C3" t="str">
            <v>Jueves</v>
          </cell>
          <cell r="D3" t="str">
            <v>15:30</v>
          </cell>
          <cell r="E3" t="str">
            <v>16:00</v>
          </cell>
          <cell r="F3">
            <v>44.499000000000002</v>
          </cell>
        </row>
        <row r="4">
          <cell r="A4">
            <v>971033592</v>
          </cell>
          <cell r="B4" t="str">
            <v>MERCURIO PAPAIANNI S.A.</v>
          </cell>
          <cell r="C4" t="str">
            <v>Jueves</v>
          </cell>
          <cell r="D4" t="str">
            <v>14:35</v>
          </cell>
          <cell r="E4" t="str">
            <v>15:10</v>
          </cell>
          <cell r="F4">
            <v>46.499000000000002</v>
          </cell>
        </row>
        <row r="5">
          <cell r="A5">
            <v>970899126</v>
          </cell>
          <cell r="B5" t="str">
            <v>MANUFACTURA DE MOTORES ARGENTINOS S.R.L.</v>
          </cell>
          <cell r="C5" t="str">
            <v>Jueves</v>
          </cell>
          <cell r="D5" t="str">
            <v>10:40</v>
          </cell>
          <cell r="E5" t="str">
            <v>11:10</v>
          </cell>
          <cell r="F5">
            <v>50.499000000000002</v>
          </cell>
        </row>
        <row r="6">
          <cell r="A6">
            <v>971044458</v>
          </cell>
          <cell r="B6" t="str">
            <v>PERLUMA</v>
          </cell>
          <cell r="C6" t="str">
            <v>Jueves</v>
          </cell>
          <cell r="D6" t="str">
            <v>7:05</v>
          </cell>
          <cell r="E6" t="str">
            <v>7:45</v>
          </cell>
          <cell r="F6">
            <v>54.499000000000002</v>
          </cell>
        </row>
        <row r="7">
          <cell r="A7">
            <v>970190427</v>
          </cell>
          <cell r="B7" t="str">
            <v>MECCA CASTELAR S.A.C.I.Y F.</v>
          </cell>
          <cell r="C7" t="str">
            <v>Jueves</v>
          </cell>
          <cell r="D7" t="str">
            <v>12:30</v>
          </cell>
          <cell r="E7" t="str">
            <v>13:00</v>
          </cell>
          <cell r="F7">
            <v>48.499000000000002</v>
          </cell>
        </row>
        <row r="8">
          <cell r="A8">
            <v>971388640</v>
          </cell>
          <cell r="B8" t="str">
            <v>INDUSTRIA TEXTIL DRAGUI S.A.I.C.F.I.</v>
          </cell>
          <cell r="C8" t="str">
            <v>Lunes a Viernes</v>
          </cell>
          <cell r="D8" t="str">
            <v>8:00</v>
          </cell>
          <cell r="E8" t="str">
            <v>9:00</v>
          </cell>
          <cell r="F8">
            <v>6</v>
          </cell>
        </row>
        <row r="9">
          <cell r="A9">
            <v>970534707</v>
          </cell>
          <cell r="B9" t="str">
            <v>3M ARGENTINA  SACIFIA</v>
          </cell>
          <cell r="C9" t="str">
            <v>Jueves</v>
          </cell>
          <cell r="D9" t="str">
            <v>6:00</v>
          </cell>
          <cell r="E9" t="str">
            <v>6:20</v>
          </cell>
          <cell r="F9">
            <v>54</v>
          </cell>
        </row>
        <row r="10">
          <cell r="A10">
            <v>971389903</v>
          </cell>
          <cell r="B10" t="str">
            <v>SANTA LUCIA CRISTAL S.A.C.I.F.</v>
          </cell>
          <cell r="C10" t="str">
            <v>Lunes a Viernes</v>
          </cell>
          <cell r="D10" t="str">
            <v>6:00</v>
          </cell>
          <cell r="E10" t="str">
            <v>7:00</v>
          </cell>
          <cell r="F10">
            <v>7</v>
          </cell>
        </row>
        <row r="11">
          <cell r="A11">
            <v>971436860</v>
          </cell>
          <cell r="B11" t="str">
            <v>PELZER SYSTEM S.A.</v>
          </cell>
          <cell r="C11" t="str">
            <v>Lunes, Miércoles y Viernes</v>
          </cell>
          <cell r="D11" t="str">
            <v>7:05</v>
          </cell>
          <cell r="E11" t="str">
            <v>8:05</v>
          </cell>
          <cell r="F11">
            <v>7</v>
          </cell>
        </row>
        <row r="12">
          <cell r="A12">
            <v>970155636</v>
          </cell>
          <cell r="B12" t="str">
            <v>FATE</v>
          </cell>
          <cell r="C12" t="str">
            <v>Martes y Jueves</v>
          </cell>
          <cell r="D12" t="str">
            <v>13:35</v>
          </cell>
          <cell r="E12" t="str">
            <v>14:35</v>
          </cell>
          <cell r="F12">
            <v>16</v>
          </cell>
        </row>
        <row r="13">
          <cell r="A13">
            <v>970006383</v>
          </cell>
          <cell r="B13" t="str">
            <v>OSRAM ARGENTINA SAC EI</v>
          </cell>
          <cell r="C13" t="str">
            <v>Jueves</v>
          </cell>
          <cell r="D13" t="str">
            <v>9:00</v>
          </cell>
          <cell r="E13" t="str">
            <v>9:20</v>
          </cell>
          <cell r="F13">
            <v>51</v>
          </cell>
        </row>
        <row r="14">
          <cell r="A14">
            <v>970698833</v>
          </cell>
          <cell r="B14" t="str">
            <v>DELPHI-P ARGENTINA</v>
          </cell>
          <cell r="C14" t="str">
            <v>Martes y Jueves</v>
          </cell>
          <cell r="D14" t="str">
            <v>17:00</v>
          </cell>
          <cell r="E14" t="str">
            <v>17:40</v>
          </cell>
          <cell r="F14">
            <v>14</v>
          </cell>
        </row>
        <row r="15">
          <cell r="A15">
            <v>971230685</v>
          </cell>
          <cell r="B15" t="str">
            <v>SACHS AUTOMOTIVE ARGENTINA S.A.</v>
          </cell>
          <cell r="C15" t="str">
            <v>Miércoles</v>
          </cell>
          <cell r="D15" t="str">
            <v>15:30</v>
          </cell>
          <cell r="E15" t="str">
            <v>16:00</v>
          </cell>
          <cell r="F15">
            <v>17</v>
          </cell>
        </row>
        <row r="16">
          <cell r="A16">
            <v>970155560</v>
          </cell>
          <cell r="B16" t="str">
            <v>BUFFALO SACI.</v>
          </cell>
          <cell r="C16" t="str">
            <v>Lunes, Miércoles y Viernes</v>
          </cell>
          <cell r="D16" t="str">
            <v>13:10</v>
          </cell>
          <cell r="E16" t="str">
            <v>13:50</v>
          </cell>
          <cell r="F16">
            <v>24.498999999999999</v>
          </cell>
        </row>
        <row r="17">
          <cell r="A17">
            <v>970231825</v>
          </cell>
          <cell r="B17" t="str">
            <v>AMP S.A. ARGENTINA</v>
          </cell>
          <cell r="C17" t="str">
            <v>Jueves</v>
          </cell>
          <cell r="D17" t="str">
            <v>15:50</v>
          </cell>
          <cell r="E17" t="str">
            <v>16:25</v>
          </cell>
          <cell r="F17">
            <v>45.499000000000002</v>
          </cell>
        </row>
        <row r="18">
          <cell r="A18">
            <v>970198222</v>
          </cell>
          <cell r="B18" t="str">
            <v>HUTCHINSON ARGENTINA</v>
          </cell>
          <cell r="C18" t="str">
            <v>Lunes, Miércoles y Viernes</v>
          </cell>
          <cell r="D18" t="str">
            <v>12:15</v>
          </cell>
          <cell r="E18" t="str">
            <v>12:45</v>
          </cell>
          <cell r="F18">
            <v>25.498999999999999</v>
          </cell>
        </row>
        <row r="19">
          <cell r="A19">
            <v>971241773</v>
          </cell>
          <cell r="B19" t="str">
            <v>BUNDY ARGENTINA S.A.</v>
          </cell>
          <cell r="C19" t="str">
            <v>Lunes, Miércoles y Viernes</v>
          </cell>
          <cell r="D19" t="str">
            <v>13:00</v>
          </cell>
          <cell r="E19" t="str">
            <v>13:30</v>
          </cell>
          <cell r="F19">
            <v>24.498999999999999</v>
          </cell>
        </row>
        <row r="20">
          <cell r="A20">
            <v>971336664</v>
          </cell>
          <cell r="B20" t="str">
            <v>TORNILLOS ESPECIALES LANUS S.A. TEL</v>
          </cell>
          <cell r="C20" t="str">
            <v>Jueves</v>
          </cell>
          <cell r="D20" t="str">
            <v>12:00</v>
          </cell>
          <cell r="E20" t="str">
            <v>12:10</v>
          </cell>
          <cell r="F20">
            <v>49.499000000000002</v>
          </cell>
        </row>
        <row r="21">
          <cell r="A21">
            <v>970529731</v>
          </cell>
          <cell r="B21" t="str">
            <v>VALEO NEIMAN ARGENTINA S.A.</v>
          </cell>
          <cell r="C21" t="str">
            <v>Martes y Jueves</v>
          </cell>
          <cell r="D21" t="str">
            <v>15:15</v>
          </cell>
          <cell r="E21" t="str">
            <v>15:45</v>
          </cell>
          <cell r="F21">
            <v>15</v>
          </cell>
        </row>
        <row r="22">
          <cell r="A22">
            <v>971433545</v>
          </cell>
          <cell r="B22" t="str">
            <v>LIGGETT ARGENTINA S.A.</v>
          </cell>
          <cell r="C22" t="str">
            <v>Martes y Jueves</v>
          </cell>
          <cell r="D22" t="str">
            <v>14:30</v>
          </cell>
          <cell r="E22" t="str">
            <v>15:00</v>
          </cell>
          <cell r="F22">
            <v>16</v>
          </cell>
        </row>
        <row r="23">
          <cell r="A23">
            <v>971430962</v>
          </cell>
          <cell r="B23" t="str">
            <v>MAHLE S.A. DE ARGENTINA</v>
          </cell>
          <cell r="C23" t="str">
            <v>Miércoles</v>
          </cell>
          <cell r="D23" t="str">
            <v>12:00</v>
          </cell>
          <cell r="E23" t="str">
            <v>12:30</v>
          </cell>
          <cell r="F23">
            <v>20</v>
          </cell>
        </row>
        <row r="24">
          <cell r="A24">
            <v>970868071</v>
          </cell>
          <cell r="B24" t="str">
            <v>FRENOS VARGA S.A.</v>
          </cell>
          <cell r="C24" t="str">
            <v>Lunes, Miércoles y Viernes</v>
          </cell>
          <cell r="D24" t="str">
            <v>11:50</v>
          </cell>
          <cell r="E24" t="str">
            <v>12:20</v>
          </cell>
          <cell r="F24">
            <v>24.498999999999999</v>
          </cell>
        </row>
        <row r="25">
          <cell r="A25">
            <v>971051610</v>
          </cell>
          <cell r="B25" t="str">
            <v>VALEO TERMICO</v>
          </cell>
          <cell r="C25" t="str">
            <v>Lunes, Miércoles y Viernes</v>
          </cell>
          <cell r="D25" t="str">
            <v>11:00</v>
          </cell>
          <cell r="E25" t="str">
            <v>11:40</v>
          </cell>
          <cell r="F25">
            <v>26</v>
          </cell>
        </row>
        <row r="26">
          <cell r="A26">
            <v>971238944</v>
          </cell>
          <cell r="B26" t="str">
            <v>SOGEFI ARGENTINA S.A.I. y C.</v>
          </cell>
          <cell r="C26" t="str">
            <v>Lunes, Miércoles y Viernes</v>
          </cell>
          <cell r="D26" t="str">
            <v>10:00</v>
          </cell>
          <cell r="E26" t="str">
            <v>10:30</v>
          </cell>
          <cell r="F26">
            <v>27.498999999999999</v>
          </cell>
        </row>
        <row r="27">
          <cell r="A27">
            <v>971713136</v>
          </cell>
          <cell r="B27" t="str">
            <v>ACD TRIDON</v>
          </cell>
          <cell r="C27" t="str">
            <v>Lunes, Miércoles y Viernes</v>
          </cell>
          <cell r="D27" t="str">
            <v>10:00</v>
          </cell>
          <cell r="E27" t="str">
            <v>10:30</v>
          </cell>
          <cell r="F27">
            <v>27.498999999999999</v>
          </cell>
        </row>
        <row r="28">
          <cell r="A28">
            <v>970394003</v>
          </cell>
          <cell r="B28" t="str">
            <v>EMU ESTABLECIMENTOS METALURGICOS UNIDOS S.A.I.C.</v>
          </cell>
          <cell r="C28" t="str">
            <v>Jueves</v>
          </cell>
          <cell r="D28" t="str">
            <v>9:00</v>
          </cell>
          <cell r="E28" t="str">
            <v>9:20</v>
          </cell>
          <cell r="F28">
            <v>52.499000000000002</v>
          </cell>
        </row>
        <row r="29">
          <cell r="A29">
            <v>971465190</v>
          </cell>
          <cell r="B29" t="str">
            <v>MAGNETI MARELLI SISTEMAS DE ESCAPE S.A.</v>
          </cell>
          <cell r="C29" t="str">
            <v>Lunes, Miércoles y Viernes</v>
          </cell>
          <cell r="D29" t="str">
            <v>15:10</v>
          </cell>
          <cell r="E29" t="str">
            <v>16:00</v>
          </cell>
          <cell r="F29">
            <v>15</v>
          </cell>
        </row>
        <row r="30">
          <cell r="A30">
            <v>971719760</v>
          </cell>
          <cell r="B30" t="str">
            <v>ITT AUTOMOTIVE ARGENTINA</v>
          </cell>
          <cell r="C30" t="str">
            <v>Lunes, Miércoles y Viernes</v>
          </cell>
          <cell r="D30" t="str">
            <v>14:25</v>
          </cell>
          <cell r="E30" t="str">
            <v>15:00</v>
          </cell>
          <cell r="F30">
            <v>16.498999999999999</v>
          </cell>
        </row>
        <row r="31">
          <cell r="A31">
            <v>971253679</v>
          </cell>
          <cell r="B31" t="str">
            <v>BOSCH ARGENTINA S.A.</v>
          </cell>
          <cell r="C31" t="str">
            <v>Lunes, Miércoles y Viernes</v>
          </cell>
          <cell r="D31" t="str">
            <v>9:15</v>
          </cell>
          <cell r="E31" t="str">
            <v>9:45</v>
          </cell>
          <cell r="F31">
            <v>27</v>
          </cell>
        </row>
        <row r="32">
          <cell r="A32">
            <v>970740866</v>
          </cell>
          <cell r="B32" t="str">
            <v>MITHRA</v>
          </cell>
          <cell r="C32" t="str">
            <v>Lunes, Miércoles y Viernes</v>
          </cell>
          <cell r="D32" t="str">
            <v>9:10</v>
          </cell>
          <cell r="E32" t="str">
            <v>9:40</v>
          </cell>
          <cell r="F32">
            <v>28.498999999999999</v>
          </cell>
        </row>
        <row r="33">
          <cell r="A33">
            <v>970533857</v>
          </cell>
          <cell r="B33" t="str">
            <v>BRIDGESTONE-FIRESTONE ARGENTINA</v>
          </cell>
          <cell r="C33" t="str">
            <v>Martes y Jueves</v>
          </cell>
          <cell r="D33" t="str">
            <v>7:05</v>
          </cell>
          <cell r="E33" t="str">
            <v>8:05</v>
          </cell>
          <cell r="F33">
            <v>23</v>
          </cell>
        </row>
        <row r="34">
          <cell r="A34">
            <v>970548194</v>
          </cell>
          <cell r="B34" t="str">
            <v>FAMAR FUEGUINA S.A.</v>
          </cell>
          <cell r="C34" t="str">
            <v>Lunes, Miércoles y Viernes</v>
          </cell>
          <cell r="D34" t="str">
            <v>8:00</v>
          </cell>
          <cell r="E34" t="str">
            <v>8:30</v>
          </cell>
          <cell r="F34">
            <v>29.498999999999999</v>
          </cell>
        </row>
        <row r="35">
          <cell r="A35">
            <v>970553996</v>
          </cell>
          <cell r="B35" t="str">
            <v>LODIGIANI &amp; LEALI SAIC</v>
          </cell>
          <cell r="C35" t="str">
            <v>Lunes, Miércoles y Viernes</v>
          </cell>
          <cell r="D35" t="str">
            <v>8:00</v>
          </cell>
          <cell r="E35" t="str">
            <v>8:30</v>
          </cell>
          <cell r="F35">
            <v>29.498999999999999</v>
          </cell>
        </row>
        <row r="36">
          <cell r="A36">
            <v>970933859</v>
          </cell>
          <cell r="B36" t="str">
            <v>CGR S.A.</v>
          </cell>
          <cell r="C36" t="str">
            <v>Jueves</v>
          </cell>
          <cell r="D36" t="str">
            <v>13:25</v>
          </cell>
          <cell r="E36" t="str">
            <v>13:55</v>
          </cell>
          <cell r="F36">
            <v>47.499000000000002</v>
          </cell>
        </row>
        <row r="37">
          <cell r="A37">
            <v>970308706</v>
          </cell>
          <cell r="B37" t="str">
            <v>FICO CABLES ARGENTINA</v>
          </cell>
          <cell r="C37" t="str">
            <v>Jueves</v>
          </cell>
          <cell r="D37" t="str">
            <v>7:50</v>
          </cell>
          <cell r="E37" t="str">
            <v>8:10</v>
          </cell>
          <cell r="F37">
            <v>53.499000000000002</v>
          </cell>
        </row>
        <row r="38">
          <cell r="A38">
            <v>971179007</v>
          </cell>
          <cell r="B38" t="str">
            <v>ETAR S.A.</v>
          </cell>
          <cell r="C38" t="str">
            <v>Jueves</v>
          </cell>
          <cell r="D38" t="str">
            <v>10:30</v>
          </cell>
          <cell r="E38" t="str">
            <v>11:00</v>
          </cell>
          <cell r="F38">
            <v>50.499000000000002</v>
          </cell>
        </row>
        <row r="39">
          <cell r="A39">
            <v>966082331</v>
          </cell>
          <cell r="B39" t="str">
            <v>MAXI S.A.</v>
          </cell>
          <cell r="C39" t="str">
            <v>Lunes</v>
          </cell>
          <cell r="D39" t="str">
            <v>8:30</v>
          </cell>
          <cell r="E39" t="str">
            <v>9:30</v>
          </cell>
          <cell r="F39">
            <v>24</v>
          </cell>
        </row>
        <row r="40">
          <cell r="A40">
            <v>971393459</v>
          </cell>
          <cell r="B40" t="str">
            <v>ROMANE S.A.</v>
          </cell>
          <cell r="C40" t="str">
            <v>Miércoles</v>
          </cell>
          <cell r="D40" t="str">
            <v>8:30</v>
          </cell>
          <cell r="E40" t="str">
            <v>8:45</v>
          </cell>
          <cell r="F40">
            <v>24</v>
          </cell>
        </row>
        <row r="41">
          <cell r="A41">
            <v>970406393</v>
          </cell>
          <cell r="B41" t="str">
            <v>CAIMARI S.A.</v>
          </cell>
          <cell r="C41" t="str">
            <v>Jueves</v>
          </cell>
          <cell r="D41" t="str">
            <v>12:20</v>
          </cell>
          <cell r="E41" t="str">
            <v>13:00</v>
          </cell>
          <cell r="F41">
            <v>49</v>
          </cell>
        </row>
        <row r="42">
          <cell r="A42">
            <v>970000188</v>
          </cell>
          <cell r="B42" t="str">
            <v>NEUMATICOS GOODYEAR S/A</v>
          </cell>
          <cell r="C42" t="str">
            <v>Martes y Jueves</v>
          </cell>
          <cell r="D42" t="str">
            <v>9:50</v>
          </cell>
          <cell r="E42" t="str">
            <v>11:50</v>
          </cell>
          <cell r="F42">
            <v>20</v>
          </cell>
        </row>
        <row r="43">
          <cell r="A43">
            <v>971388541</v>
          </cell>
          <cell r="B43" t="str">
            <v>PERDRIEL S.A.</v>
          </cell>
          <cell r="C43" t="str">
            <v>Jueves</v>
          </cell>
          <cell r="D43" t="str">
            <v>13:30</v>
          </cell>
          <cell r="E43" t="str">
            <v>14:10</v>
          </cell>
          <cell r="F43">
            <v>46.499000000000002</v>
          </cell>
        </row>
        <row r="44">
          <cell r="A44">
            <v>970000188</v>
          </cell>
          <cell r="B44" t="str">
            <v>NEUMATICOS GOODYEAR S/A</v>
          </cell>
          <cell r="C44" t="str">
            <v>Jueves</v>
          </cell>
          <cell r="D44" t="str">
            <v>11:30</v>
          </cell>
          <cell r="E44" t="str">
            <v>12:00</v>
          </cell>
          <cell r="F44">
            <v>49.499000000000002</v>
          </cell>
        </row>
        <row r="45">
          <cell r="A45">
            <v>966084048</v>
          </cell>
          <cell r="B45" t="str">
            <v>ECASOL S.A.</v>
          </cell>
          <cell r="C45" t="str">
            <v>Lunes</v>
          </cell>
          <cell r="D45" t="str">
            <v>6:00</v>
          </cell>
          <cell r="E45" t="str">
            <v>8:00</v>
          </cell>
          <cell r="F45">
            <v>26</v>
          </cell>
        </row>
      </sheetData>
      <sheetData sheetId="1" refreshError="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Chart Propuesta"/>
      <sheetName val="Horarios y TT"/>
      <sheetName val="Route Detail"/>
      <sheetName val="Window Time"/>
      <sheetName val="Frecuencia"/>
      <sheetName val="Partes por Proveedor"/>
      <sheetName val="qryMilkRunsSummary"/>
      <sheetName val="Breakdown"/>
      <sheetName val="Suppliers Transit Time"/>
    </sheetNames>
    <sheetDataSet>
      <sheetData sheetId="0"/>
      <sheetData sheetId="1"/>
      <sheetData sheetId="2"/>
      <sheetData sheetId="3"/>
      <sheetData sheetId="4"/>
      <sheetData sheetId="5"/>
      <sheetData sheetId="6" refreshError="1">
        <row r="20">
          <cell r="A20" t="str">
            <v>ROUTE</v>
          </cell>
          <cell r="B20" t="str">
            <v>Stops</v>
          </cell>
          <cell r="C20" t="str">
            <v>M3</v>
          </cell>
          <cell r="D20" t="str">
            <v>% USED</v>
          </cell>
          <cell r="E20" t="str">
            <v>TRUCK TYPE</v>
          </cell>
          <cell r="F20" t="str">
            <v>DISTANCE</v>
          </cell>
          <cell r="G20" t="str">
            <v>Dep</v>
          </cell>
          <cell r="H20" t="str">
            <v>Arr</v>
          </cell>
          <cell r="J20" t="str">
            <v>Weekly Freq</v>
          </cell>
        </row>
        <row r="21">
          <cell r="A21" t="str">
            <v>106</v>
          </cell>
          <cell r="B21">
            <v>4</v>
          </cell>
          <cell r="C21">
            <v>57.2</v>
          </cell>
          <cell r="D21">
            <v>0.89400000000000002</v>
          </cell>
          <cell r="E21" t="str">
            <v>20T T</v>
          </cell>
          <cell r="F21">
            <v>691.1</v>
          </cell>
          <cell r="G21">
            <v>3.4722222222222224E-2</v>
          </cell>
          <cell r="H21">
            <v>0.78819444444444453</v>
          </cell>
          <cell r="I21">
            <v>18</v>
          </cell>
          <cell r="J21">
            <v>5</v>
          </cell>
        </row>
        <row r="22">
          <cell r="A22" t="str">
            <v>107-1</v>
          </cell>
          <cell r="B22">
            <v>4</v>
          </cell>
          <cell r="C22">
            <v>21.1</v>
          </cell>
          <cell r="D22">
            <v>0.78100000000000003</v>
          </cell>
          <cell r="E22" t="str">
            <v>6T CH</v>
          </cell>
          <cell r="F22">
            <v>619.20000000000005</v>
          </cell>
          <cell r="G22">
            <v>3.4722222222222224E-2</v>
          </cell>
          <cell r="H22">
            <v>0.75</v>
          </cell>
          <cell r="I22">
            <v>17</v>
          </cell>
          <cell r="J22">
            <v>2</v>
          </cell>
        </row>
        <row r="23">
          <cell r="A23" t="str">
            <v>107-2</v>
          </cell>
          <cell r="B23">
            <v>6</v>
          </cell>
          <cell r="C23">
            <v>23.9</v>
          </cell>
          <cell r="D23">
            <v>0.88500000000000001</v>
          </cell>
          <cell r="E23" t="str">
            <v>6T CH</v>
          </cell>
          <cell r="F23">
            <v>647</v>
          </cell>
          <cell r="G23">
            <v>3.4722222222222224E-2</v>
          </cell>
          <cell r="H23">
            <v>0.75</v>
          </cell>
          <cell r="I23">
            <v>17</v>
          </cell>
          <cell r="J23">
            <v>1</v>
          </cell>
        </row>
        <row r="24">
          <cell r="A24" t="str">
            <v>108</v>
          </cell>
          <cell r="B24">
            <v>1</v>
          </cell>
          <cell r="C24">
            <v>58.55</v>
          </cell>
          <cell r="D24">
            <v>0.91484374999999996</v>
          </cell>
          <cell r="E24" t="str">
            <v>20T T</v>
          </cell>
          <cell r="F24">
            <v>594.20000000000005</v>
          </cell>
          <cell r="G24">
            <v>7.2916666666666671E-2</v>
          </cell>
          <cell r="H24">
            <v>0.54861111111111105</v>
          </cell>
          <cell r="I24">
            <v>12</v>
          </cell>
          <cell r="J24">
            <v>5</v>
          </cell>
        </row>
        <row r="25">
          <cell r="A25" t="str">
            <v>109</v>
          </cell>
          <cell r="B25">
            <v>3</v>
          </cell>
          <cell r="C25">
            <v>41.02</v>
          </cell>
          <cell r="D25">
            <v>0.64100000000000001</v>
          </cell>
          <cell r="E25" t="str">
            <v>20T T</v>
          </cell>
          <cell r="F25">
            <v>598.79999999999995</v>
          </cell>
          <cell r="G25">
            <v>0.14930555555555555</v>
          </cell>
          <cell r="H25">
            <v>0.68402777777777779</v>
          </cell>
          <cell r="I25">
            <v>13</v>
          </cell>
          <cell r="J25">
            <v>5</v>
          </cell>
        </row>
        <row r="26">
          <cell r="A26" t="str">
            <v>110</v>
          </cell>
          <cell r="B26">
            <v>4</v>
          </cell>
          <cell r="C26">
            <v>25.17</v>
          </cell>
          <cell r="D26">
            <v>0.93200000000000005</v>
          </cell>
          <cell r="E26" t="str">
            <v>6T CH</v>
          </cell>
          <cell r="F26">
            <v>650.4</v>
          </cell>
          <cell r="G26">
            <v>2.0833333333333332E-2</v>
          </cell>
          <cell r="H26">
            <v>0.69444444444444453</v>
          </cell>
          <cell r="I26">
            <v>16</v>
          </cell>
          <cell r="J26">
            <v>1</v>
          </cell>
        </row>
        <row r="27">
          <cell r="A27" t="str">
            <v>111-1</v>
          </cell>
          <cell r="B27">
            <v>2</v>
          </cell>
          <cell r="C27">
            <v>43.28</v>
          </cell>
          <cell r="D27">
            <v>0.67600000000000005</v>
          </cell>
          <cell r="E27" t="str">
            <v>20T</v>
          </cell>
          <cell r="F27">
            <v>897</v>
          </cell>
          <cell r="G27">
            <v>1.0416666666666666E-2</v>
          </cell>
          <cell r="H27">
            <v>0.625</v>
          </cell>
          <cell r="I27">
            <v>15</v>
          </cell>
          <cell r="J27">
            <v>3</v>
          </cell>
        </row>
        <row r="28">
          <cell r="A28" t="str">
            <v>111-2</v>
          </cell>
          <cell r="B28">
            <v>2</v>
          </cell>
          <cell r="C28">
            <v>44.81</v>
          </cell>
          <cell r="D28">
            <v>0.7</v>
          </cell>
          <cell r="E28" t="str">
            <v>20T</v>
          </cell>
          <cell r="F28">
            <v>897</v>
          </cell>
          <cell r="G28">
            <v>1.0416666666666666E-2</v>
          </cell>
          <cell r="H28">
            <v>0.625</v>
          </cell>
          <cell r="I28">
            <v>15</v>
          </cell>
          <cell r="J28">
            <v>2</v>
          </cell>
        </row>
        <row r="29">
          <cell r="A29">
            <v>120</v>
          </cell>
          <cell r="B29">
            <v>1</v>
          </cell>
          <cell r="C29">
            <v>48.53</v>
          </cell>
          <cell r="D29">
            <v>1</v>
          </cell>
          <cell r="E29" t="str">
            <v>20T</v>
          </cell>
          <cell r="F29">
            <v>900</v>
          </cell>
          <cell r="G29">
            <v>4.1666666666666664E-2</v>
          </cell>
          <cell r="H29">
            <v>0.66666666666666663</v>
          </cell>
          <cell r="I29">
            <v>15</v>
          </cell>
          <cell r="J29">
            <v>3</v>
          </cell>
        </row>
        <row r="30">
          <cell r="A30" t="str">
            <v>112</v>
          </cell>
          <cell r="B30">
            <v>7</v>
          </cell>
          <cell r="C30">
            <v>15.78</v>
          </cell>
          <cell r="D30">
            <v>0.58399999999999996</v>
          </cell>
          <cell r="E30" t="str">
            <v>6T CH</v>
          </cell>
          <cell r="F30">
            <v>644.9</v>
          </cell>
          <cell r="G30">
            <v>4.5138888888888888E-2</v>
          </cell>
          <cell r="H30">
            <v>0.79166666666666663</v>
          </cell>
          <cell r="I30">
            <v>18</v>
          </cell>
          <cell r="J30">
            <v>1</v>
          </cell>
        </row>
        <row r="31">
          <cell r="A31" t="str">
            <v>113</v>
          </cell>
          <cell r="B31">
            <v>8</v>
          </cell>
          <cell r="C31">
            <v>14.89</v>
          </cell>
          <cell r="D31">
            <v>0.53800000000000003</v>
          </cell>
          <cell r="E31" t="str">
            <v>6T CH</v>
          </cell>
          <cell r="F31">
            <v>620.9</v>
          </cell>
          <cell r="G31">
            <v>6.25E-2</v>
          </cell>
          <cell r="H31">
            <v>0.72569444444444453</v>
          </cell>
          <cell r="I31">
            <v>16</v>
          </cell>
          <cell r="J31">
            <v>1</v>
          </cell>
        </row>
        <row r="32">
          <cell r="A32" t="str">
            <v>114</v>
          </cell>
          <cell r="B32">
            <v>6</v>
          </cell>
          <cell r="C32">
            <v>19.98</v>
          </cell>
          <cell r="D32">
            <v>0.74</v>
          </cell>
          <cell r="E32" t="str">
            <v>6T CH</v>
          </cell>
          <cell r="F32">
            <v>623</v>
          </cell>
          <cell r="G32">
            <v>7.6388888888888895E-2</v>
          </cell>
          <cell r="H32">
            <v>0.73958333333333337</v>
          </cell>
          <cell r="I32">
            <v>16</v>
          </cell>
          <cell r="J32">
            <v>1</v>
          </cell>
        </row>
        <row r="33">
          <cell r="A33" t="str">
            <v>118</v>
          </cell>
          <cell r="B33">
            <v>1</v>
          </cell>
          <cell r="C33">
            <v>14.9</v>
          </cell>
          <cell r="D33">
            <v>0.55100000000000005</v>
          </cell>
          <cell r="E33" t="str">
            <v>6T</v>
          </cell>
          <cell r="F33">
            <v>56</v>
          </cell>
          <cell r="G33">
            <v>0.33333333333333331</v>
          </cell>
          <cell r="H33">
            <v>0.42708333333333331</v>
          </cell>
          <cell r="I33">
            <v>2</v>
          </cell>
          <cell r="J33">
            <v>1</v>
          </cell>
        </row>
        <row r="34">
          <cell r="A34" t="str">
            <v>128</v>
          </cell>
          <cell r="B34">
            <v>5</v>
          </cell>
          <cell r="C34">
            <v>14.1</v>
          </cell>
          <cell r="D34">
            <v>0.52200000000000002</v>
          </cell>
          <cell r="E34" t="str">
            <v>6T</v>
          </cell>
          <cell r="F34">
            <v>782</v>
          </cell>
          <cell r="G34">
            <v>0.10416666666666667</v>
          </cell>
          <cell r="H34">
            <v>0.72916666666666663</v>
          </cell>
          <cell r="I34">
            <v>15</v>
          </cell>
          <cell r="J34">
            <v>1</v>
          </cell>
        </row>
        <row r="35">
          <cell r="A35" t="str">
            <v>DS15-01</v>
          </cell>
          <cell r="B35">
            <v>4</v>
          </cell>
          <cell r="C35">
            <v>32.799999999999997</v>
          </cell>
          <cell r="D35">
            <v>0.51</v>
          </cell>
          <cell r="E35" t="str">
            <v>20T</v>
          </cell>
          <cell r="F35">
            <v>1465</v>
          </cell>
          <cell r="I35">
            <v>51</v>
          </cell>
          <cell r="J35">
            <v>1</v>
          </cell>
        </row>
        <row r="36">
          <cell r="A36" t="str">
            <v>DT07-04</v>
          </cell>
          <cell r="B36">
            <v>3</v>
          </cell>
          <cell r="C36" t="str">
            <v/>
          </cell>
          <cell r="D36" t="str">
            <v/>
          </cell>
          <cell r="E36" t="str">
            <v>20T</v>
          </cell>
          <cell r="F36">
            <v>768</v>
          </cell>
          <cell r="G36">
            <v>0.95833333333333337</v>
          </cell>
          <cell r="H36">
            <v>0.72916666666666663</v>
          </cell>
          <cell r="I36">
            <v>18</v>
          </cell>
          <cell r="J36">
            <v>3</v>
          </cell>
        </row>
        <row r="37">
          <cell r="D37">
            <v>0.72458958333333345</v>
          </cell>
          <cell r="J37">
            <v>36</v>
          </cell>
        </row>
      </sheetData>
      <sheetData sheetId="7"/>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Hoja1"/>
      <sheetName val="Proposal"/>
      <sheetName val="Actual"/>
      <sheetName val="qryMilkRunsSummary"/>
    </sheetNames>
    <sheetDataSet>
      <sheetData sheetId="0"/>
      <sheetData sheetId="1" refreshError="1">
        <row r="1">
          <cell r="A1" t="str">
            <v>ROUTE</v>
          </cell>
          <cell r="B1" t="str">
            <v>DUNS</v>
          </cell>
          <cell r="C1" t="str">
            <v>M3</v>
          </cell>
          <cell r="D1" t="str">
            <v>WEIGHT</v>
          </cell>
          <cell r="E1" t="str">
            <v>DISTANCE</v>
          </cell>
          <cell r="F1" t="str">
            <v>% USED</v>
          </cell>
          <cell r="G1" t="str">
            <v>COST</v>
          </cell>
          <cell r="H1" t="str">
            <v>ARR H</v>
          </cell>
          <cell r="I1" t="str">
            <v>ARR M</v>
          </cell>
          <cell r="J1" t="str">
            <v>ARR D</v>
          </cell>
          <cell r="K1" t="str">
            <v>DEP H</v>
          </cell>
          <cell r="L1" t="str">
            <v>DEP M</v>
          </cell>
          <cell r="M1" t="str">
            <v>DEP D</v>
          </cell>
          <cell r="N1" t="str">
            <v>TRUCK TYPE</v>
          </cell>
          <cell r="O1" t="str">
            <v>DOMICILE</v>
          </cell>
          <cell r="P1" t="str">
            <v>SEQUENCE</v>
          </cell>
        </row>
        <row r="2">
          <cell r="A2" t="str">
            <v>21</v>
          </cell>
          <cell r="K2">
            <v>6</v>
          </cell>
          <cell r="L2">
            <v>0</v>
          </cell>
          <cell r="M2">
            <v>1</v>
          </cell>
          <cell r="N2" t="str">
            <v>6T CH</v>
          </cell>
          <cell r="O2" t="str">
            <v>DOMSFER</v>
          </cell>
          <cell r="P2">
            <v>0</v>
          </cell>
        </row>
        <row r="3">
          <cell r="A3" t="str">
            <v>21</v>
          </cell>
          <cell r="B3">
            <v>971179007</v>
          </cell>
          <cell r="C3">
            <v>2.4</v>
          </cell>
          <cell r="D3">
            <v>0</v>
          </cell>
          <cell r="E3">
            <v>12.7</v>
          </cell>
          <cell r="F3">
            <v>107.9</v>
          </cell>
          <cell r="G3">
            <v>278.3</v>
          </cell>
          <cell r="H3">
            <v>7</v>
          </cell>
          <cell r="I3">
            <v>15</v>
          </cell>
          <cell r="J3">
            <v>1</v>
          </cell>
          <cell r="K3">
            <v>7</v>
          </cell>
          <cell r="L3">
            <v>35</v>
          </cell>
          <cell r="M3">
            <v>1</v>
          </cell>
          <cell r="N3" t="str">
            <v>6T CH</v>
          </cell>
          <cell r="O3" t="str">
            <v>DOMSFER</v>
          </cell>
          <cell r="P3">
            <v>1</v>
          </cell>
        </row>
        <row r="4">
          <cell r="A4" t="str">
            <v>21</v>
          </cell>
          <cell r="B4">
            <v>970553996</v>
          </cell>
          <cell r="C4">
            <v>7.52</v>
          </cell>
          <cell r="E4">
            <v>48</v>
          </cell>
          <cell r="H4">
            <v>8</v>
          </cell>
          <cell r="I4">
            <v>0</v>
          </cell>
          <cell r="J4">
            <v>1</v>
          </cell>
          <cell r="K4">
            <v>8</v>
          </cell>
          <cell r="L4">
            <v>30</v>
          </cell>
          <cell r="M4">
            <v>1</v>
          </cell>
          <cell r="N4" t="str">
            <v>6T CH</v>
          </cell>
          <cell r="O4" t="str">
            <v>DOMSFER</v>
          </cell>
          <cell r="P4">
            <v>2</v>
          </cell>
        </row>
        <row r="5">
          <cell r="A5" t="str">
            <v>21</v>
          </cell>
          <cell r="B5">
            <v>970740866</v>
          </cell>
          <cell r="C5">
            <v>3.92</v>
          </cell>
          <cell r="E5">
            <v>20</v>
          </cell>
          <cell r="H5">
            <v>9</v>
          </cell>
          <cell r="I5">
            <v>10</v>
          </cell>
          <cell r="J5">
            <v>1</v>
          </cell>
          <cell r="K5">
            <v>9</v>
          </cell>
          <cell r="L5">
            <v>30</v>
          </cell>
          <cell r="M5">
            <v>1</v>
          </cell>
          <cell r="N5" t="str">
            <v>6T CH</v>
          </cell>
          <cell r="O5" t="str">
            <v>DOMSFER</v>
          </cell>
          <cell r="P5">
            <v>3</v>
          </cell>
        </row>
        <row r="6">
          <cell r="A6" t="str">
            <v>21</v>
          </cell>
          <cell r="B6">
            <v>971238944</v>
          </cell>
          <cell r="C6">
            <v>8.18</v>
          </cell>
          <cell r="E6">
            <v>14</v>
          </cell>
          <cell r="H6">
            <v>9</v>
          </cell>
          <cell r="I6">
            <v>50</v>
          </cell>
          <cell r="J6">
            <v>1</v>
          </cell>
          <cell r="K6">
            <v>10</v>
          </cell>
          <cell r="L6">
            <v>20</v>
          </cell>
          <cell r="M6">
            <v>1</v>
          </cell>
          <cell r="N6" t="str">
            <v>6T CH</v>
          </cell>
          <cell r="O6" t="str">
            <v>DOMSFER</v>
          </cell>
          <cell r="P6">
            <v>4</v>
          </cell>
        </row>
        <row r="7">
          <cell r="A7" t="str">
            <v>21</v>
          </cell>
          <cell r="B7">
            <v>971336664</v>
          </cell>
          <cell r="C7">
            <v>2.0499999999999998</v>
          </cell>
          <cell r="D7">
            <v>0</v>
          </cell>
          <cell r="E7">
            <v>13.9</v>
          </cell>
          <cell r="F7">
            <v>107.9</v>
          </cell>
          <cell r="G7">
            <v>278.3</v>
          </cell>
          <cell r="H7">
            <v>10</v>
          </cell>
          <cell r="I7">
            <v>50</v>
          </cell>
          <cell r="J7">
            <v>1</v>
          </cell>
          <cell r="K7">
            <v>11</v>
          </cell>
          <cell r="L7">
            <v>0</v>
          </cell>
          <cell r="M7">
            <v>1</v>
          </cell>
          <cell r="N7" t="str">
            <v>6T CH</v>
          </cell>
          <cell r="O7" t="str">
            <v>DOMSFER</v>
          </cell>
          <cell r="P7">
            <v>5</v>
          </cell>
        </row>
        <row r="8">
          <cell r="A8" t="str">
            <v>21</v>
          </cell>
          <cell r="B8">
            <v>970198222</v>
          </cell>
          <cell r="C8">
            <v>3</v>
          </cell>
          <cell r="H8">
            <v>12</v>
          </cell>
          <cell r="I8">
            <v>0</v>
          </cell>
          <cell r="J8">
            <v>1</v>
          </cell>
          <cell r="K8">
            <v>12</v>
          </cell>
          <cell r="L8">
            <v>20</v>
          </cell>
          <cell r="M8">
            <v>1</v>
          </cell>
          <cell r="N8" t="str">
            <v>6T CH</v>
          </cell>
          <cell r="O8" t="str">
            <v>DOMSFER</v>
          </cell>
          <cell r="P8">
            <v>6</v>
          </cell>
        </row>
        <row r="9">
          <cell r="A9" t="str">
            <v>21</v>
          </cell>
          <cell r="B9">
            <v>970006383</v>
          </cell>
          <cell r="C9">
            <v>0</v>
          </cell>
          <cell r="D9">
            <v>0</v>
          </cell>
          <cell r="E9">
            <v>23</v>
          </cell>
          <cell r="F9">
            <v>0</v>
          </cell>
          <cell r="G9">
            <v>0</v>
          </cell>
          <cell r="H9">
            <v>13</v>
          </cell>
          <cell r="I9">
            <v>30</v>
          </cell>
          <cell r="J9">
            <v>1</v>
          </cell>
          <cell r="K9">
            <v>13</v>
          </cell>
          <cell r="L9">
            <v>40</v>
          </cell>
          <cell r="M9">
            <v>1</v>
          </cell>
          <cell r="N9" t="str">
            <v>6T CH</v>
          </cell>
          <cell r="O9" t="str">
            <v>DOMSFER</v>
          </cell>
          <cell r="P9">
            <v>7</v>
          </cell>
        </row>
        <row r="10">
          <cell r="A10" t="str">
            <v>21</v>
          </cell>
          <cell r="B10">
            <v>970155560</v>
          </cell>
          <cell r="C10">
            <v>2.0699999999999998</v>
          </cell>
          <cell r="E10">
            <v>40</v>
          </cell>
          <cell r="H10">
            <v>14</v>
          </cell>
          <cell r="I10">
            <v>10</v>
          </cell>
          <cell r="J10">
            <v>1</v>
          </cell>
          <cell r="K10">
            <v>14</v>
          </cell>
          <cell r="L10">
            <v>30</v>
          </cell>
          <cell r="M10">
            <v>1</v>
          </cell>
          <cell r="N10" t="str">
            <v>6T CH</v>
          </cell>
          <cell r="O10" t="str">
            <v>DOMSFER</v>
          </cell>
          <cell r="P10">
            <v>8</v>
          </cell>
        </row>
        <row r="11">
          <cell r="A11" t="str">
            <v>21</v>
          </cell>
          <cell r="E11">
            <v>3</v>
          </cell>
          <cell r="H11">
            <v>14</v>
          </cell>
          <cell r="I11">
            <v>45</v>
          </cell>
          <cell r="J11">
            <v>1</v>
          </cell>
          <cell r="N11" t="str">
            <v>6T CH</v>
          </cell>
          <cell r="O11" t="str">
            <v>DOMSFER</v>
          </cell>
          <cell r="P11">
            <v>9</v>
          </cell>
        </row>
        <row r="12">
          <cell r="A12" t="str">
            <v>22</v>
          </cell>
          <cell r="K12">
            <v>4</v>
          </cell>
          <cell r="L12">
            <v>30</v>
          </cell>
          <cell r="M12">
            <v>1</v>
          </cell>
          <cell r="N12" t="str">
            <v>6T CH</v>
          </cell>
          <cell r="O12" t="str">
            <v>DOMSFER</v>
          </cell>
          <cell r="P12">
            <v>0</v>
          </cell>
        </row>
        <row r="13">
          <cell r="A13" t="str">
            <v>22</v>
          </cell>
          <cell r="B13">
            <v>970000188</v>
          </cell>
          <cell r="C13">
            <v>1.65</v>
          </cell>
          <cell r="D13">
            <v>0</v>
          </cell>
          <cell r="E13">
            <v>3</v>
          </cell>
          <cell r="F13">
            <v>42</v>
          </cell>
          <cell r="G13">
            <v>217.9</v>
          </cell>
          <cell r="H13">
            <v>6</v>
          </cell>
          <cell r="I13">
            <v>0</v>
          </cell>
          <cell r="J13">
            <v>1</v>
          </cell>
          <cell r="K13">
            <v>6</v>
          </cell>
          <cell r="L13">
            <v>20</v>
          </cell>
          <cell r="M13">
            <v>1</v>
          </cell>
          <cell r="N13" t="str">
            <v>6T CH</v>
          </cell>
          <cell r="O13" t="str">
            <v>DOMSFER</v>
          </cell>
          <cell r="P13">
            <v>1</v>
          </cell>
        </row>
        <row r="14">
          <cell r="A14" t="str">
            <v>22</v>
          </cell>
          <cell r="B14">
            <v>970933859</v>
          </cell>
          <cell r="C14">
            <v>1.25</v>
          </cell>
          <cell r="D14">
            <v>0</v>
          </cell>
          <cell r="E14">
            <v>12</v>
          </cell>
          <cell r="F14">
            <v>42</v>
          </cell>
          <cell r="G14">
            <v>217.9</v>
          </cell>
          <cell r="H14">
            <v>7</v>
          </cell>
          <cell r="I14">
            <v>50</v>
          </cell>
          <cell r="J14">
            <v>1</v>
          </cell>
          <cell r="K14">
            <v>8</v>
          </cell>
          <cell r="L14">
            <v>5</v>
          </cell>
          <cell r="M14">
            <v>1</v>
          </cell>
          <cell r="N14" t="str">
            <v>6T CH</v>
          </cell>
          <cell r="O14" t="str">
            <v>DOMSFER</v>
          </cell>
          <cell r="P14">
            <v>2</v>
          </cell>
        </row>
        <row r="15">
          <cell r="A15" t="str">
            <v>22</v>
          </cell>
          <cell r="B15">
            <v>970553996</v>
          </cell>
          <cell r="C15">
            <v>7.52</v>
          </cell>
          <cell r="E15">
            <v>48</v>
          </cell>
          <cell r="H15">
            <v>8</v>
          </cell>
          <cell r="I15">
            <v>20</v>
          </cell>
          <cell r="J15">
            <v>1</v>
          </cell>
          <cell r="K15">
            <v>8</v>
          </cell>
          <cell r="L15">
            <v>50</v>
          </cell>
          <cell r="M15">
            <v>1</v>
          </cell>
          <cell r="N15" t="str">
            <v>6T CH</v>
          </cell>
          <cell r="O15" t="str">
            <v>DOMSFER</v>
          </cell>
          <cell r="P15">
            <v>3</v>
          </cell>
        </row>
        <row r="16">
          <cell r="A16" t="str">
            <v>22</v>
          </cell>
          <cell r="B16">
            <v>970740866</v>
          </cell>
          <cell r="C16">
            <v>3.92</v>
          </cell>
          <cell r="E16">
            <v>20</v>
          </cell>
          <cell r="H16">
            <v>9</v>
          </cell>
          <cell r="I16">
            <v>30</v>
          </cell>
          <cell r="J16">
            <v>1</v>
          </cell>
          <cell r="K16">
            <v>9</v>
          </cell>
          <cell r="L16">
            <v>50</v>
          </cell>
          <cell r="M16">
            <v>1</v>
          </cell>
          <cell r="N16" t="str">
            <v>6T CH</v>
          </cell>
          <cell r="O16" t="str">
            <v>DOMSFER</v>
          </cell>
          <cell r="P16">
            <v>4</v>
          </cell>
        </row>
        <row r="17">
          <cell r="A17" t="str">
            <v>23</v>
          </cell>
          <cell r="B17">
            <v>971388541</v>
          </cell>
          <cell r="C17">
            <v>2.15</v>
          </cell>
          <cell r="E17">
            <v>9</v>
          </cell>
          <cell r="H17">
            <v>6</v>
          </cell>
          <cell r="I17">
            <v>0</v>
          </cell>
          <cell r="J17">
            <v>1</v>
          </cell>
          <cell r="K17">
            <v>6</v>
          </cell>
          <cell r="L17">
            <v>20</v>
          </cell>
          <cell r="M17">
            <v>1</v>
          </cell>
          <cell r="N17" t="str">
            <v>6T CH</v>
          </cell>
          <cell r="O17" t="str">
            <v>DOMSFER</v>
          </cell>
          <cell r="P17">
            <v>1</v>
          </cell>
        </row>
        <row r="18">
          <cell r="A18" t="str">
            <v>23</v>
          </cell>
          <cell r="B18">
            <v>970548194</v>
          </cell>
          <cell r="C18">
            <v>1.35</v>
          </cell>
          <cell r="E18">
            <v>22</v>
          </cell>
          <cell r="H18">
            <v>8</v>
          </cell>
          <cell r="I18">
            <v>0</v>
          </cell>
          <cell r="J18">
            <v>1</v>
          </cell>
          <cell r="K18">
            <v>8</v>
          </cell>
          <cell r="L18">
            <v>20</v>
          </cell>
          <cell r="M18">
            <v>1</v>
          </cell>
          <cell r="N18" t="str">
            <v>6T CH</v>
          </cell>
          <cell r="O18" t="str">
            <v>DOMSFER</v>
          </cell>
          <cell r="P18">
            <v>3</v>
          </cell>
        </row>
        <row r="19">
          <cell r="A19" t="str">
            <v>22</v>
          </cell>
          <cell r="B19">
            <v>971238944</v>
          </cell>
          <cell r="C19">
            <v>8.18</v>
          </cell>
          <cell r="E19">
            <v>14</v>
          </cell>
          <cell r="H19">
            <v>10</v>
          </cell>
          <cell r="I19">
            <v>30</v>
          </cell>
          <cell r="J19">
            <v>1</v>
          </cell>
          <cell r="K19">
            <v>11</v>
          </cell>
          <cell r="L19">
            <v>0</v>
          </cell>
          <cell r="M19">
            <v>1</v>
          </cell>
          <cell r="N19" t="str">
            <v>6T CH</v>
          </cell>
          <cell r="O19" t="str">
            <v>DOMSFER</v>
          </cell>
          <cell r="P19">
            <v>5</v>
          </cell>
        </row>
        <row r="20">
          <cell r="A20" t="str">
            <v>22</v>
          </cell>
          <cell r="B20">
            <v>970231825</v>
          </cell>
          <cell r="C20">
            <v>1.3</v>
          </cell>
          <cell r="D20">
            <v>0</v>
          </cell>
          <cell r="E20">
            <v>25</v>
          </cell>
          <cell r="F20">
            <v>0</v>
          </cell>
          <cell r="G20">
            <v>0</v>
          </cell>
          <cell r="H20">
            <v>12</v>
          </cell>
          <cell r="I20">
            <v>45</v>
          </cell>
          <cell r="J20">
            <v>1</v>
          </cell>
          <cell r="K20">
            <v>12</v>
          </cell>
          <cell r="L20">
            <v>55</v>
          </cell>
          <cell r="M20">
            <v>1</v>
          </cell>
          <cell r="N20" t="str">
            <v>6T CH</v>
          </cell>
          <cell r="O20" t="str">
            <v>DOMSFER</v>
          </cell>
          <cell r="P20">
            <v>6</v>
          </cell>
        </row>
        <row r="21">
          <cell r="A21" t="str">
            <v>22</v>
          </cell>
          <cell r="B21">
            <v>970198222</v>
          </cell>
          <cell r="C21">
            <v>3</v>
          </cell>
          <cell r="H21">
            <v>13</v>
          </cell>
          <cell r="I21">
            <v>20</v>
          </cell>
          <cell r="J21">
            <v>1</v>
          </cell>
          <cell r="K21">
            <v>13</v>
          </cell>
          <cell r="L21">
            <v>40</v>
          </cell>
          <cell r="M21">
            <v>1</v>
          </cell>
          <cell r="N21" t="str">
            <v>6T CH</v>
          </cell>
          <cell r="O21" t="str">
            <v>DOMSFER</v>
          </cell>
          <cell r="P21">
            <v>7</v>
          </cell>
        </row>
        <row r="22">
          <cell r="A22" t="str">
            <v>22</v>
          </cell>
          <cell r="B22">
            <v>970155560</v>
          </cell>
          <cell r="C22">
            <v>2.0699999999999998</v>
          </cell>
          <cell r="E22">
            <v>40</v>
          </cell>
          <cell r="H22">
            <v>14</v>
          </cell>
          <cell r="I22">
            <v>5</v>
          </cell>
          <cell r="J22">
            <v>1</v>
          </cell>
          <cell r="K22">
            <v>14</v>
          </cell>
          <cell r="L22">
            <v>25</v>
          </cell>
          <cell r="M22">
            <v>1</v>
          </cell>
          <cell r="N22" t="str">
            <v>6T CH</v>
          </cell>
          <cell r="O22" t="str">
            <v>DOMSFER</v>
          </cell>
          <cell r="P22">
            <v>8</v>
          </cell>
        </row>
        <row r="23">
          <cell r="A23" t="str">
            <v>22</v>
          </cell>
          <cell r="E23">
            <v>3</v>
          </cell>
          <cell r="H23">
            <v>14</v>
          </cell>
          <cell r="I23">
            <v>55</v>
          </cell>
          <cell r="J23">
            <v>1</v>
          </cell>
          <cell r="N23" t="str">
            <v>6T CH</v>
          </cell>
          <cell r="O23" t="str">
            <v>DOMSFER</v>
          </cell>
          <cell r="P23">
            <v>9</v>
          </cell>
        </row>
        <row r="24">
          <cell r="A24" t="str">
            <v>26</v>
          </cell>
          <cell r="B24">
            <v>0</v>
          </cell>
          <cell r="K24">
            <v>1</v>
          </cell>
          <cell r="L24">
            <v>5</v>
          </cell>
          <cell r="M24">
            <v>1</v>
          </cell>
          <cell r="N24" t="str">
            <v>20T</v>
          </cell>
          <cell r="O24" t="str">
            <v>DOMROSARI</v>
          </cell>
          <cell r="P24">
            <v>0</v>
          </cell>
        </row>
        <row r="25">
          <cell r="A25" t="str">
            <v>26</v>
          </cell>
          <cell r="B25">
            <v>971436860</v>
          </cell>
          <cell r="C25">
            <v>43.72</v>
          </cell>
          <cell r="E25">
            <v>300</v>
          </cell>
          <cell r="H25">
            <v>7</v>
          </cell>
          <cell r="I25">
            <v>5</v>
          </cell>
          <cell r="J25">
            <v>1</v>
          </cell>
          <cell r="K25">
            <v>8</v>
          </cell>
          <cell r="L25">
            <v>5</v>
          </cell>
          <cell r="M25">
            <v>1</v>
          </cell>
          <cell r="N25" t="str">
            <v>20T</v>
          </cell>
          <cell r="O25" t="str">
            <v>DOMROSARI</v>
          </cell>
          <cell r="P25">
            <v>1</v>
          </cell>
        </row>
        <row r="26">
          <cell r="A26" t="str">
            <v>26</v>
          </cell>
          <cell r="B26">
            <v>0</v>
          </cell>
          <cell r="E26">
            <v>300</v>
          </cell>
          <cell r="H26">
            <v>14</v>
          </cell>
          <cell r="I26">
            <v>20</v>
          </cell>
          <cell r="J26">
            <v>1</v>
          </cell>
          <cell r="N26" t="str">
            <v>20T</v>
          </cell>
          <cell r="O26" t="str">
            <v>DOMROSARI</v>
          </cell>
          <cell r="P26">
            <v>3</v>
          </cell>
        </row>
        <row r="27">
          <cell r="A27" t="str">
            <v>27</v>
          </cell>
          <cell r="B27">
            <v>0</v>
          </cell>
          <cell r="K27">
            <v>1</v>
          </cell>
          <cell r="L27">
            <v>5</v>
          </cell>
          <cell r="M27">
            <v>1</v>
          </cell>
          <cell r="N27" t="str">
            <v>20T</v>
          </cell>
          <cell r="O27" t="str">
            <v>DOMROSARI</v>
          </cell>
          <cell r="P27">
            <v>0</v>
          </cell>
        </row>
        <row r="28">
          <cell r="A28" t="str">
            <v>27</v>
          </cell>
          <cell r="B28">
            <v>971436860</v>
          </cell>
          <cell r="C28">
            <v>43.72</v>
          </cell>
          <cell r="E28">
            <v>300</v>
          </cell>
          <cell r="H28">
            <v>7</v>
          </cell>
          <cell r="I28">
            <v>5</v>
          </cell>
          <cell r="J28">
            <v>1</v>
          </cell>
          <cell r="K28">
            <v>8</v>
          </cell>
          <cell r="L28">
            <v>5</v>
          </cell>
          <cell r="M28">
            <v>1</v>
          </cell>
          <cell r="N28" t="str">
            <v>20T</v>
          </cell>
          <cell r="O28" t="str">
            <v>DOMROSARI</v>
          </cell>
          <cell r="P28">
            <v>1</v>
          </cell>
        </row>
        <row r="29">
          <cell r="A29" t="str">
            <v>27</v>
          </cell>
          <cell r="B29">
            <v>0</v>
          </cell>
          <cell r="E29">
            <v>300</v>
          </cell>
          <cell r="H29">
            <v>14</v>
          </cell>
          <cell r="I29">
            <v>30</v>
          </cell>
          <cell r="J29">
            <v>1</v>
          </cell>
          <cell r="N29" t="str">
            <v>20T</v>
          </cell>
          <cell r="O29" t="str">
            <v>DOMROSARI</v>
          </cell>
          <cell r="P29">
            <v>4</v>
          </cell>
        </row>
        <row r="30">
          <cell r="A30" t="str">
            <v>28</v>
          </cell>
          <cell r="B30">
            <v>0</v>
          </cell>
          <cell r="K30">
            <v>1</v>
          </cell>
          <cell r="L30">
            <v>5</v>
          </cell>
          <cell r="M30">
            <v>1</v>
          </cell>
          <cell r="N30" t="str">
            <v>20T</v>
          </cell>
          <cell r="O30" t="str">
            <v>DOMROSARI</v>
          </cell>
          <cell r="P30">
            <v>0</v>
          </cell>
        </row>
        <row r="31">
          <cell r="A31" t="str">
            <v>28</v>
          </cell>
          <cell r="B31">
            <v>971436860</v>
          </cell>
          <cell r="C31">
            <v>43.72</v>
          </cell>
          <cell r="E31">
            <v>300</v>
          </cell>
          <cell r="H31">
            <v>7</v>
          </cell>
          <cell r="I31">
            <v>5</v>
          </cell>
          <cell r="J31">
            <v>1</v>
          </cell>
          <cell r="K31">
            <v>8</v>
          </cell>
          <cell r="L31">
            <v>5</v>
          </cell>
          <cell r="M31">
            <v>1</v>
          </cell>
          <cell r="N31" t="str">
            <v>20T</v>
          </cell>
          <cell r="O31" t="str">
            <v>DOMROSARI</v>
          </cell>
          <cell r="P31">
            <v>1</v>
          </cell>
        </row>
        <row r="32">
          <cell r="A32" t="str">
            <v>23</v>
          </cell>
          <cell r="K32">
            <v>4</v>
          </cell>
          <cell r="L32">
            <v>30</v>
          </cell>
          <cell r="M32">
            <v>1</v>
          </cell>
          <cell r="N32" t="str">
            <v>6T CH</v>
          </cell>
          <cell r="O32" t="str">
            <v>DOMSFER</v>
          </cell>
          <cell r="P32">
            <v>0</v>
          </cell>
        </row>
        <row r="33">
          <cell r="A33" t="str">
            <v>23</v>
          </cell>
          <cell r="B33">
            <v>970406393</v>
          </cell>
          <cell r="C33">
            <v>4.25</v>
          </cell>
          <cell r="D33">
            <v>216</v>
          </cell>
          <cell r="E33">
            <v>4</v>
          </cell>
          <cell r="H33">
            <v>6</v>
          </cell>
          <cell r="I33">
            <v>45</v>
          </cell>
          <cell r="J33">
            <v>1</v>
          </cell>
          <cell r="K33">
            <v>7</v>
          </cell>
          <cell r="L33">
            <v>5</v>
          </cell>
          <cell r="M33">
            <v>1</v>
          </cell>
          <cell r="N33" t="str">
            <v>6T CH</v>
          </cell>
          <cell r="O33" t="str">
            <v>DOMSFER</v>
          </cell>
          <cell r="P33">
            <v>2</v>
          </cell>
        </row>
        <row r="34">
          <cell r="A34" t="str">
            <v>23</v>
          </cell>
          <cell r="B34">
            <v>971253679</v>
          </cell>
          <cell r="E34">
            <v>8</v>
          </cell>
          <cell r="H34">
            <v>9</v>
          </cell>
          <cell r="I34">
            <v>0</v>
          </cell>
          <cell r="J34">
            <v>1</v>
          </cell>
          <cell r="K34">
            <v>9</v>
          </cell>
          <cell r="L34">
            <v>15</v>
          </cell>
          <cell r="M34">
            <v>1</v>
          </cell>
          <cell r="N34" t="str">
            <v>6T CH</v>
          </cell>
          <cell r="O34" t="str">
            <v>DOMSFER</v>
          </cell>
          <cell r="P34">
            <v>4</v>
          </cell>
        </row>
        <row r="35">
          <cell r="A35" t="str">
            <v>23</v>
          </cell>
          <cell r="B35">
            <v>971713136</v>
          </cell>
          <cell r="C35">
            <v>3.1</v>
          </cell>
          <cell r="E35">
            <v>20</v>
          </cell>
          <cell r="H35">
            <v>9</v>
          </cell>
          <cell r="I35">
            <v>30</v>
          </cell>
          <cell r="J35">
            <v>1</v>
          </cell>
          <cell r="K35">
            <v>10</v>
          </cell>
          <cell r="L35">
            <v>0</v>
          </cell>
          <cell r="M35">
            <v>1</v>
          </cell>
          <cell r="N35" t="str">
            <v>6T CH</v>
          </cell>
          <cell r="O35" t="str">
            <v>DOMSFER</v>
          </cell>
          <cell r="P35">
            <v>5</v>
          </cell>
        </row>
        <row r="36">
          <cell r="A36" t="str">
            <v>23</v>
          </cell>
          <cell r="B36">
            <v>971051610</v>
          </cell>
          <cell r="C36">
            <v>10.15</v>
          </cell>
          <cell r="E36">
            <v>7</v>
          </cell>
          <cell r="H36">
            <v>10</v>
          </cell>
          <cell r="I36">
            <v>30</v>
          </cell>
          <cell r="J36">
            <v>1</v>
          </cell>
          <cell r="K36">
            <v>11</v>
          </cell>
          <cell r="L36">
            <v>10</v>
          </cell>
          <cell r="M36">
            <v>1</v>
          </cell>
          <cell r="N36" t="str">
            <v>6T CH</v>
          </cell>
          <cell r="O36" t="str">
            <v>DOMSFER</v>
          </cell>
          <cell r="P36">
            <v>6</v>
          </cell>
        </row>
        <row r="37">
          <cell r="A37" t="str">
            <v>23</v>
          </cell>
          <cell r="B37">
            <v>970868071</v>
          </cell>
          <cell r="C37">
            <v>0.47</v>
          </cell>
          <cell r="E37">
            <v>1</v>
          </cell>
          <cell r="H37">
            <v>11</v>
          </cell>
          <cell r="I37">
            <v>20</v>
          </cell>
          <cell r="J37">
            <v>1</v>
          </cell>
          <cell r="K37">
            <v>11</v>
          </cell>
          <cell r="L37">
            <v>35</v>
          </cell>
          <cell r="M37">
            <v>1</v>
          </cell>
          <cell r="N37" t="str">
            <v>6T CH</v>
          </cell>
          <cell r="O37" t="str">
            <v>DOMSFER</v>
          </cell>
          <cell r="P37">
            <v>7</v>
          </cell>
        </row>
        <row r="38">
          <cell r="A38" t="str">
            <v>23</v>
          </cell>
          <cell r="B38">
            <v>971241773</v>
          </cell>
          <cell r="C38">
            <v>14.23</v>
          </cell>
          <cell r="E38">
            <v>8</v>
          </cell>
          <cell r="H38">
            <v>12</v>
          </cell>
          <cell r="I38">
            <v>10</v>
          </cell>
          <cell r="J38">
            <v>1</v>
          </cell>
          <cell r="K38">
            <v>12</v>
          </cell>
          <cell r="L38">
            <v>40</v>
          </cell>
          <cell r="M38">
            <v>1</v>
          </cell>
          <cell r="N38" t="str">
            <v>6T CH</v>
          </cell>
          <cell r="O38" t="str">
            <v>DOMSFER</v>
          </cell>
          <cell r="P38">
            <v>8</v>
          </cell>
        </row>
        <row r="39">
          <cell r="A39" t="str">
            <v>23</v>
          </cell>
          <cell r="E39">
            <v>2</v>
          </cell>
          <cell r="H39">
            <v>12</v>
          </cell>
          <cell r="I39">
            <v>55</v>
          </cell>
          <cell r="J39">
            <v>1</v>
          </cell>
          <cell r="N39" t="str">
            <v>6T CH</v>
          </cell>
          <cell r="O39" t="str">
            <v>DOMSFER</v>
          </cell>
          <cell r="P39">
            <v>9</v>
          </cell>
        </row>
        <row r="40">
          <cell r="A40" t="str">
            <v>24</v>
          </cell>
          <cell r="C40">
            <v>0</v>
          </cell>
          <cell r="D40">
            <v>0</v>
          </cell>
          <cell r="E40">
            <v>0</v>
          </cell>
          <cell r="K40">
            <v>4</v>
          </cell>
          <cell r="L40">
            <v>30</v>
          </cell>
          <cell r="M40">
            <v>1</v>
          </cell>
          <cell r="N40" t="str">
            <v>6T CH</v>
          </cell>
          <cell r="O40" t="str">
            <v>DOMSFER</v>
          </cell>
          <cell r="P40">
            <v>0</v>
          </cell>
        </row>
        <row r="41">
          <cell r="A41" t="str">
            <v>24</v>
          </cell>
          <cell r="B41">
            <v>970534707</v>
          </cell>
          <cell r="C41">
            <v>1.2</v>
          </cell>
          <cell r="D41">
            <v>0</v>
          </cell>
          <cell r="E41">
            <v>23</v>
          </cell>
          <cell r="F41">
            <v>0</v>
          </cell>
          <cell r="G41">
            <v>0</v>
          </cell>
          <cell r="H41">
            <v>6</v>
          </cell>
          <cell r="I41">
            <v>5</v>
          </cell>
          <cell r="J41">
            <v>1</v>
          </cell>
          <cell r="K41">
            <v>6</v>
          </cell>
          <cell r="L41">
            <v>15</v>
          </cell>
          <cell r="M41">
            <v>1</v>
          </cell>
          <cell r="N41" t="str">
            <v>6T CH</v>
          </cell>
          <cell r="O41" t="str">
            <v>DOMSFER</v>
          </cell>
          <cell r="P41">
            <v>1</v>
          </cell>
        </row>
        <row r="42">
          <cell r="A42" t="str">
            <v>24</v>
          </cell>
          <cell r="B42">
            <v>971044458</v>
          </cell>
          <cell r="C42">
            <v>2.5499999999999998</v>
          </cell>
          <cell r="D42">
            <v>0</v>
          </cell>
          <cell r="E42">
            <v>11</v>
          </cell>
          <cell r="F42">
            <v>0</v>
          </cell>
          <cell r="G42">
            <v>0</v>
          </cell>
          <cell r="H42">
            <v>7</v>
          </cell>
          <cell r="I42">
            <v>0</v>
          </cell>
          <cell r="J42">
            <v>1</v>
          </cell>
          <cell r="K42">
            <v>7</v>
          </cell>
          <cell r="L42">
            <v>20</v>
          </cell>
          <cell r="M42">
            <v>1</v>
          </cell>
          <cell r="N42" t="str">
            <v>6T CH</v>
          </cell>
          <cell r="O42" t="str">
            <v>DOMSFER</v>
          </cell>
          <cell r="P42">
            <v>2</v>
          </cell>
        </row>
        <row r="43">
          <cell r="A43" t="str">
            <v>24</v>
          </cell>
          <cell r="B43">
            <v>970548194</v>
          </cell>
          <cell r="C43">
            <v>1.35</v>
          </cell>
          <cell r="E43">
            <v>22</v>
          </cell>
          <cell r="H43">
            <v>8</v>
          </cell>
          <cell r="I43">
            <v>0</v>
          </cell>
          <cell r="J43">
            <v>1</v>
          </cell>
          <cell r="K43">
            <v>8</v>
          </cell>
          <cell r="L43">
            <v>20</v>
          </cell>
          <cell r="M43">
            <v>1</v>
          </cell>
          <cell r="N43" t="str">
            <v>6T CH</v>
          </cell>
          <cell r="O43" t="str">
            <v>DOMSFER</v>
          </cell>
          <cell r="P43">
            <v>3</v>
          </cell>
        </row>
        <row r="44">
          <cell r="A44" t="str">
            <v>24</v>
          </cell>
          <cell r="B44">
            <v>971253679</v>
          </cell>
          <cell r="E44">
            <v>8</v>
          </cell>
          <cell r="H44">
            <v>9</v>
          </cell>
          <cell r="I44">
            <v>0</v>
          </cell>
          <cell r="J44">
            <v>1</v>
          </cell>
          <cell r="K44">
            <v>9</v>
          </cell>
          <cell r="L44">
            <v>15</v>
          </cell>
          <cell r="M44">
            <v>1</v>
          </cell>
          <cell r="N44" t="str">
            <v>6T CH</v>
          </cell>
          <cell r="O44" t="str">
            <v>DOMSFER</v>
          </cell>
          <cell r="P44">
            <v>4</v>
          </cell>
        </row>
        <row r="45">
          <cell r="A45" t="str">
            <v>24</v>
          </cell>
          <cell r="B45">
            <v>971713136</v>
          </cell>
          <cell r="C45">
            <v>3.1</v>
          </cell>
          <cell r="E45">
            <v>20</v>
          </cell>
          <cell r="H45">
            <v>9</v>
          </cell>
          <cell r="I45">
            <v>30</v>
          </cell>
          <cell r="J45">
            <v>1</v>
          </cell>
          <cell r="K45">
            <v>10</v>
          </cell>
          <cell r="L45">
            <v>0</v>
          </cell>
          <cell r="M45">
            <v>1</v>
          </cell>
          <cell r="N45" t="str">
            <v>6T CH</v>
          </cell>
          <cell r="O45" t="str">
            <v>DOMSFER</v>
          </cell>
          <cell r="P45">
            <v>5</v>
          </cell>
        </row>
        <row r="46">
          <cell r="A46" t="str">
            <v>24</v>
          </cell>
          <cell r="B46">
            <v>971051610</v>
          </cell>
          <cell r="C46">
            <v>10.15</v>
          </cell>
          <cell r="E46">
            <v>7</v>
          </cell>
          <cell r="H46">
            <v>10</v>
          </cell>
          <cell r="I46">
            <v>30</v>
          </cell>
          <cell r="J46">
            <v>1</v>
          </cell>
          <cell r="K46">
            <v>11</v>
          </cell>
          <cell r="L46">
            <v>10</v>
          </cell>
          <cell r="M46">
            <v>1</v>
          </cell>
          <cell r="N46" t="str">
            <v>6T CH</v>
          </cell>
          <cell r="O46" t="str">
            <v>DOMSFER</v>
          </cell>
          <cell r="P46">
            <v>6</v>
          </cell>
        </row>
        <row r="47">
          <cell r="A47" t="str">
            <v>24</v>
          </cell>
          <cell r="B47">
            <v>970868071</v>
          </cell>
          <cell r="C47">
            <v>0.47</v>
          </cell>
          <cell r="E47">
            <v>1</v>
          </cell>
          <cell r="H47">
            <v>11</v>
          </cell>
          <cell r="I47">
            <v>20</v>
          </cell>
          <cell r="J47">
            <v>1</v>
          </cell>
          <cell r="K47">
            <v>11</v>
          </cell>
          <cell r="L47">
            <v>35</v>
          </cell>
          <cell r="M47">
            <v>1</v>
          </cell>
          <cell r="N47" t="str">
            <v>6T CH</v>
          </cell>
          <cell r="O47" t="str">
            <v>DOMSFER</v>
          </cell>
          <cell r="P47">
            <v>7</v>
          </cell>
        </row>
        <row r="48">
          <cell r="A48" t="str">
            <v>24</v>
          </cell>
          <cell r="B48">
            <v>971241773</v>
          </cell>
          <cell r="C48">
            <v>14.23</v>
          </cell>
          <cell r="E48">
            <v>8</v>
          </cell>
          <cell r="H48">
            <v>12</v>
          </cell>
          <cell r="I48">
            <v>10</v>
          </cell>
          <cell r="J48">
            <v>1</v>
          </cell>
          <cell r="K48">
            <v>12</v>
          </cell>
          <cell r="L48">
            <v>40</v>
          </cell>
          <cell r="M48">
            <v>1</v>
          </cell>
          <cell r="N48" t="str">
            <v>6T CH</v>
          </cell>
          <cell r="O48" t="str">
            <v>DOMSFER</v>
          </cell>
          <cell r="P48">
            <v>8</v>
          </cell>
        </row>
        <row r="49">
          <cell r="A49" t="str">
            <v>24</v>
          </cell>
          <cell r="E49">
            <v>2</v>
          </cell>
          <cell r="H49">
            <v>12</v>
          </cell>
          <cell r="I49">
            <v>55</v>
          </cell>
          <cell r="J49">
            <v>1</v>
          </cell>
          <cell r="N49" t="str">
            <v>6T CH</v>
          </cell>
          <cell r="O49" t="str">
            <v>DOMSFER</v>
          </cell>
          <cell r="P49">
            <v>9</v>
          </cell>
        </row>
        <row r="50">
          <cell r="A50" t="str">
            <v>25</v>
          </cell>
          <cell r="C50">
            <v>0</v>
          </cell>
          <cell r="D50">
            <v>0</v>
          </cell>
          <cell r="E50">
            <v>0</v>
          </cell>
          <cell r="K50">
            <v>5</v>
          </cell>
          <cell r="L50">
            <v>50</v>
          </cell>
          <cell r="M50">
            <v>1</v>
          </cell>
          <cell r="N50" t="str">
            <v>6T CH</v>
          </cell>
          <cell r="O50" t="str">
            <v>DOMSFER</v>
          </cell>
          <cell r="P50">
            <v>0</v>
          </cell>
        </row>
        <row r="51">
          <cell r="A51" t="str">
            <v>25</v>
          </cell>
          <cell r="B51">
            <v>970308706</v>
          </cell>
          <cell r="C51">
            <v>3.7</v>
          </cell>
          <cell r="D51">
            <v>0</v>
          </cell>
          <cell r="E51">
            <v>6.8</v>
          </cell>
          <cell r="F51">
            <v>107.9</v>
          </cell>
          <cell r="G51">
            <v>278.3</v>
          </cell>
          <cell r="H51">
            <v>7</v>
          </cell>
          <cell r="I51">
            <v>30</v>
          </cell>
          <cell r="J51">
            <v>1</v>
          </cell>
          <cell r="K51">
            <v>7</v>
          </cell>
          <cell r="L51">
            <v>50</v>
          </cell>
          <cell r="M51">
            <v>1</v>
          </cell>
          <cell r="N51" t="str">
            <v>6T CH</v>
          </cell>
          <cell r="O51" t="str">
            <v>DOMSFER</v>
          </cell>
          <cell r="P51">
            <v>1</v>
          </cell>
        </row>
        <row r="52">
          <cell r="A52" t="str">
            <v>25</v>
          </cell>
          <cell r="B52">
            <v>970548194</v>
          </cell>
          <cell r="C52">
            <v>1.35</v>
          </cell>
          <cell r="E52">
            <v>22</v>
          </cell>
          <cell r="H52">
            <v>8</v>
          </cell>
          <cell r="I52">
            <v>0</v>
          </cell>
          <cell r="J52">
            <v>1</v>
          </cell>
          <cell r="K52">
            <v>8</v>
          </cell>
          <cell r="L52">
            <v>20</v>
          </cell>
          <cell r="M52">
            <v>1</v>
          </cell>
          <cell r="N52" t="str">
            <v>6T CH</v>
          </cell>
          <cell r="O52" t="str">
            <v>DOMSFER</v>
          </cell>
          <cell r="P52">
            <v>2</v>
          </cell>
        </row>
        <row r="53">
          <cell r="A53" t="str">
            <v>25</v>
          </cell>
          <cell r="B53">
            <v>970394003</v>
          </cell>
          <cell r="C53">
            <v>1.45</v>
          </cell>
          <cell r="D53">
            <v>0</v>
          </cell>
          <cell r="E53">
            <v>8.1999999999999993</v>
          </cell>
          <cell r="F53">
            <v>107.9</v>
          </cell>
          <cell r="G53">
            <v>278.3</v>
          </cell>
          <cell r="H53">
            <v>9</v>
          </cell>
          <cell r="I53">
            <v>0</v>
          </cell>
          <cell r="J53">
            <v>1</v>
          </cell>
          <cell r="K53">
            <v>9</v>
          </cell>
          <cell r="L53">
            <v>20</v>
          </cell>
          <cell r="M53">
            <v>1</v>
          </cell>
          <cell r="N53" t="str">
            <v>6T CH</v>
          </cell>
          <cell r="O53" t="str">
            <v>DOMSFER</v>
          </cell>
          <cell r="P53">
            <v>3</v>
          </cell>
        </row>
        <row r="54">
          <cell r="A54" t="str">
            <v>25</v>
          </cell>
          <cell r="B54">
            <v>971253679</v>
          </cell>
          <cell r="E54">
            <v>8</v>
          </cell>
          <cell r="H54">
            <v>9</v>
          </cell>
          <cell r="I54">
            <v>35</v>
          </cell>
          <cell r="J54">
            <v>1</v>
          </cell>
          <cell r="K54">
            <v>9</v>
          </cell>
          <cell r="L54">
            <v>50</v>
          </cell>
          <cell r="M54">
            <v>1</v>
          </cell>
          <cell r="N54" t="str">
            <v>6T CH</v>
          </cell>
          <cell r="O54" t="str">
            <v>DOMSFER</v>
          </cell>
          <cell r="P54">
            <v>4</v>
          </cell>
        </row>
        <row r="55">
          <cell r="A55" t="str">
            <v>25</v>
          </cell>
          <cell r="B55">
            <v>971713136</v>
          </cell>
          <cell r="C55">
            <v>3.1</v>
          </cell>
          <cell r="E55">
            <v>20</v>
          </cell>
          <cell r="H55">
            <v>10</v>
          </cell>
          <cell r="I55">
            <v>5</v>
          </cell>
          <cell r="J55">
            <v>1</v>
          </cell>
          <cell r="K55">
            <v>10</v>
          </cell>
          <cell r="L55">
            <v>35</v>
          </cell>
          <cell r="M55">
            <v>1</v>
          </cell>
          <cell r="N55" t="str">
            <v>6T CH</v>
          </cell>
          <cell r="O55" t="str">
            <v>DOMSFER</v>
          </cell>
          <cell r="P55">
            <v>5</v>
          </cell>
        </row>
        <row r="56">
          <cell r="A56" t="str">
            <v>25</v>
          </cell>
          <cell r="B56">
            <v>971051610</v>
          </cell>
          <cell r="C56">
            <v>10.15</v>
          </cell>
          <cell r="E56">
            <v>7</v>
          </cell>
          <cell r="H56">
            <v>11</v>
          </cell>
          <cell r="I56">
            <v>5</v>
          </cell>
          <cell r="J56">
            <v>1</v>
          </cell>
          <cell r="K56">
            <v>11</v>
          </cell>
          <cell r="L56">
            <v>45</v>
          </cell>
          <cell r="M56">
            <v>1</v>
          </cell>
          <cell r="N56" t="str">
            <v>6T CH</v>
          </cell>
          <cell r="O56" t="str">
            <v>DOMSFER</v>
          </cell>
          <cell r="P56">
            <v>6</v>
          </cell>
        </row>
        <row r="57">
          <cell r="A57" t="str">
            <v>25</v>
          </cell>
          <cell r="B57">
            <v>970868071</v>
          </cell>
          <cell r="C57">
            <v>0.47</v>
          </cell>
          <cell r="E57">
            <v>1</v>
          </cell>
          <cell r="H57">
            <v>11</v>
          </cell>
          <cell r="I57">
            <v>55</v>
          </cell>
          <cell r="J57">
            <v>1</v>
          </cell>
          <cell r="K57">
            <v>12</v>
          </cell>
          <cell r="L57">
            <v>10</v>
          </cell>
          <cell r="M57">
            <v>1</v>
          </cell>
          <cell r="N57" t="str">
            <v>6T CH</v>
          </cell>
          <cell r="O57" t="str">
            <v>DOMSFER</v>
          </cell>
          <cell r="P57">
            <v>7</v>
          </cell>
        </row>
        <row r="58">
          <cell r="A58" t="str">
            <v>25</v>
          </cell>
          <cell r="B58">
            <v>971241773</v>
          </cell>
          <cell r="C58">
            <v>14.23</v>
          </cell>
          <cell r="E58">
            <v>8</v>
          </cell>
          <cell r="H58">
            <v>12</v>
          </cell>
          <cell r="I58">
            <v>50</v>
          </cell>
          <cell r="J58">
            <v>1</v>
          </cell>
          <cell r="K58">
            <v>13</v>
          </cell>
          <cell r="L58">
            <v>20</v>
          </cell>
          <cell r="M58">
            <v>1</v>
          </cell>
          <cell r="N58" t="str">
            <v>6T CH</v>
          </cell>
          <cell r="O58" t="str">
            <v>DOMSFER</v>
          </cell>
          <cell r="P58">
            <v>8</v>
          </cell>
        </row>
        <row r="59">
          <cell r="A59" t="str">
            <v>25</v>
          </cell>
          <cell r="B59">
            <v>970889648</v>
          </cell>
          <cell r="H59">
            <v>14</v>
          </cell>
          <cell r="I59">
            <v>5</v>
          </cell>
          <cell r="J59">
            <v>1</v>
          </cell>
          <cell r="K59">
            <v>14</v>
          </cell>
          <cell r="L59">
            <v>25</v>
          </cell>
          <cell r="M59">
            <v>1</v>
          </cell>
          <cell r="N59" t="str">
            <v>6T CH</v>
          </cell>
          <cell r="O59" t="str">
            <v>DOMSFER</v>
          </cell>
          <cell r="P59">
            <v>9</v>
          </cell>
        </row>
        <row r="60">
          <cell r="A60" t="str">
            <v>25</v>
          </cell>
          <cell r="E60">
            <v>2</v>
          </cell>
          <cell r="H60">
            <v>15</v>
          </cell>
          <cell r="I60">
            <v>15</v>
          </cell>
          <cell r="J60">
            <v>1</v>
          </cell>
          <cell r="N60" t="str">
            <v>6T CH</v>
          </cell>
          <cell r="O60" t="str">
            <v>DOMSFER</v>
          </cell>
          <cell r="P60">
            <v>10</v>
          </cell>
        </row>
        <row r="61">
          <cell r="A61" t="str">
            <v>28</v>
          </cell>
          <cell r="B61">
            <v>0</v>
          </cell>
          <cell r="E61">
            <v>300</v>
          </cell>
          <cell r="H61">
            <v>14</v>
          </cell>
          <cell r="I61">
            <v>15</v>
          </cell>
          <cell r="J61">
            <v>1</v>
          </cell>
          <cell r="N61" t="str">
            <v>20T</v>
          </cell>
          <cell r="O61" t="str">
            <v>DOMROSARI</v>
          </cell>
          <cell r="P61">
            <v>3</v>
          </cell>
        </row>
        <row r="62">
          <cell r="A62" t="str">
            <v>26</v>
          </cell>
          <cell r="B62">
            <v>970190427</v>
          </cell>
          <cell r="C62">
            <v>1.1499999999999999</v>
          </cell>
          <cell r="E62">
            <v>6</v>
          </cell>
          <cell r="H62">
            <v>9</v>
          </cell>
          <cell r="I62">
            <v>35</v>
          </cell>
          <cell r="J62">
            <v>1</v>
          </cell>
          <cell r="K62">
            <v>9</v>
          </cell>
          <cell r="L62">
            <v>50</v>
          </cell>
          <cell r="M62">
            <v>1</v>
          </cell>
          <cell r="N62" t="str">
            <v>6T CH</v>
          </cell>
          <cell r="O62" t="str">
            <v>DOMSFER</v>
          </cell>
          <cell r="P62">
            <v>2</v>
          </cell>
        </row>
        <row r="63">
          <cell r="A63" t="str">
            <v>27</v>
          </cell>
          <cell r="B63">
            <v>971033592</v>
          </cell>
          <cell r="C63">
            <v>1.1499999999999999</v>
          </cell>
          <cell r="D63">
            <v>0</v>
          </cell>
          <cell r="E63">
            <v>8</v>
          </cell>
          <cell r="F63">
            <v>42</v>
          </cell>
          <cell r="G63">
            <v>217.9</v>
          </cell>
          <cell r="H63">
            <v>10</v>
          </cell>
          <cell r="I63">
            <v>0</v>
          </cell>
          <cell r="J63">
            <v>1</v>
          </cell>
          <cell r="K63">
            <v>10</v>
          </cell>
          <cell r="L63">
            <v>10</v>
          </cell>
          <cell r="M63">
            <v>1</v>
          </cell>
          <cell r="N63" t="str">
            <v>6T CH</v>
          </cell>
          <cell r="O63" t="str">
            <v>DOMSFER</v>
          </cell>
          <cell r="P63">
            <v>2</v>
          </cell>
        </row>
        <row r="64">
          <cell r="A64" t="str">
            <v>27</v>
          </cell>
          <cell r="B64">
            <v>971767918</v>
          </cell>
          <cell r="C64">
            <v>3.05</v>
          </cell>
          <cell r="D64">
            <v>0</v>
          </cell>
          <cell r="E64">
            <v>5</v>
          </cell>
          <cell r="F64">
            <v>42</v>
          </cell>
          <cell r="G64">
            <v>217.9</v>
          </cell>
          <cell r="H64">
            <v>10</v>
          </cell>
          <cell r="I64">
            <v>30</v>
          </cell>
          <cell r="J64">
            <v>1</v>
          </cell>
          <cell r="K64">
            <v>10</v>
          </cell>
          <cell r="L64">
            <v>40</v>
          </cell>
          <cell r="M64">
            <v>1</v>
          </cell>
          <cell r="N64" t="str">
            <v>6T CH</v>
          </cell>
          <cell r="O64" t="str">
            <v>DOMSFER</v>
          </cell>
          <cell r="P64">
            <v>3</v>
          </cell>
        </row>
        <row r="65">
          <cell r="A65" t="str">
            <v>28</v>
          </cell>
          <cell r="B65">
            <v>970899126</v>
          </cell>
          <cell r="C65">
            <v>3.55</v>
          </cell>
          <cell r="E65">
            <v>16</v>
          </cell>
          <cell r="H65">
            <v>10</v>
          </cell>
          <cell r="I65">
            <v>5</v>
          </cell>
          <cell r="J65">
            <v>1</v>
          </cell>
          <cell r="K65">
            <v>10</v>
          </cell>
          <cell r="L65">
            <v>15</v>
          </cell>
          <cell r="M65">
            <v>1</v>
          </cell>
          <cell r="N65" t="str">
            <v>6T CH</v>
          </cell>
          <cell r="O65" t="str">
            <v>DOMSFER</v>
          </cell>
          <cell r="P65">
            <v>2</v>
          </cell>
        </row>
        <row r="66">
          <cell r="A66" t="str">
            <v>29</v>
          </cell>
          <cell r="B66">
            <v>0</v>
          </cell>
          <cell r="C66">
            <v>0</v>
          </cell>
          <cell r="D66">
            <v>0</v>
          </cell>
          <cell r="E66">
            <v>0</v>
          </cell>
          <cell r="F66">
            <v>101.4</v>
          </cell>
          <cell r="G66">
            <v>603</v>
          </cell>
          <cell r="K66">
            <v>5</v>
          </cell>
          <cell r="L66">
            <v>0</v>
          </cell>
          <cell r="M66">
            <v>1</v>
          </cell>
          <cell r="N66" t="str">
            <v>20T</v>
          </cell>
          <cell r="O66" t="str">
            <v>DOMROSARI</v>
          </cell>
          <cell r="P66">
            <v>0</v>
          </cell>
        </row>
        <row r="67">
          <cell r="A67" t="str">
            <v>29</v>
          </cell>
          <cell r="B67">
            <v>971389903</v>
          </cell>
          <cell r="C67">
            <v>63.02</v>
          </cell>
          <cell r="D67">
            <v>4604</v>
          </cell>
          <cell r="E67">
            <v>17</v>
          </cell>
          <cell r="F67">
            <v>101.4</v>
          </cell>
          <cell r="G67">
            <v>603</v>
          </cell>
          <cell r="H67">
            <v>6</v>
          </cell>
          <cell r="I67">
            <v>0</v>
          </cell>
          <cell r="J67">
            <v>1</v>
          </cell>
          <cell r="K67">
            <v>7</v>
          </cell>
          <cell r="L67">
            <v>0</v>
          </cell>
          <cell r="M67">
            <v>1</v>
          </cell>
          <cell r="N67" t="str">
            <v>20T</v>
          </cell>
          <cell r="O67" t="str">
            <v>DOMROSARI</v>
          </cell>
          <cell r="P67">
            <v>1</v>
          </cell>
        </row>
        <row r="68">
          <cell r="A68" t="str">
            <v>29</v>
          </cell>
          <cell r="B68">
            <v>0</v>
          </cell>
          <cell r="C68">
            <v>0</v>
          </cell>
          <cell r="D68">
            <v>0</v>
          </cell>
          <cell r="E68">
            <v>271</v>
          </cell>
          <cell r="F68">
            <v>101.4</v>
          </cell>
          <cell r="G68">
            <v>603</v>
          </cell>
          <cell r="H68">
            <v>12</v>
          </cell>
          <cell r="I68">
            <v>0</v>
          </cell>
          <cell r="J68">
            <v>1</v>
          </cell>
          <cell r="N68" t="str">
            <v>20T</v>
          </cell>
          <cell r="O68" t="str">
            <v>DOMROSARI</v>
          </cell>
          <cell r="P68">
            <v>2</v>
          </cell>
        </row>
        <row r="69">
          <cell r="A69" t="str">
            <v>30</v>
          </cell>
          <cell r="B69">
            <v>0</v>
          </cell>
          <cell r="C69">
            <v>0</v>
          </cell>
          <cell r="D69">
            <v>0</v>
          </cell>
          <cell r="E69">
            <v>0</v>
          </cell>
          <cell r="F69">
            <v>101.4</v>
          </cell>
          <cell r="G69">
            <v>603</v>
          </cell>
          <cell r="K69">
            <v>8</v>
          </cell>
          <cell r="L69">
            <v>0</v>
          </cell>
          <cell r="M69">
            <v>1</v>
          </cell>
          <cell r="N69" t="str">
            <v>20T</v>
          </cell>
          <cell r="O69" t="str">
            <v>DOMROSARI</v>
          </cell>
          <cell r="P69">
            <v>0</v>
          </cell>
        </row>
        <row r="70">
          <cell r="A70" t="str">
            <v>30</v>
          </cell>
          <cell r="B70">
            <v>971367131</v>
          </cell>
          <cell r="C70">
            <v>39.21</v>
          </cell>
          <cell r="D70">
            <v>4604</v>
          </cell>
          <cell r="E70">
            <v>20</v>
          </cell>
          <cell r="F70">
            <v>101.4</v>
          </cell>
          <cell r="G70">
            <v>603</v>
          </cell>
          <cell r="H70">
            <v>8</v>
          </cell>
          <cell r="I70">
            <v>30</v>
          </cell>
          <cell r="J70">
            <v>1</v>
          </cell>
          <cell r="K70">
            <v>9</v>
          </cell>
          <cell r="L70">
            <v>0</v>
          </cell>
          <cell r="M70">
            <v>1</v>
          </cell>
          <cell r="N70" t="str">
            <v>20T</v>
          </cell>
          <cell r="O70" t="str">
            <v>DOMROSARI</v>
          </cell>
          <cell r="P70">
            <v>1</v>
          </cell>
        </row>
        <row r="71">
          <cell r="A71" t="str">
            <v>30</v>
          </cell>
          <cell r="B71">
            <v>0</v>
          </cell>
          <cell r="C71">
            <v>0</v>
          </cell>
          <cell r="D71">
            <v>0</v>
          </cell>
          <cell r="E71">
            <v>20</v>
          </cell>
          <cell r="F71">
            <v>101.4</v>
          </cell>
          <cell r="G71">
            <v>603</v>
          </cell>
          <cell r="H71">
            <v>9</v>
          </cell>
          <cell r="I71">
            <v>30</v>
          </cell>
          <cell r="J71">
            <v>1</v>
          </cell>
          <cell r="N71" t="str">
            <v>20T</v>
          </cell>
          <cell r="O71" t="str">
            <v>DOMROSARI</v>
          </cell>
          <cell r="P71">
            <v>2</v>
          </cell>
        </row>
        <row r="72">
          <cell r="A72" t="str">
            <v>31</v>
          </cell>
          <cell r="B72">
            <v>0</v>
          </cell>
          <cell r="K72">
            <v>7</v>
          </cell>
          <cell r="L72">
            <v>45</v>
          </cell>
          <cell r="M72">
            <v>1</v>
          </cell>
          <cell r="N72" t="str">
            <v>6T</v>
          </cell>
          <cell r="O72" t="str">
            <v>DOMROSARI</v>
          </cell>
          <cell r="P72">
            <v>0</v>
          </cell>
        </row>
        <row r="73">
          <cell r="A73" t="str">
            <v>31</v>
          </cell>
          <cell r="B73">
            <v>971393459</v>
          </cell>
          <cell r="C73">
            <v>1.4</v>
          </cell>
          <cell r="E73">
            <v>38</v>
          </cell>
          <cell r="H73">
            <v>8</v>
          </cell>
          <cell r="I73">
            <v>30</v>
          </cell>
          <cell r="J73">
            <v>1</v>
          </cell>
          <cell r="K73">
            <v>8</v>
          </cell>
          <cell r="L73">
            <v>45</v>
          </cell>
          <cell r="M73">
            <v>1</v>
          </cell>
          <cell r="N73" t="str">
            <v>6T</v>
          </cell>
          <cell r="O73" t="str">
            <v>DOMROSARI</v>
          </cell>
          <cell r="P73">
            <v>1</v>
          </cell>
        </row>
        <row r="74">
          <cell r="A74" t="str">
            <v>31</v>
          </cell>
          <cell r="B74">
            <v>971430962</v>
          </cell>
          <cell r="C74">
            <v>6</v>
          </cell>
          <cell r="E74">
            <v>200</v>
          </cell>
          <cell r="H74">
            <v>12</v>
          </cell>
          <cell r="I74">
            <v>0</v>
          </cell>
          <cell r="J74">
            <v>1</v>
          </cell>
          <cell r="K74">
            <v>12</v>
          </cell>
          <cell r="L74">
            <v>30</v>
          </cell>
          <cell r="M74">
            <v>1</v>
          </cell>
          <cell r="N74" t="str">
            <v>6T</v>
          </cell>
          <cell r="O74" t="str">
            <v>DOMROSARI</v>
          </cell>
          <cell r="P74">
            <v>2</v>
          </cell>
        </row>
        <row r="75">
          <cell r="A75" t="str">
            <v>31</v>
          </cell>
          <cell r="B75">
            <v>971230685</v>
          </cell>
          <cell r="E75">
            <v>176</v>
          </cell>
          <cell r="H75">
            <v>15</v>
          </cell>
          <cell r="I75">
            <v>30</v>
          </cell>
          <cell r="J75">
            <v>1</v>
          </cell>
          <cell r="K75">
            <v>16</v>
          </cell>
          <cell r="L75">
            <v>0</v>
          </cell>
          <cell r="M75">
            <v>1</v>
          </cell>
          <cell r="N75" t="str">
            <v>6T</v>
          </cell>
          <cell r="O75" t="str">
            <v>DOMROSARI</v>
          </cell>
          <cell r="P75">
            <v>3</v>
          </cell>
        </row>
        <row r="76">
          <cell r="A76" t="str">
            <v>31</v>
          </cell>
          <cell r="B76">
            <v>0</v>
          </cell>
          <cell r="E76">
            <v>376</v>
          </cell>
          <cell r="H76">
            <v>8</v>
          </cell>
          <cell r="I76">
            <v>0</v>
          </cell>
          <cell r="J76">
            <v>2</v>
          </cell>
          <cell r="N76" t="str">
            <v>6T</v>
          </cell>
          <cell r="O76" t="str">
            <v>DOMROSARI</v>
          </cell>
          <cell r="P76">
            <v>4</v>
          </cell>
        </row>
        <row r="77">
          <cell r="A77" t="str">
            <v>32</v>
          </cell>
          <cell r="B77">
            <v>0</v>
          </cell>
          <cell r="K77">
            <v>7</v>
          </cell>
          <cell r="L77">
            <v>25</v>
          </cell>
          <cell r="M77">
            <v>1</v>
          </cell>
          <cell r="N77" t="str">
            <v>20T</v>
          </cell>
          <cell r="O77" t="str">
            <v>DOMROSARI</v>
          </cell>
          <cell r="P77">
            <v>0</v>
          </cell>
        </row>
        <row r="78">
          <cell r="A78" t="str">
            <v>32</v>
          </cell>
          <cell r="B78">
            <v>971719760</v>
          </cell>
          <cell r="C78">
            <v>7.02</v>
          </cell>
          <cell r="E78">
            <v>428</v>
          </cell>
          <cell r="H78">
            <v>14</v>
          </cell>
          <cell r="I78">
            <v>25</v>
          </cell>
          <cell r="J78">
            <v>1</v>
          </cell>
          <cell r="K78">
            <v>15</v>
          </cell>
          <cell r="L78">
            <v>0</v>
          </cell>
          <cell r="M78">
            <v>1</v>
          </cell>
          <cell r="N78" t="str">
            <v>20T</v>
          </cell>
          <cell r="O78" t="str">
            <v>DOMROSARI</v>
          </cell>
          <cell r="P78">
            <v>1</v>
          </cell>
        </row>
        <row r="79">
          <cell r="A79" t="str">
            <v>32</v>
          </cell>
          <cell r="B79">
            <v>971465190</v>
          </cell>
          <cell r="C79">
            <v>34.01</v>
          </cell>
          <cell r="E79">
            <v>3</v>
          </cell>
          <cell r="H79">
            <v>15</v>
          </cell>
          <cell r="I79">
            <v>10</v>
          </cell>
          <cell r="J79">
            <v>1</v>
          </cell>
          <cell r="K79">
            <v>16</v>
          </cell>
          <cell r="L79">
            <v>0</v>
          </cell>
          <cell r="M79">
            <v>1</v>
          </cell>
          <cell r="N79" t="str">
            <v>20T</v>
          </cell>
          <cell r="O79" t="str">
            <v>DOMROSARI</v>
          </cell>
          <cell r="P79">
            <v>2</v>
          </cell>
        </row>
        <row r="80">
          <cell r="A80" t="str">
            <v>32</v>
          </cell>
          <cell r="B80">
            <v>0</v>
          </cell>
          <cell r="E80">
            <v>400</v>
          </cell>
          <cell r="H80">
            <v>6</v>
          </cell>
          <cell r="I80">
            <v>0</v>
          </cell>
          <cell r="J80">
            <v>2</v>
          </cell>
          <cell r="N80" t="str">
            <v>20T</v>
          </cell>
          <cell r="O80" t="str">
            <v>DOMROSARI</v>
          </cell>
          <cell r="P80">
            <v>3</v>
          </cell>
        </row>
        <row r="81">
          <cell r="A81" t="str">
            <v>33</v>
          </cell>
          <cell r="B81">
            <v>0</v>
          </cell>
          <cell r="K81">
            <v>7</v>
          </cell>
          <cell r="L81">
            <v>30</v>
          </cell>
          <cell r="M81">
            <v>1</v>
          </cell>
          <cell r="N81" t="str">
            <v>20T</v>
          </cell>
          <cell r="O81" t="str">
            <v>DOMROSARI</v>
          </cell>
          <cell r="P81">
            <v>0</v>
          </cell>
        </row>
        <row r="82">
          <cell r="A82" t="str">
            <v>33</v>
          </cell>
          <cell r="B82">
            <v>971433545</v>
          </cell>
          <cell r="C82">
            <v>4.87</v>
          </cell>
          <cell r="E82">
            <v>36</v>
          </cell>
          <cell r="H82">
            <v>14</v>
          </cell>
          <cell r="I82">
            <v>30</v>
          </cell>
          <cell r="J82">
            <v>1</v>
          </cell>
          <cell r="K82">
            <v>15</v>
          </cell>
          <cell r="L82">
            <v>0</v>
          </cell>
          <cell r="M82">
            <v>1</v>
          </cell>
          <cell r="N82" t="str">
            <v>20T</v>
          </cell>
          <cell r="O82" t="str">
            <v>DOMROSARI</v>
          </cell>
          <cell r="P82">
            <v>1</v>
          </cell>
        </row>
        <row r="83">
          <cell r="A83" t="str">
            <v>33</v>
          </cell>
          <cell r="B83">
            <v>970529731</v>
          </cell>
          <cell r="C83">
            <v>2.75</v>
          </cell>
          <cell r="E83">
            <v>3</v>
          </cell>
          <cell r="H83">
            <v>15</v>
          </cell>
          <cell r="I83">
            <v>15</v>
          </cell>
          <cell r="J83">
            <v>1</v>
          </cell>
          <cell r="K83">
            <v>15</v>
          </cell>
          <cell r="L83">
            <v>45</v>
          </cell>
          <cell r="M83">
            <v>1</v>
          </cell>
          <cell r="N83" t="str">
            <v>20T</v>
          </cell>
          <cell r="O83" t="str">
            <v>DOMROSARI</v>
          </cell>
          <cell r="P83">
            <v>2</v>
          </cell>
        </row>
        <row r="84">
          <cell r="A84" t="str">
            <v>33</v>
          </cell>
          <cell r="B84">
            <v>970698833</v>
          </cell>
          <cell r="C84">
            <v>2.73</v>
          </cell>
          <cell r="E84">
            <v>44</v>
          </cell>
          <cell r="H84">
            <v>17</v>
          </cell>
          <cell r="I84">
            <v>0</v>
          </cell>
          <cell r="J84">
            <v>1</v>
          </cell>
          <cell r="K84">
            <v>17</v>
          </cell>
          <cell r="L84">
            <v>40</v>
          </cell>
          <cell r="M84">
            <v>1</v>
          </cell>
          <cell r="N84" t="str">
            <v>20T</v>
          </cell>
          <cell r="O84" t="str">
            <v>DOMROSARI</v>
          </cell>
          <cell r="P84">
            <v>3</v>
          </cell>
        </row>
        <row r="85">
          <cell r="A85" t="str">
            <v>33</v>
          </cell>
          <cell r="B85">
            <v>0</v>
          </cell>
          <cell r="E85">
            <v>400</v>
          </cell>
          <cell r="H85">
            <v>6</v>
          </cell>
          <cell r="I85">
            <v>0</v>
          </cell>
          <cell r="J85">
            <v>2</v>
          </cell>
          <cell r="N85" t="str">
            <v>20T</v>
          </cell>
          <cell r="O85" t="str">
            <v>DOMROSARI</v>
          </cell>
          <cell r="P85">
            <v>4</v>
          </cell>
        </row>
        <row r="86">
          <cell r="A86" t="str">
            <v>34</v>
          </cell>
          <cell r="B86">
            <v>0</v>
          </cell>
          <cell r="K86">
            <v>0</v>
          </cell>
          <cell r="L86">
            <v>30</v>
          </cell>
          <cell r="M86">
            <v>1</v>
          </cell>
          <cell r="O86" t="str">
            <v>DOMROSARI</v>
          </cell>
          <cell r="P86">
            <v>0</v>
          </cell>
        </row>
        <row r="87">
          <cell r="A87" t="str">
            <v>34</v>
          </cell>
          <cell r="B87">
            <v>970533857</v>
          </cell>
          <cell r="E87">
            <v>300</v>
          </cell>
          <cell r="H87">
            <v>7</v>
          </cell>
          <cell r="I87">
            <v>0</v>
          </cell>
          <cell r="J87">
            <v>1</v>
          </cell>
          <cell r="K87">
            <v>8</v>
          </cell>
          <cell r="L87">
            <v>5</v>
          </cell>
          <cell r="M87">
            <v>1</v>
          </cell>
          <cell r="O87" t="str">
            <v>DOMROSARI</v>
          </cell>
          <cell r="P87">
            <v>1</v>
          </cell>
        </row>
        <row r="88">
          <cell r="A88" t="str">
            <v>34</v>
          </cell>
          <cell r="B88">
            <v>970000188</v>
          </cell>
          <cell r="E88">
            <v>36</v>
          </cell>
          <cell r="H88">
            <v>9</v>
          </cell>
          <cell r="I88">
            <v>50</v>
          </cell>
          <cell r="J88">
            <v>1</v>
          </cell>
          <cell r="K88">
            <v>11</v>
          </cell>
          <cell r="L88">
            <v>50</v>
          </cell>
          <cell r="M88">
            <v>1</v>
          </cell>
          <cell r="O88" t="str">
            <v>DOMROSARI</v>
          </cell>
          <cell r="P88">
            <v>2</v>
          </cell>
        </row>
        <row r="89">
          <cell r="A89" t="str">
            <v>34</v>
          </cell>
          <cell r="B89">
            <v>970155636</v>
          </cell>
          <cell r="E89">
            <v>22</v>
          </cell>
          <cell r="H89">
            <v>13</v>
          </cell>
          <cell r="I89">
            <v>35</v>
          </cell>
          <cell r="J89">
            <v>1</v>
          </cell>
          <cell r="K89">
            <v>14</v>
          </cell>
          <cell r="L89">
            <v>35</v>
          </cell>
          <cell r="M89">
            <v>1</v>
          </cell>
          <cell r="O89" t="str">
            <v>DOMROSARI</v>
          </cell>
          <cell r="P89">
            <v>3</v>
          </cell>
        </row>
        <row r="90">
          <cell r="A90" t="str">
            <v>34</v>
          </cell>
          <cell r="B90">
            <v>16</v>
          </cell>
          <cell r="E90">
            <v>300</v>
          </cell>
          <cell r="H90">
            <v>6</v>
          </cell>
          <cell r="I90">
            <v>0</v>
          </cell>
          <cell r="J90">
            <v>2</v>
          </cell>
          <cell r="K90">
            <v>8</v>
          </cell>
          <cell r="L90">
            <v>0</v>
          </cell>
          <cell r="M90">
            <v>2</v>
          </cell>
          <cell r="O90" t="str">
            <v>DOMROSARI</v>
          </cell>
          <cell r="P90">
            <v>4</v>
          </cell>
        </row>
        <row r="91">
          <cell r="A91" t="str">
            <v>34</v>
          </cell>
          <cell r="B91">
            <v>0</v>
          </cell>
          <cell r="H91">
            <v>8</v>
          </cell>
          <cell r="I91">
            <v>0</v>
          </cell>
          <cell r="J91">
            <v>2</v>
          </cell>
          <cell r="O91" t="str">
            <v>DOMROSARI</v>
          </cell>
          <cell r="P91">
            <v>5</v>
          </cell>
        </row>
        <row r="92">
          <cell r="A92" t="str">
            <v>DL2</v>
          </cell>
          <cell r="B92">
            <v>0</v>
          </cell>
          <cell r="K92">
            <v>1</v>
          </cell>
          <cell r="L92">
            <v>0</v>
          </cell>
          <cell r="M92">
            <v>1</v>
          </cell>
          <cell r="N92" t="str">
            <v>20T</v>
          </cell>
          <cell r="O92" t="str">
            <v>ROSARIO</v>
          </cell>
          <cell r="P92">
            <v>0</v>
          </cell>
        </row>
        <row r="93">
          <cell r="A93" t="str">
            <v>DL2</v>
          </cell>
          <cell r="B93">
            <v>14</v>
          </cell>
          <cell r="E93">
            <v>300</v>
          </cell>
          <cell r="H93">
            <v>6</v>
          </cell>
          <cell r="I93">
            <v>0</v>
          </cell>
          <cell r="J93">
            <v>1</v>
          </cell>
          <cell r="K93">
            <v>7</v>
          </cell>
          <cell r="L93">
            <v>0</v>
          </cell>
          <cell r="M93">
            <v>1</v>
          </cell>
          <cell r="N93" t="str">
            <v>20T</v>
          </cell>
          <cell r="O93" t="str">
            <v>ROSARIO</v>
          </cell>
          <cell r="P93">
            <v>1</v>
          </cell>
        </row>
        <row r="94">
          <cell r="A94" t="str">
            <v>DL2</v>
          </cell>
          <cell r="B94">
            <v>0</v>
          </cell>
          <cell r="E94">
            <v>300</v>
          </cell>
          <cell r="H94">
            <v>12</v>
          </cell>
          <cell r="I94">
            <v>0</v>
          </cell>
          <cell r="J94">
            <v>1</v>
          </cell>
          <cell r="N94" t="str">
            <v>20T</v>
          </cell>
          <cell r="O94" t="str">
            <v>ROSARIO</v>
          </cell>
          <cell r="P94">
            <v>2</v>
          </cell>
        </row>
        <row r="95">
          <cell r="A95" t="str">
            <v>35</v>
          </cell>
          <cell r="B95">
            <v>0</v>
          </cell>
          <cell r="C95">
            <v>0</v>
          </cell>
          <cell r="D95">
            <v>0</v>
          </cell>
          <cell r="E95">
            <v>0</v>
          </cell>
          <cell r="F95">
            <v>39.5</v>
          </cell>
          <cell r="G95">
            <v>118.9</v>
          </cell>
          <cell r="K95">
            <v>3</v>
          </cell>
          <cell r="L95">
            <v>0</v>
          </cell>
          <cell r="M95">
            <v>1</v>
          </cell>
          <cell r="N95" t="str">
            <v>20T</v>
          </cell>
          <cell r="O95" t="str">
            <v>DOMROSARI</v>
          </cell>
          <cell r="P95">
            <v>0</v>
          </cell>
        </row>
        <row r="96">
          <cell r="A96" t="str">
            <v>35</v>
          </cell>
          <cell r="B96">
            <v>971388640</v>
          </cell>
          <cell r="C96">
            <v>27.3</v>
          </cell>
          <cell r="D96">
            <v>530</v>
          </cell>
          <cell r="E96">
            <v>30</v>
          </cell>
          <cell r="F96">
            <v>39.5</v>
          </cell>
          <cell r="G96">
            <v>118.9</v>
          </cell>
          <cell r="H96">
            <v>8</v>
          </cell>
          <cell r="I96">
            <v>0</v>
          </cell>
          <cell r="J96">
            <v>1</v>
          </cell>
          <cell r="K96">
            <v>9</v>
          </cell>
          <cell r="L96">
            <v>0</v>
          </cell>
          <cell r="M96">
            <v>1</v>
          </cell>
          <cell r="N96" t="str">
            <v>20T</v>
          </cell>
          <cell r="O96" t="str">
            <v>DOMROSARI</v>
          </cell>
          <cell r="P96">
            <v>1</v>
          </cell>
        </row>
        <row r="97">
          <cell r="A97" t="str">
            <v>35</v>
          </cell>
          <cell r="B97">
            <v>0</v>
          </cell>
          <cell r="C97">
            <v>0</v>
          </cell>
          <cell r="D97">
            <v>0</v>
          </cell>
          <cell r="E97">
            <v>235</v>
          </cell>
          <cell r="F97">
            <v>39.5</v>
          </cell>
          <cell r="G97">
            <v>118.9</v>
          </cell>
          <cell r="H97">
            <v>14</v>
          </cell>
          <cell r="I97">
            <v>0</v>
          </cell>
          <cell r="J97">
            <v>1</v>
          </cell>
          <cell r="N97" t="str">
            <v>20T</v>
          </cell>
          <cell r="O97" t="str">
            <v>DOMROSARI</v>
          </cell>
          <cell r="P97">
            <v>2</v>
          </cell>
        </row>
        <row r="98">
          <cell r="A98" t="str">
            <v>37</v>
          </cell>
          <cell r="B98">
            <v>0</v>
          </cell>
          <cell r="K98">
            <v>6</v>
          </cell>
          <cell r="L98">
            <v>0</v>
          </cell>
          <cell r="M98">
            <v>1</v>
          </cell>
          <cell r="N98" t="str">
            <v>20T</v>
          </cell>
          <cell r="O98" t="str">
            <v>DOMROSARI</v>
          </cell>
          <cell r="P98">
            <v>0</v>
          </cell>
        </row>
        <row r="99">
          <cell r="A99" t="str">
            <v>37</v>
          </cell>
          <cell r="B99">
            <v>966084048</v>
          </cell>
          <cell r="C99">
            <v>32.85</v>
          </cell>
          <cell r="E99">
            <v>711</v>
          </cell>
          <cell r="H99">
            <v>6</v>
          </cell>
          <cell r="I99">
            <v>0</v>
          </cell>
          <cell r="J99">
            <v>2</v>
          </cell>
          <cell r="K99">
            <v>8</v>
          </cell>
          <cell r="L99">
            <v>0</v>
          </cell>
          <cell r="M99">
            <v>2</v>
          </cell>
          <cell r="N99" t="str">
            <v>20T</v>
          </cell>
          <cell r="O99" t="str">
            <v>DOMROSARI</v>
          </cell>
          <cell r="P99">
            <v>1</v>
          </cell>
        </row>
        <row r="100">
          <cell r="A100" t="str">
            <v>37</v>
          </cell>
          <cell r="B100">
            <v>966082331</v>
          </cell>
          <cell r="C100">
            <v>21.05</v>
          </cell>
          <cell r="E100">
            <v>4</v>
          </cell>
          <cell r="H100">
            <v>8</v>
          </cell>
          <cell r="I100">
            <v>30</v>
          </cell>
          <cell r="J100">
            <v>2</v>
          </cell>
          <cell r="K100">
            <v>9</v>
          </cell>
          <cell r="L100">
            <v>30</v>
          </cell>
          <cell r="M100">
            <v>2</v>
          </cell>
          <cell r="N100" t="str">
            <v>20T</v>
          </cell>
          <cell r="O100" t="str">
            <v>DOMROSARI</v>
          </cell>
          <cell r="P100">
            <v>2</v>
          </cell>
        </row>
        <row r="101">
          <cell r="A101" t="str">
            <v>37</v>
          </cell>
          <cell r="B101">
            <v>12</v>
          </cell>
          <cell r="E101">
            <v>336</v>
          </cell>
          <cell r="H101">
            <v>15</v>
          </cell>
          <cell r="I101">
            <v>0</v>
          </cell>
          <cell r="J101">
            <v>2</v>
          </cell>
          <cell r="K101">
            <v>17</v>
          </cell>
          <cell r="L101">
            <v>30</v>
          </cell>
          <cell r="M101">
            <v>2</v>
          </cell>
          <cell r="N101" t="str">
            <v>20T</v>
          </cell>
          <cell r="O101" t="str">
            <v>DOMROSARI</v>
          </cell>
          <cell r="P101">
            <v>3</v>
          </cell>
        </row>
        <row r="102">
          <cell r="A102" t="str">
            <v>37</v>
          </cell>
          <cell r="B102">
            <v>13</v>
          </cell>
          <cell r="E102">
            <v>7</v>
          </cell>
          <cell r="H102">
            <v>18</v>
          </cell>
          <cell r="I102">
            <v>0</v>
          </cell>
          <cell r="J102">
            <v>2</v>
          </cell>
          <cell r="K102">
            <v>19</v>
          </cell>
          <cell r="L102">
            <v>0</v>
          </cell>
          <cell r="M102">
            <v>2</v>
          </cell>
          <cell r="N102" t="str">
            <v>20T</v>
          </cell>
          <cell r="O102" t="str">
            <v>DOMROSARI</v>
          </cell>
          <cell r="P102">
            <v>4</v>
          </cell>
        </row>
        <row r="103">
          <cell r="A103" t="str">
            <v>37</v>
          </cell>
          <cell r="B103">
            <v>0</v>
          </cell>
          <cell r="E103">
            <v>407</v>
          </cell>
          <cell r="H103">
            <v>8</v>
          </cell>
          <cell r="I103">
            <v>0</v>
          </cell>
          <cell r="J103">
            <v>3</v>
          </cell>
          <cell r="N103" t="str">
            <v>20T</v>
          </cell>
          <cell r="O103" t="str">
            <v>DOMROSARI</v>
          </cell>
          <cell r="P103">
            <v>5</v>
          </cell>
        </row>
      </sheetData>
      <sheetData sheetId="2" refreshError="1">
        <row r="1">
          <cell r="A1" t="str">
            <v>ROUTE</v>
          </cell>
          <cell r="B1" t="str">
            <v>DOMICILE</v>
          </cell>
          <cell r="C1" t="str">
            <v>TRUCK TYPE</v>
          </cell>
          <cell r="D1" t="str">
            <v>DUNS</v>
          </cell>
          <cell r="E1" t="str">
            <v>NAME</v>
          </cell>
          <cell r="F1" t="str">
            <v>ADDRESS</v>
          </cell>
          <cell r="G1" t="str">
            <v>CITY</v>
          </cell>
          <cell r="H1" t="str">
            <v>PROV</v>
          </cell>
          <cell r="I1" t="str">
            <v>DISTANCE</v>
          </cell>
          <cell r="J1" t="str">
            <v>ARRIVAL</v>
          </cell>
          <cell r="K1" t="str">
            <v>DEPARTURE</v>
          </cell>
          <cell r="L1" t="str">
            <v>Monday</v>
          </cell>
          <cell r="M1" t="str">
            <v>Tuesday</v>
          </cell>
          <cell r="N1" t="str">
            <v>Wednesday</v>
          </cell>
          <cell r="O1" t="str">
            <v>Thursday</v>
          </cell>
          <cell r="P1" t="str">
            <v>Friday</v>
          </cell>
          <cell r="Q1" t="str">
            <v>Saturday</v>
          </cell>
          <cell r="R1" t="str">
            <v>Sunday</v>
          </cell>
          <cell r="S1" t="str">
            <v>DRIVER</v>
          </cell>
          <cell r="T1" t="str">
            <v>JIT ROUTE</v>
          </cell>
          <cell r="U1" t="str">
            <v>SEQUENCE</v>
          </cell>
          <cell r="V1" t="str">
            <v>Weekly Freq</v>
          </cell>
        </row>
        <row r="2">
          <cell r="A2" t="str">
            <v>1</v>
          </cell>
          <cell r="B2" t="str">
            <v>DOMSFER</v>
          </cell>
          <cell r="C2" t="str">
            <v>6T CH</v>
          </cell>
          <cell r="I2">
            <v>0</v>
          </cell>
          <cell r="K2" t="str">
            <v>6:05</v>
          </cell>
          <cell r="S2" t="str">
            <v>GUSTAVO ARRAMENDI</v>
          </cell>
          <cell r="T2" t="str">
            <v>DS06-01</v>
          </cell>
          <cell r="U2">
            <v>0</v>
          </cell>
          <cell r="V2">
            <v>0</v>
          </cell>
        </row>
        <row r="3">
          <cell r="A3" t="str">
            <v>1</v>
          </cell>
          <cell r="B3" t="str">
            <v>DOMSFER</v>
          </cell>
          <cell r="C3" t="str">
            <v>6T CH</v>
          </cell>
          <cell r="D3">
            <v>970308706</v>
          </cell>
          <cell r="E3" t="str">
            <v>FICO CABLES ARGENTINA</v>
          </cell>
          <cell r="F3" t="str">
            <v>Arevalo 1556/58</v>
          </cell>
          <cell r="G3" t="str">
            <v>Buenos Aires</v>
          </cell>
          <cell r="H3" t="str">
            <v>Buenos Aires</v>
          </cell>
          <cell r="I3">
            <v>6.8</v>
          </cell>
          <cell r="J3" t="str">
            <v>7:50</v>
          </cell>
          <cell r="K3" t="str">
            <v>8:10</v>
          </cell>
          <cell r="L3" t="b">
            <v>0</v>
          </cell>
          <cell r="M3" t="b">
            <v>0</v>
          </cell>
          <cell r="N3" t="b">
            <v>0</v>
          </cell>
          <cell r="O3" t="b">
            <v>1</v>
          </cell>
          <cell r="P3" t="b">
            <v>0</v>
          </cell>
          <cell r="Q3" t="b">
            <v>0</v>
          </cell>
          <cell r="R3" t="b">
            <v>0</v>
          </cell>
          <cell r="S3" t="str">
            <v>GUSTAVO ARRAMENDI</v>
          </cell>
          <cell r="T3" t="str">
            <v>DS06-01</v>
          </cell>
          <cell r="U3">
            <v>1</v>
          </cell>
          <cell r="V3">
            <v>1</v>
          </cell>
        </row>
        <row r="4">
          <cell r="A4" t="str">
            <v>1</v>
          </cell>
          <cell r="B4" t="str">
            <v>DOMSFER</v>
          </cell>
          <cell r="C4" t="str">
            <v>6T CH</v>
          </cell>
          <cell r="D4">
            <v>970394003</v>
          </cell>
          <cell r="E4" t="str">
            <v>EMU ESTABLECIMENTOS METALURGICOS UNIDOS S.A.I.C.</v>
          </cell>
          <cell r="F4" t="str">
            <v>R. BAZURCO, 3377 - C.P.1419 BUENOS AIRES.</v>
          </cell>
          <cell r="G4" t="str">
            <v>Capital Federal</v>
          </cell>
          <cell r="H4" t="str">
            <v>Buenos Aires</v>
          </cell>
          <cell r="I4">
            <v>8.1999999999999993</v>
          </cell>
          <cell r="J4" t="str">
            <v>9:00</v>
          </cell>
          <cell r="K4" t="str">
            <v>9:20</v>
          </cell>
          <cell r="L4" t="b">
            <v>0</v>
          </cell>
          <cell r="M4" t="b">
            <v>0</v>
          </cell>
          <cell r="N4" t="b">
            <v>0</v>
          </cell>
          <cell r="O4" t="b">
            <v>1</v>
          </cell>
          <cell r="P4" t="b">
            <v>0</v>
          </cell>
          <cell r="Q4" t="b">
            <v>0</v>
          </cell>
          <cell r="R4" t="b">
            <v>0</v>
          </cell>
          <cell r="S4" t="str">
            <v>GUSTAVO ARRAMENDI</v>
          </cell>
          <cell r="T4" t="str">
            <v>DS06-01</v>
          </cell>
          <cell r="U4">
            <v>2</v>
          </cell>
          <cell r="V4">
            <v>1</v>
          </cell>
        </row>
        <row r="5">
          <cell r="A5" t="str">
            <v>1</v>
          </cell>
          <cell r="B5" t="str">
            <v>DOMSFER</v>
          </cell>
          <cell r="C5" t="str">
            <v>6T CH</v>
          </cell>
          <cell r="D5">
            <v>971179007</v>
          </cell>
          <cell r="E5" t="str">
            <v>ETAR S.A.</v>
          </cell>
          <cell r="F5" t="str">
            <v>ZUVIRIA 5581/3 - BUNOS AIRES</v>
          </cell>
          <cell r="G5" t="str">
            <v>Capital Federal</v>
          </cell>
          <cell r="H5" t="str">
            <v>Buenos Aires</v>
          </cell>
          <cell r="I5">
            <v>12.7</v>
          </cell>
          <cell r="J5" t="str">
            <v>10:30</v>
          </cell>
          <cell r="K5" t="str">
            <v>11:00</v>
          </cell>
          <cell r="L5" t="b">
            <v>0</v>
          </cell>
          <cell r="M5" t="b">
            <v>0</v>
          </cell>
          <cell r="N5" t="b">
            <v>0</v>
          </cell>
          <cell r="O5" t="b">
            <v>1</v>
          </cell>
          <cell r="P5" t="b">
            <v>0</v>
          </cell>
          <cell r="Q5" t="b">
            <v>0</v>
          </cell>
          <cell r="R5" t="b">
            <v>0</v>
          </cell>
          <cell r="S5" t="str">
            <v>GUSTAVO ARRAMENDI</v>
          </cell>
          <cell r="T5" t="str">
            <v>DS06-01</v>
          </cell>
          <cell r="U5">
            <v>3</v>
          </cell>
          <cell r="V5">
            <v>1</v>
          </cell>
        </row>
        <row r="6">
          <cell r="A6" t="str">
            <v>1</v>
          </cell>
          <cell r="B6" t="str">
            <v>DOMSFER</v>
          </cell>
          <cell r="C6" t="str">
            <v>6T CH</v>
          </cell>
          <cell r="D6">
            <v>971336664</v>
          </cell>
          <cell r="E6" t="str">
            <v>TORNILLOS ESPECIALES LANUS S.A. TEL</v>
          </cell>
          <cell r="F6" t="str">
            <v>Aristóbulo del Valle 1055</v>
          </cell>
          <cell r="G6" t="str">
            <v>Lanus</v>
          </cell>
          <cell r="H6" t="str">
            <v>Buenos Aires</v>
          </cell>
          <cell r="I6">
            <v>13.9</v>
          </cell>
          <cell r="J6" t="str">
            <v>12:00</v>
          </cell>
          <cell r="K6" t="str">
            <v>12:10</v>
          </cell>
          <cell r="L6" t="b">
            <v>0</v>
          </cell>
          <cell r="M6" t="b">
            <v>0</v>
          </cell>
          <cell r="N6" t="b">
            <v>0</v>
          </cell>
          <cell r="O6" t="b">
            <v>1</v>
          </cell>
          <cell r="P6" t="b">
            <v>0</v>
          </cell>
          <cell r="Q6" t="b">
            <v>0</v>
          </cell>
          <cell r="R6" t="b">
            <v>0</v>
          </cell>
          <cell r="S6" t="str">
            <v>GUSTAVO ARRAMENDI</v>
          </cell>
          <cell r="T6" t="str">
            <v>DS06-01</v>
          </cell>
          <cell r="U6">
            <v>4</v>
          </cell>
          <cell r="V6">
            <v>1</v>
          </cell>
        </row>
        <row r="7">
          <cell r="A7" t="str">
            <v>1</v>
          </cell>
          <cell r="B7" t="str">
            <v>DOMSFER</v>
          </cell>
          <cell r="C7" t="str">
            <v>6T CH</v>
          </cell>
          <cell r="D7">
            <v>970406393</v>
          </cell>
          <cell r="E7" t="str">
            <v>CAIMARI S.A.</v>
          </cell>
          <cell r="F7" t="str">
            <v>R. Escalada 4462</v>
          </cell>
          <cell r="G7" t="str">
            <v>Valentin Alsina</v>
          </cell>
          <cell r="H7" t="str">
            <v>Buenos Aires</v>
          </cell>
          <cell r="I7">
            <v>4</v>
          </cell>
          <cell r="J7" t="str">
            <v>12:20</v>
          </cell>
          <cell r="K7" t="str">
            <v>13:00</v>
          </cell>
          <cell r="L7" t="b">
            <v>0</v>
          </cell>
          <cell r="M7" t="b">
            <v>0</v>
          </cell>
          <cell r="N7" t="b">
            <v>0</v>
          </cell>
          <cell r="O7" t="b">
            <v>1</v>
          </cell>
          <cell r="P7" t="b">
            <v>0</v>
          </cell>
          <cell r="Q7" t="b">
            <v>0</v>
          </cell>
          <cell r="R7" t="b">
            <v>0</v>
          </cell>
          <cell r="S7" t="str">
            <v>GUSTAVO ARRAMENDI</v>
          </cell>
          <cell r="T7" t="str">
            <v>DS06-01</v>
          </cell>
          <cell r="U7">
            <v>5</v>
          </cell>
          <cell r="V7">
            <v>1</v>
          </cell>
        </row>
        <row r="8">
          <cell r="A8" t="str">
            <v>1</v>
          </cell>
          <cell r="B8" t="str">
            <v>DOMSFER</v>
          </cell>
          <cell r="C8" t="str">
            <v>6T CH</v>
          </cell>
          <cell r="D8">
            <v>971388541</v>
          </cell>
          <cell r="E8" t="str">
            <v>PERDRIEL S.A.</v>
          </cell>
          <cell r="F8" t="str">
            <v>Osvaldo Cruz 2740</v>
          </cell>
          <cell r="G8" t="str">
            <v>Capital Federal</v>
          </cell>
          <cell r="H8" t="str">
            <v>Buenos Aires</v>
          </cell>
          <cell r="I8">
            <v>9</v>
          </cell>
          <cell r="J8" t="str">
            <v>13:30</v>
          </cell>
          <cell r="K8" t="str">
            <v>14:10</v>
          </cell>
          <cell r="L8" t="b">
            <v>0</v>
          </cell>
          <cell r="M8" t="b">
            <v>0</v>
          </cell>
          <cell r="N8" t="b">
            <v>0</v>
          </cell>
          <cell r="O8" t="b">
            <v>1</v>
          </cell>
          <cell r="P8" t="b">
            <v>0</v>
          </cell>
          <cell r="Q8" t="b">
            <v>0</v>
          </cell>
          <cell r="R8" t="b">
            <v>0</v>
          </cell>
          <cell r="S8" t="str">
            <v>GUSTAVO ARRAMENDI</v>
          </cell>
          <cell r="T8" t="str">
            <v>DS06-01</v>
          </cell>
          <cell r="U8">
            <v>6</v>
          </cell>
          <cell r="V8">
            <v>1</v>
          </cell>
        </row>
        <row r="9">
          <cell r="A9" t="str">
            <v>1</v>
          </cell>
          <cell r="B9" t="str">
            <v>DOMSFER</v>
          </cell>
          <cell r="C9" t="str">
            <v>6T CH</v>
          </cell>
          <cell r="D9">
            <v>970231825</v>
          </cell>
          <cell r="E9" t="str">
            <v>AMP S.A. ARGENTINA</v>
          </cell>
          <cell r="F9" t="str">
            <v>JUNCAL 2869 (1640) - MARTINEZ - BUENOS AIRES</v>
          </cell>
          <cell r="G9" t="str">
            <v>Martinez</v>
          </cell>
          <cell r="H9" t="str">
            <v>Buenos Aires</v>
          </cell>
          <cell r="I9">
            <v>25</v>
          </cell>
          <cell r="J9" t="str">
            <v>15:50</v>
          </cell>
          <cell r="K9" t="str">
            <v>16:25</v>
          </cell>
          <cell r="L9" t="b">
            <v>0</v>
          </cell>
          <cell r="M9" t="b">
            <v>0</v>
          </cell>
          <cell r="N9" t="b">
            <v>0</v>
          </cell>
          <cell r="O9" t="b">
            <v>1</v>
          </cell>
          <cell r="P9" t="b">
            <v>0</v>
          </cell>
          <cell r="Q9" t="b">
            <v>0</v>
          </cell>
          <cell r="R9" t="b">
            <v>0</v>
          </cell>
          <cell r="S9" t="str">
            <v>GUSTAVO ARRAMENDI</v>
          </cell>
          <cell r="T9" t="str">
            <v>DS06-01</v>
          </cell>
          <cell r="U9">
            <v>7</v>
          </cell>
          <cell r="V9">
            <v>1</v>
          </cell>
        </row>
        <row r="10">
          <cell r="A10" t="str">
            <v>1</v>
          </cell>
          <cell r="B10" t="str">
            <v>DOMSFER</v>
          </cell>
          <cell r="C10" t="str">
            <v>6T CH</v>
          </cell>
          <cell r="I10">
            <v>9</v>
          </cell>
          <cell r="J10" t="str">
            <v>16:40</v>
          </cell>
          <cell r="L10" t="b">
            <v>0</v>
          </cell>
          <cell r="M10" t="b">
            <v>0</v>
          </cell>
          <cell r="N10" t="b">
            <v>0</v>
          </cell>
          <cell r="O10" t="b">
            <v>1</v>
          </cell>
          <cell r="P10" t="b">
            <v>0</v>
          </cell>
          <cell r="Q10" t="b">
            <v>0</v>
          </cell>
          <cell r="R10" t="b">
            <v>0</v>
          </cell>
          <cell r="S10" t="str">
            <v>GUSTAVO ARRAMENDI</v>
          </cell>
          <cell r="T10" t="str">
            <v>DS06-01</v>
          </cell>
          <cell r="U10">
            <v>8</v>
          </cell>
          <cell r="V10">
            <v>1</v>
          </cell>
        </row>
        <row r="11">
          <cell r="A11" t="str">
            <v>11</v>
          </cell>
          <cell r="B11" t="str">
            <v>DOMROSARI</v>
          </cell>
          <cell r="C11" t="str">
            <v>20T</v>
          </cell>
          <cell r="D11">
            <v>0</v>
          </cell>
          <cell r="K11" t="str">
            <v>7:25</v>
          </cell>
          <cell r="S11" t="str">
            <v>JORGE ESPAÑON - ALAN LANE</v>
          </cell>
          <cell r="T11" t="str">
            <v>DT11-01</v>
          </cell>
          <cell r="U11">
            <v>0</v>
          </cell>
          <cell r="V11">
            <v>0</v>
          </cell>
        </row>
        <row r="12">
          <cell r="A12" t="str">
            <v>11</v>
          </cell>
          <cell r="B12" t="str">
            <v>DOMROSARI</v>
          </cell>
          <cell r="C12" t="str">
            <v>20T</v>
          </cell>
          <cell r="D12">
            <v>971719760</v>
          </cell>
          <cell r="E12" t="str">
            <v>ITT AUTOMOTIVE ARGENTINA</v>
          </cell>
          <cell r="F12" t="str">
            <v>Con. San Antonio y Av. Circunvalacion</v>
          </cell>
          <cell r="G12" t="str">
            <v>Cordoba</v>
          </cell>
          <cell r="H12" t="str">
            <v>Cordoba</v>
          </cell>
          <cell r="I12">
            <v>428</v>
          </cell>
          <cell r="J12" t="str">
            <v>14:25</v>
          </cell>
          <cell r="K12" t="str">
            <v>15:00</v>
          </cell>
          <cell r="L12" t="b">
            <v>1</v>
          </cell>
          <cell r="M12" t="b">
            <v>0</v>
          </cell>
          <cell r="N12" t="b">
            <v>1</v>
          </cell>
          <cell r="O12" t="b">
            <v>0</v>
          </cell>
          <cell r="P12" t="b">
            <v>1</v>
          </cell>
          <cell r="Q12" t="b">
            <v>0</v>
          </cell>
          <cell r="R12" t="b">
            <v>0</v>
          </cell>
          <cell r="S12" t="str">
            <v>JORGE ESPAÑON - ALAN LANE</v>
          </cell>
          <cell r="T12" t="str">
            <v>DT11-01</v>
          </cell>
          <cell r="U12">
            <v>1</v>
          </cell>
          <cell r="V12">
            <v>3</v>
          </cell>
        </row>
        <row r="13">
          <cell r="A13" t="str">
            <v>11</v>
          </cell>
          <cell r="B13" t="str">
            <v>DOMROSARI</v>
          </cell>
          <cell r="C13" t="str">
            <v>20T</v>
          </cell>
          <cell r="D13">
            <v>971465190</v>
          </cell>
          <cell r="E13" t="str">
            <v>MAGNETI MARELLI SISTEMAS DE ESCAPE S.A.</v>
          </cell>
          <cell r="F13" t="str">
            <v>Velez Sarfield 4500 5016- Cordoba</v>
          </cell>
          <cell r="G13" t="str">
            <v>Cordoba</v>
          </cell>
          <cell r="H13" t="str">
            <v>Cordoba</v>
          </cell>
          <cell r="I13">
            <v>3</v>
          </cell>
          <cell r="J13" t="str">
            <v>15:10</v>
          </cell>
          <cell r="K13" t="str">
            <v>16:00</v>
          </cell>
          <cell r="L13" t="b">
            <v>1</v>
          </cell>
          <cell r="M13" t="b">
            <v>0</v>
          </cell>
          <cell r="N13" t="b">
            <v>1</v>
          </cell>
          <cell r="O13" t="b">
            <v>0</v>
          </cell>
          <cell r="P13" t="b">
            <v>1</v>
          </cell>
          <cell r="Q13" t="b">
            <v>0</v>
          </cell>
          <cell r="R13" t="b">
            <v>0</v>
          </cell>
          <cell r="S13" t="str">
            <v>JORGE ESPAÑON - ALAN LANE</v>
          </cell>
          <cell r="T13" t="str">
            <v>DT11-01</v>
          </cell>
          <cell r="U13">
            <v>2</v>
          </cell>
          <cell r="V13">
            <v>3</v>
          </cell>
        </row>
        <row r="14">
          <cell r="A14" t="str">
            <v>11</v>
          </cell>
          <cell r="B14" t="str">
            <v>DOMROSARI</v>
          </cell>
          <cell r="C14" t="str">
            <v>20T</v>
          </cell>
          <cell r="D14">
            <v>0</v>
          </cell>
          <cell r="I14">
            <v>400</v>
          </cell>
          <cell r="J14" t="str">
            <v>6:00</v>
          </cell>
          <cell r="S14" t="str">
            <v>JORGE ESPAÑON - ALAN LANE</v>
          </cell>
          <cell r="T14" t="str">
            <v>DT11-01</v>
          </cell>
          <cell r="U14">
            <v>3</v>
          </cell>
          <cell r="V14">
            <v>0</v>
          </cell>
        </row>
        <row r="15">
          <cell r="A15" t="str">
            <v>12</v>
          </cell>
          <cell r="B15" t="str">
            <v>DOMROSARI</v>
          </cell>
          <cell r="C15" t="str">
            <v>20T</v>
          </cell>
          <cell r="D15">
            <v>0</v>
          </cell>
          <cell r="I15">
            <v>0</v>
          </cell>
          <cell r="K15" t="str">
            <v>3:00</v>
          </cell>
          <cell r="S15" t="str">
            <v>LUIS ROJAS</v>
          </cell>
          <cell r="T15" t="str">
            <v>DD14-01</v>
          </cell>
          <cell r="U15">
            <v>0</v>
          </cell>
          <cell r="V15">
            <v>0</v>
          </cell>
        </row>
        <row r="16">
          <cell r="A16" t="str">
            <v>12</v>
          </cell>
          <cell r="B16" t="str">
            <v>DOMROSARI</v>
          </cell>
          <cell r="C16" t="str">
            <v>20T</v>
          </cell>
          <cell r="D16">
            <v>971388640</v>
          </cell>
          <cell r="E16" t="str">
            <v>INDUSTRIA TEXTIL DRAGUI S.A.I.C.F.I.</v>
          </cell>
          <cell r="F16" t="str">
            <v>RUTA 9 KM 51 - ESCOBAR - BUENOS AIRES</v>
          </cell>
          <cell r="G16" t="str">
            <v>Escobar</v>
          </cell>
          <cell r="H16" t="str">
            <v>Buenos Aires</v>
          </cell>
          <cell r="I16">
            <v>30</v>
          </cell>
          <cell r="J16" t="str">
            <v>8:00</v>
          </cell>
          <cell r="K16" t="str">
            <v>9:00</v>
          </cell>
          <cell r="L16" t="b">
            <v>1</v>
          </cell>
          <cell r="M16" t="b">
            <v>1</v>
          </cell>
          <cell r="N16" t="b">
            <v>1</v>
          </cell>
          <cell r="O16" t="b">
            <v>1</v>
          </cell>
          <cell r="P16" t="b">
            <v>1</v>
          </cell>
          <cell r="Q16" t="b">
            <v>0</v>
          </cell>
          <cell r="R16" t="b">
            <v>0</v>
          </cell>
          <cell r="S16" t="str">
            <v>LUIS ROJAS</v>
          </cell>
          <cell r="T16" t="str">
            <v>DD14-01</v>
          </cell>
          <cell r="U16">
            <v>1</v>
          </cell>
          <cell r="V16">
            <v>5</v>
          </cell>
        </row>
        <row r="17">
          <cell r="A17" t="str">
            <v>12</v>
          </cell>
          <cell r="B17" t="str">
            <v>DOMROSARI</v>
          </cell>
          <cell r="C17" t="str">
            <v>20T</v>
          </cell>
          <cell r="D17">
            <v>0</v>
          </cell>
          <cell r="I17">
            <v>235</v>
          </cell>
          <cell r="J17" t="str">
            <v>14:00</v>
          </cell>
          <cell r="L17" t="b">
            <v>1</v>
          </cell>
          <cell r="M17" t="b">
            <v>1</v>
          </cell>
          <cell r="N17" t="b">
            <v>1</v>
          </cell>
          <cell r="O17" t="b">
            <v>1</v>
          </cell>
          <cell r="P17" t="b">
            <v>1</v>
          </cell>
          <cell r="Q17" t="b">
            <v>0</v>
          </cell>
          <cell r="R17" t="b">
            <v>0</v>
          </cell>
          <cell r="S17" t="str">
            <v>LUIS ROJAS</v>
          </cell>
          <cell r="T17" t="str">
            <v>DD14-01</v>
          </cell>
          <cell r="U17">
            <v>2</v>
          </cell>
          <cell r="V17">
            <v>5</v>
          </cell>
        </row>
        <row r="18">
          <cell r="A18" t="str">
            <v>13</v>
          </cell>
          <cell r="B18" t="str">
            <v>DOMROSARI</v>
          </cell>
          <cell r="C18" t="str">
            <v>20T</v>
          </cell>
          <cell r="D18">
            <v>0</v>
          </cell>
          <cell r="K18" t="str">
            <v>6:00</v>
          </cell>
          <cell r="S18" t="str">
            <v>WENCESLAO RIOS</v>
          </cell>
          <cell r="T18" t="str">
            <v>DS15-01</v>
          </cell>
          <cell r="U18">
            <v>0</v>
          </cell>
          <cell r="V18">
            <v>0</v>
          </cell>
        </row>
        <row r="19">
          <cell r="A19" t="str">
            <v>13</v>
          </cell>
          <cell r="B19" t="str">
            <v>DOMROSARI</v>
          </cell>
          <cell r="C19" t="str">
            <v>20T</v>
          </cell>
          <cell r="D19">
            <v>966084048</v>
          </cell>
          <cell r="E19" t="str">
            <v>ECASOL S.A.</v>
          </cell>
          <cell r="F19" t="str">
            <v>Juan José Quevedo 5640</v>
          </cell>
          <cell r="G19" t="str">
            <v>Montevideo</v>
          </cell>
          <cell r="I19">
            <v>711</v>
          </cell>
          <cell r="J19" t="str">
            <v>6:00</v>
          </cell>
          <cell r="K19" t="str">
            <v>8:00</v>
          </cell>
          <cell r="L19" t="b">
            <v>1</v>
          </cell>
          <cell r="M19" t="b">
            <v>0</v>
          </cell>
          <cell r="N19" t="b">
            <v>0</v>
          </cell>
          <cell r="O19" t="b">
            <v>0</v>
          </cell>
          <cell r="P19" t="b">
            <v>0</v>
          </cell>
          <cell r="Q19" t="b">
            <v>0</v>
          </cell>
          <cell r="R19" t="b">
            <v>0</v>
          </cell>
          <cell r="S19" t="str">
            <v>WENCESLAO RIOS</v>
          </cell>
          <cell r="T19" t="str">
            <v>DS15-01</v>
          </cell>
          <cell r="U19">
            <v>1</v>
          </cell>
          <cell r="V19">
            <v>1</v>
          </cell>
        </row>
        <row r="20">
          <cell r="A20" t="str">
            <v>13</v>
          </cell>
          <cell r="B20" t="str">
            <v>DOMROSARI</v>
          </cell>
          <cell r="C20" t="str">
            <v>20T</v>
          </cell>
          <cell r="D20">
            <v>966082331</v>
          </cell>
          <cell r="E20" t="str">
            <v>MAXI S.A.</v>
          </cell>
          <cell r="F20" t="str">
            <v>Av. Punta de Rieles 2910</v>
          </cell>
          <cell r="G20" t="str">
            <v>Montevideo</v>
          </cell>
          <cell r="H20" t="str">
            <v>Montevideo</v>
          </cell>
          <cell r="I20">
            <v>4</v>
          </cell>
          <cell r="J20" t="str">
            <v>8:30</v>
          </cell>
          <cell r="K20" t="str">
            <v>9:30</v>
          </cell>
          <cell r="L20" t="b">
            <v>1</v>
          </cell>
          <cell r="M20" t="b">
            <v>0</v>
          </cell>
          <cell r="N20" t="b">
            <v>0</v>
          </cell>
          <cell r="O20" t="b">
            <v>0</v>
          </cell>
          <cell r="P20" t="b">
            <v>0</v>
          </cell>
          <cell r="Q20" t="b">
            <v>0</v>
          </cell>
          <cell r="R20" t="b">
            <v>0</v>
          </cell>
          <cell r="S20" t="str">
            <v>WENCESLAO RIOS</v>
          </cell>
          <cell r="T20" t="str">
            <v>DS15-01</v>
          </cell>
          <cell r="U20">
            <v>2</v>
          </cell>
          <cell r="V20">
            <v>1</v>
          </cell>
        </row>
        <row r="21">
          <cell r="A21" t="str">
            <v>13</v>
          </cell>
          <cell r="B21" t="str">
            <v>DOMROSARI</v>
          </cell>
          <cell r="C21" t="str">
            <v>20T</v>
          </cell>
          <cell r="D21">
            <v>12</v>
          </cell>
          <cell r="E21" t="str">
            <v>FRONTERA URUGUAYA</v>
          </cell>
          <cell r="I21">
            <v>336</v>
          </cell>
          <cell r="J21" t="str">
            <v>15:00</v>
          </cell>
          <cell r="K21" t="str">
            <v>17:30</v>
          </cell>
          <cell r="L21" t="b">
            <v>1</v>
          </cell>
          <cell r="M21" t="b">
            <v>0</v>
          </cell>
          <cell r="N21" t="b">
            <v>0</v>
          </cell>
          <cell r="O21" t="b">
            <v>0</v>
          </cell>
          <cell r="P21" t="b">
            <v>0</v>
          </cell>
          <cell r="Q21" t="b">
            <v>0</v>
          </cell>
          <cell r="R21" t="b">
            <v>0</v>
          </cell>
          <cell r="S21" t="str">
            <v>WENCESLAO RIOS</v>
          </cell>
          <cell r="T21" t="str">
            <v>DS15-01</v>
          </cell>
          <cell r="U21">
            <v>3</v>
          </cell>
          <cell r="V21">
            <v>1</v>
          </cell>
        </row>
        <row r="22">
          <cell r="A22" t="str">
            <v>13</v>
          </cell>
          <cell r="B22" t="str">
            <v>DOMROSARI</v>
          </cell>
          <cell r="C22" t="str">
            <v>20T</v>
          </cell>
          <cell r="D22">
            <v>13</v>
          </cell>
          <cell r="E22" t="str">
            <v>FRONTERA ARGENTINA</v>
          </cell>
          <cell r="I22">
            <v>7</v>
          </cell>
          <cell r="J22" t="str">
            <v>18:00</v>
          </cell>
          <cell r="K22" t="str">
            <v>19:00</v>
          </cell>
          <cell r="L22" t="b">
            <v>1</v>
          </cell>
          <cell r="M22" t="b">
            <v>0</v>
          </cell>
          <cell r="N22" t="b">
            <v>0</v>
          </cell>
          <cell r="O22" t="b">
            <v>0</v>
          </cell>
          <cell r="P22" t="b">
            <v>0</v>
          </cell>
          <cell r="Q22" t="b">
            <v>0</v>
          </cell>
          <cell r="R22" t="b">
            <v>0</v>
          </cell>
          <cell r="S22" t="str">
            <v>WENCESLAO RIOS</v>
          </cell>
          <cell r="T22" t="str">
            <v>DS15-01</v>
          </cell>
          <cell r="U22">
            <v>4</v>
          </cell>
          <cell r="V22">
            <v>1</v>
          </cell>
        </row>
        <row r="23">
          <cell r="A23" t="str">
            <v>13</v>
          </cell>
          <cell r="B23" t="str">
            <v>DOMROSARI</v>
          </cell>
          <cell r="C23" t="str">
            <v>20T</v>
          </cell>
          <cell r="D23">
            <v>0</v>
          </cell>
          <cell r="I23">
            <v>407</v>
          </cell>
          <cell r="J23" t="str">
            <v>8:00</v>
          </cell>
          <cell r="L23" t="b">
            <v>0</v>
          </cell>
          <cell r="M23" t="b">
            <v>1</v>
          </cell>
          <cell r="N23" t="b">
            <v>0</v>
          </cell>
          <cell r="O23" t="b">
            <v>0</v>
          </cell>
          <cell r="P23" t="b">
            <v>0</v>
          </cell>
          <cell r="Q23" t="b">
            <v>0</v>
          </cell>
          <cell r="R23" t="b">
            <v>0</v>
          </cell>
          <cell r="S23" t="str">
            <v>WENCESLAO RIOS</v>
          </cell>
          <cell r="T23" t="str">
            <v>DS15-01</v>
          </cell>
          <cell r="U23">
            <v>5</v>
          </cell>
          <cell r="V23">
            <v>1</v>
          </cell>
        </row>
        <row r="24">
          <cell r="A24" t="str">
            <v>14</v>
          </cell>
          <cell r="B24" t="str">
            <v>DOMROSARI</v>
          </cell>
          <cell r="C24" t="str">
            <v>20T</v>
          </cell>
          <cell r="D24">
            <v>0</v>
          </cell>
          <cell r="K24" t="str">
            <v>1:05</v>
          </cell>
          <cell r="S24" t="str">
            <v>JORGE TORRES</v>
          </cell>
          <cell r="T24" t="str">
            <v>DT04-01</v>
          </cell>
          <cell r="U24">
            <v>0</v>
          </cell>
          <cell r="V24">
            <v>0</v>
          </cell>
        </row>
        <row r="25">
          <cell r="A25" t="str">
            <v>14</v>
          </cell>
          <cell r="B25" t="str">
            <v>DOMROSARI</v>
          </cell>
          <cell r="C25" t="str">
            <v>20T</v>
          </cell>
          <cell r="D25">
            <v>971436860</v>
          </cell>
          <cell r="E25" t="str">
            <v>PELZER SYSTEM S.A.</v>
          </cell>
          <cell r="F25" t="str">
            <v>Senguel 6557</v>
          </cell>
          <cell r="G25" t="str">
            <v>González Catán</v>
          </cell>
          <cell r="H25" t="str">
            <v>Buenos Aires</v>
          </cell>
          <cell r="I25">
            <v>300</v>
          </cell>
          <cell r="J25" t="str">
            <v>7:05</v>
          </cell>
          <cell r="K25" t="str">
            <v>8:05</v>
          </cell>
          <cell r="L25" t="b">
            <v>1</v>
          </cell>
          <cell r="M25" t="b">
            <v>0</v>
          </cell>
          <cell r="N25" t="b">
            <v>1</v>
          </cell>
          <cell r="O25" t="b">
            <v>0</v>
          </cell>
          <cell r="P25" t="b">
            <v>1</v>
          </cell>
          <cell r="Q25" t="b">
            <v>0</v>
          </cell>
          <cell r="R25" t="b">
            <v>0</v>
          </cell>
          <cell r="S25" t="str">
            <v>JORGE TORRES</v>
          </cell>
          <cell r="T25" t="str">
            <v>DT04-01</v>
          </cell>
          <cell r="U25">
            <v>1</v>
          </cell>
          <cell r="V25">
            <v>3</v>
          </cell>
        </row>
        <row r="26">
          <cell r="A26" t="str">
            <v>14</v>
          </cell>
          <cell r="B26" t="str">
            <v>DOMROSARI</v>
          </cell>
          <cell r="C26" t="str">
            <v>20T</v>
          </cell>
          <cell r="D26">
            <v>0</v>
          </cell>
          <cell r="I26">
            <v>300</v>
          </cell>
          <cell r="J26" t="str">
            <v>14:00</v>
          </cell>
          <cell r="L26" t="b">
            <v>1</v>
          </cell>
          <cell r="M26" t="b">
            <v>0</v>
          </cell>
          <cell r="N26" t="b">
            <v>1</v>
          </cell>
          <cell r="O26" t="b">
            <v>0</v>
          </cell>
          <cell r="P26" t="b">
            <v>1</v>
          </cell>
          <cell r="Q26" t="b">
            <v>0</v>
          </cell>
          <cell r="R26" t="b">
            <v>0</v>
          </cell>
          <cell r="S26" t="str">
            <v>JORGE TORRES</v>
          </cell>
          <cell r="T26" t="str">
            <v>DT04-01</v>
          </cell>
          <cell r="U26">
            <v>2</v>
          </cell>
          <cell r="V26">
            <v>3</v>
          </cell>
        </row>
        <row r="27">
          <cell r="A27" t="str">
            <v>15</v>
          </cell>
          <cell r="B27" t="str">
            <v>DOMROSARI</v>
          </cell>
          <cell r="C27" t="str">
            <v>20T</v>
          </cell>
          <cell r="D27">
            <v>0</v>
          </cell>
          <cell r="K27" t="str">
            <v>7:30</v>
          </cell>
          <cell r="S27" t="str">
            <v>JORGE ESPAÑON - ALAN LANE</v>
          </cell>
          <cell r="T27" t="str">
            <v>DB11-01</v>
          </cell>
          <cell r="U27">
            <v>0</v>
          </cell>
          <cell r="V27">
            <v>0</v>
          </cell>
        </row>
        <row r="28">
          <cell r="A28" t="str">
            <v>15</v>
          </cell>
          <cell r="B28" t="str">
            <v>DOMROSARI</v>
          </cell>
          <cell r="C28" t="str">
            <v>20T</v>
          </cell>
          <cell r="D28">
            <v>971433545</v>
          </cell>
          <cell r="E28" t="str">
            <v>LIGGETT ARGENTINA S.A.</v>
          </cell>
          <cell r="F28" t="str">
            <v>Miguel de Mojica 2200</v>
          </cell>
          <cell r="G28" t="str">
            <v>Cordoba</v>
          </cell>
          <cell r="H28" t="str">
            <v>Cordoba</v>
          </cell>
          <cell r="I28">
            <v>36</v>
          </cell>
          <cell r="J28" t="str">
            <v>14:30</v>
          </cell>
          <cell r="K28" t="str">
            <v>15:00</v>
          </cell>
          <cell r="L28" t="b">
            <v>0</v>
          </cell>
          <cell r="M28" t="b">
            <v>1</v>
          </cell>
          <cell r="N28" t="b">
            <v>0</v>
          </cell>
          <cell r="O28" t="b">
            <v>1</v>
          </cell>
          <cell r="P28" t="b">
            <v>0</v>
          </cell>
          <cell r="Q28" t="b">
            <v>0</v>
          </cell>
          <cell r="R28" t="b">
            <v>0</v>
          </cell>
          <cell r="S28" t="str">
            <v>JORGE ESPAÑON - ALAN LANE</v>
          </cell>
          <cell r="T28" t="str">
            <v>DB11-01</v>
          </cell>
          <cell r="U28">
            <v>1</v>
          </cell>
          <cell r="V28">
            <v>2</v>
          </cell>
        </row>
        <row r="29">
          <cell r="A29" t="str">
            <v>15</v>
          </cell>
          <cell r="B29" t="str">
            <v>DOMROSARI</v>
          </cell>
          <cell r="C29" t="str">
            <v>20T</v>
          </cell>
          <cell r="D29">
            <v>970529731</v>
          </cell>
          <cell r="E29" t="str">
            <v>VALEO NEIMAN ARGENTINA S.A.</v>
          </cell>
          <cell r="F29" t="str">
            <v>Monseñor Pablo Cabrera Km 6,5</v>
          </cell>
          <cell r="G29" t="str">
            <v>Córdoba</v>
          </cell>
          <cell r="H29" t="str">
            <v>Cordoba</v>
          </cell>
          <cell r="I29">
            <v>3</v>
          </cell>
          <cell r="J29" t="str">
            <v>15:15</v>
          </cell>
          <cell r="K29" t="str">
            <v>15:45</v>
          </cell>
          <cell r="L29" t="b">
            <v>0</v>
          </cell>
          <cell r="M29" t="b">
            <v>1</v>
          </cell>
          <cell r="N29" t="b">
            <v>0</v>
          </cell>
          <cell r="O29" t="b">
            <v>1</v>
          </cell>
          <cell r="P29" t="b">
            <v>0</v>
          </cell>
          <cell r="Q29" t="b">
            <v>0</v>
          </cell>
          <cell r="R29" t="b">
            <v>0</v>
          </cell>
          <cell r="S29" t="str">
            <v>JORGE ESPAÑON - ALAN LANE</v>
          </cell>
          <cell r="T29" t="str">
            <v>DB11-01</v>
          </cell>
          <cell r="U29">
            <v>2</v>
          </cell>
          <cell r="V29">
            <v>2</v>
          </cell>
        </row>
        <row r="30">
          <cell r="A30" t="str">
            <v>15</v>
          </cell>
          <cell r="B30" t="str">
            <v>DOMROSARI</v>
          </cell>
          <cell r="C30" t="str">
            <v>20T</v>
          </cell>
          <cell r="D30">
            <v>970698833</v>
          </cell>
          <cell r="E30" t="str">
            <v>DELPHI-P ARGENTINA</v>
          </cell>
          <cell r="F30" t="str">
            <v>Ruta 9 km 667</v>
          </cell>
          <cell r="G30" t="str">
            <v>Rio Segundo</v>
          </cell>
          <cell r="H30" t="str">
            <v>Cordoba</v>
          </cell>
          <cell r="I30">
            <v>44</v>
          </cell>
          <cell r="J30" t="str">
            <v>17:00</v>
          </cell>
          <cell r="K30" t="str">
            <v>17:40</v>
          </cell>
          <cell r="L30" t="b">
            <v>0</v>
          </cell>
          <cell r="M30" t="b">
            <v>1</v>
          </cell>
          <cell r="N30" t="b">
            <v>0</v>
          </cell>
          <cell r="O30" t="b">
            <v>1</v>
          </cell>
          <cell r="P30" t="b">
            <v>0</v>
          </cell>
          <cell r="Q30" t="b">
            <v>0</v>
          </cell>
          <cell r="R30" t="b">
            <v>0</v>
          </cell>
          <cell r="S30" t="str">
            <v>JORGE ESPAÑON - ALAN LANE</v>
          </cell>
          <cell r="T30" t="str">
            <v>DB11-01</v>
          </cell>
          <cell r="U30">
            <v>3</v>
          </cell>
          <cell r="V30">
            <v>2</v>
          </cell>
        </row>
        <row r="31">
          <cell r="A31" t="str">
            <v>15</v>
          </cell>
          <cell r="B31" t="str">
            <v>DOMROSARI</v>
          </cell>
          <cell r="C31" t="str">
            <v>20T</v>
          </cell>
          <cell r="D31">
            <v>0</v>
          </cell>
          <cell r="I31">
            <v>400</v>
          </cell>
          <cell r="J31" t="str">
            <v>6:00</v>
          </cell>
          <cell r="S31" t="str">
            <v>JORGE ESPAÑON - ALAN LANE</v>
          </cell>
          <cell r="T31" t="str">
            <v>DB11-01</v>
          </cell>
          <cell r="U31">
            <v>4</v>
          </cell>
          <cell r="V31">
            <v>0</v>
          </cell>
        </row>
        <row r="32">
          <cell r="A32" t="str">
            <v>3</v>
          </cell>
          <cell r="B32" t="str">
            <v>DOMSFER</v>
          </cell>
          <cell r="C32" t="str">
            <v>6T CH</v>
          </cell>
          <cell r="I32">
            <v>0</v>
          </cell>
          <cell r="K32" t="str">
            <v>4:45</v>
          </cell>
          <cell r="S32" t="str">
            <v>MARCELO RICHIARDI</v>
          </cell>
          <cell r="T32" t="str">
            <v>DS03-01</v>
          </cell>
          <cell r="U32">
            <v>1</v>
          </cell>
          <cell r="V32">
            <v>0</v>
          </cell>
        </row>
        <row r="33">
          <cell r="A33" t="str">
            <v>3</v>
          </cell>
          <cell r="B33" t="str">
            <v>DOMSFER</v>
          </cell>
          <cell r="C33" t="str">
            <v>6T CH</v>
          </cell>
          <cell r="D33">
            <v>970534707</v>
          </cell>
          <cell r="E33" t="str">
            <v>3M ARGENTINA  SACIFIA</v>
          </cell>
          <cell r="F33" t="str">
            <v>Colectora Oeste 576</v>
          </cell>
          <cell r="G33" t="str">
            <v>Garín</v>
          </cell>
          <cell r="H33" t="str">
            <v>Buenos Aires</v>
          </cell>
          <cell r="I33">
            <v>23</v>
          </cell>
          <cell r="J33" t="str">
            <v>6:00</v>
          </cell>
          <cell r="K33" t="str">
            <v>6:20</v>
          </cell>
          <cell r="L33" t="b">
            <v>0</v>
          </cell>
          <cell r="M33" t="b">
            <v>0</v>
          </cell>
          <cell r="N33" t="b">
            <v>0</v>
          </cell>
          <cell r="O33" t="b">
            <v>1</v>
          </cell>
          <cell r="P33" t="b">
            <v>0</v>
          </cell>
          <cell r="Q33" t="b">
            <v>0</v>
          </cell>
          <cell r="R33" t="b">
            <v>0</v>
          </cell>
          <cell r="S33" t="str">
            <v>MARCELO RICHIARDI</v>
          </cell>
          <cell r="T33" t="str">
            <v>DS03-01</v>
          </cell>
          <cell r="U33">
            <v>2</v>
          </cell>
          <cell r="V33">
            <v>1</v>
          </cell>
        </row>
        <row r="34">
          <cell r="A34" t="str">
            <v>3</v>
          </cell>
          <cell r="B34" t="str">
            <v>DOMSFER</v>
          </cell>
          <cell r="C34" t="str">
            <v>6T CH</v>
          </cell>
          <cell r="D34">
            <v>971044458</v>
          </cell>
          <cell r="E34" t="str">
            <v>PERLUMA</v>
          </cell>
          <cell r="F34" t="str">
            <v>San Martín y Río Cuarto</v>
          </cell>
          <cell r="G34" t="str">
            <v>El Talar de Pacheco</v>
          </cell>
          <cell r="H34" t="str">
            <v>Buenos Aires</v>
          </cell>
          <cell r="I34">
            <v>11</v>
          </cell>
          <cell r="J34" t="str">
            <v>7:05</v>
          </cell>
          <cell r="K34" t="str">
            <v>7:45</v>
          </cell>
          <cell r="L34" t="b">
            <v>0</v>
          </cell>
          <cell r="M34" t="b">
            <v>0</v>
          </cell>
          <cell r="N34" t="b">
            <v>0</v>
          </cell>
          <cell r="O34" t="b">
            <v>1</v>
          </cell>
          <cell r="P34" t="b">
            <v>0</v>
          </cell>
          <cell r="Q34" t="b">
            <v>0</v>
          </cell>
          <cell r="R34" t="b">
            <v>0</v>
          </cell>
          <cell r="S34" t="str">
            <v>MARCELO RICHIARDI</v>
          </cell>
          <cell r="T34" t="str">
            <v>DS03-01</v>
          </cell>
          <cell r="U34">
            <v>3</v>
          </cell>
          <cell r="V34">
            <v>1</v>
          </cell>
        </row>
        <row r="35">
          <cell r="A35" t="str">
            <v>3</v>
          </cell>
          <cell r="B35" t="str">
            <v>DOMSFER</v>
          </cell>
          <cell r="C35" t="str">
            <v>6T CH</v>
          </cell>
          <cell r="D35">
            <v>970006383</v>
          </cell>
          <cell r="E35" t="str">
            <v>OSRAM ARGENTINA SAC EI</v>
          </cell>
          <cell r="F35" t="str">
            <v>RAMOS MEJIA 2456</v>
          </cell>
          <cell r="G35" t="str">
            <v>Boulogne</v>
          </cell>
          <cell r="H35" t="str">
            <v>Buenos Aires</v>
          </cell>
          <cell r="I35">
            <v>23</v>
          </cell>
          <cell r="J35" t="str">
            <v>9:00</v>
          </cell>
          <cell r="K35" t="str">
            <v>9:20</v>
          </cell>
          <cell r="L35" t="b">
            <v>0</v>
          </cell>
          <cell r="M35" t="b">
            <v>0</v>
          </cell>
          <cell r="N35" t="b">
            <v>0</v>
          </cell>
          <cell r="O35" t="b">
            <v>1</v>
          </cell>
          <cell r="P35" t="b">
            <v>0</v>
          </cell>
          <cell r="Q35" t="b">
            <v>0</v>
          </cell>
          <cell r="R35" t="b">
            <v>0</v>
          </cell>
          <cell r="S35" t="str">
            <v>MARCELO RICHIARDI</v>
          </cell>
          <cell r="T35" t="str">
            <v>DS03-01</v>
          </cell>
          <cell r="U35">
            <v>4</v>
          </cell>
          <cell r="V35">
            <v>1</v>
          </cell>
        </row>
        <row r="36">
          <cell r="A36" t="str">
            <v>3</v>
          </cell>
          <cell r="B36" t="str">
            <v>DOMSFER</v>
          </cell>
          <cell r="C36" t="str">
            <v>6T CH</v>
          </cell>
          <cell r="D36">
            <v>970899126</v>
          </cell>
          <cell r="E36" t="str">
            <v>MANUFACTURA DE MOTORES ARGENTINOS S.R.L.</v>
          </cell>
          <cell r="F36" t="str">
            <v>Benito P. Galdoz 8180</v>
          </cell>
          <cell r="G36" t="str">
            <v>Pablo Podesta</v>
          </cell>
          <cell r="H36" t="str">
            <v>Buenos Aires</v>
          </cell>
          <cell r="I36">
            <v>16</v>
          </cell>
          <cell r="J36" t="str">
            <v>10:40</v>
          </cell>
          <cell r="K36" t="str">
            <v>11:10</v>
          </cell>
          <cell r="L36" t="b">
            <v>0</v>
          </cell>
          <cell r="M36" t="b">
            <v>0</v>
          </cell>
          <cell r="N36" t="b">
            <v>0</v>
          </cell>
          <cell r="O36" t="b">
            <v>1</v>
          </cell>
          <cell r="P36" t="b">
            <v>0</v>
          </cell>
          <cell r="Q36" t="b">
            <v>0</v>
          </cell>
          <cell r="R36" t="b">
            <v>0</v>
          </cell>
          <cell r="S36" t="str">
            <v>MARCELO RICHIARDI</v>
          </cell>
          <cell r="T36" t="str">
            <v>DS03-01</v>
          </cell>
          <cell r="U36">
            <v>5</v>
          </cell>
          <cell r="V36">
            <v>1</v>
          </cell>
        </row>
        <row r="37">
          <cell r="A37" t="str">
            <v>3</v>
          </cell>
          <cell r="B37" t="str">
            <v>DOMSFER</v>
          </cell>
          <cell r="C37" t="str">
            <v>6T CH</v>
          </cell>
          <cell r="D37">
            <v>970000188</v>
          </cell>
          <cell r="E37" t="str">
            <v>NEUMATICOS GOODYEAR S/A</v>
          </cell>
          <cell r="F37" t="str">
            <v>Rodriguez 1265</v>
          </cell>
          <cell r="G37" t="str">
            <v>Hurlingham</v>
          </cell>
          <cell r="H37" t="str">
            <v>Buenos Aires</v>
          </cell>
          <cell r="I37">
            <v>3</v>
          </cell>
          <cell r="J37" t="str">
            <v>11:30</v>
          </cell>
          <cell r="K37" t="str">
            <v>12:00</v>
          </cell>
          <cell r="L37" t="b">
            <v>0</v>
          </cell>
          <cell r="M37" t="b">
            <v>0</v>
          </cell>
          <cell r="N37" t="b">
            <v>0</v>
          </cell>
          <cell r="O37" t="b">
            <v>1</v>
          </cell>
          <cell r="P37" t="b">
            <v>0</v>
          </cell>
          <cell r="Q37" t="b">
            <v>0</v>
          </cell>
          <cell r="R37" t="b">
            <v>0</v>
          </cell>
          <cell r="S37" t="str">
            <v>MARCELO RICHIARDI</v>
          </cell>
          <cell r="T37" t="str">
            <v>DS03-01</v>
          </cell>
          <cell r="U37">
            <v>6</v>
          </cell>
          <cell r="V37">
            <v>1</v>
          </cell>
        </row>
        <row r="38">
          <cell r="A38" t="str">
            <v>3</v>
          </cell>
          <cell r="B38" t="str">
            <v>DOMSFER</v>
          </cell>
          <cell r="C38" t="str">
            <v>6T CH</v>
          </cell>
          <cell r="D38">
            <v>970190427</v>
          </cell>
          <cell r="E38" t="str">
            <v>MECCA CASTELAR S.A.C.I.Y F.</v>
          </cell>
          <cell r="F38" t="str">
            <v>ROJAS 1745 - CASTELAR -1712</v>
          </cell>
          <cell r="G38" t="str">
            <v>Castelar</v>
          </cell>
          <cell r="H38" t="str">
            <v>Buenos Aires</v>
          </cell>
          <cell r="I38">
            <v>6</v>
          </cell>
          <cell r="J38" t="str">
            <v>12:30</v>
          </cell>
          <cell r="K38" t="str">
            <v>13:00</v>
          </cell>
          <cell r="L38" t="b">
            <v>0</v>
          </cell>
          <cell r="M38" t="b">
            <v>0</v>
          </cell>
          <cell r="N38" t="b">
            <v>0</v>
          </cell>
          <cell r="O38" t="b">
            <v>1</v>
          </cell>
          <cell r="P38" t="b">
            <v>0</v>
          </cell>
          <cell r="Q38" t="b">
            <v>0</v>
          </cell>
          <cell r="R38" t="b">
            <v>0</v>
          </cell>
          <cell r="S38" t="str">
            <v>MARCELO RICHIARDI</v>
          </cell>
          <cell r="T38" t="str">
            <v>DS03-01</v>
          </cell>
          <cell r="U38">
            <v>7</v>
          </cell>
          <cell r="V38">
            <v>1</v>
          </cell>
        </row>
        <row r="39">
          <cell r="A39" t="str">
            <v>3</v>
          </cell>
          <cell r="B39" t="str">
            <v>DOMSFER</v>
          </cell>
          <cell r="C39" t="str">
            <v>6T CH</v>
          </cell>
          <cell r="D39">
            <v>970933859</v>
          </cell>
          <cell r="E39" t="str">
            <v>CGR S.A.</v>
          </cell>
          <cell r="F39" t="str">
            <v>Colpayo 264 - LOMAS DEL MIRADOR - BUENOS AIRES</v>
          </cell>
          <cell r="G39" t="str">
            <v>Lomas del Mirador</v>
          </cell>
          <cell r="H39" t="str">
            <v>Buenos Aires</v>
          </cell>
          <cell r="I39">
            <v>12</v>
          </cell>
          <cell r="J39" t="str">
            <v>13:25</v>
          </cell>
          <cell r="K39" t="str">
            <v>13:55</v>
          </cell>
          <cell r="L39" t="b">
            <v>0</v>
          </cell>
          <cell r="M39" t="b">
            <v>0</v>
          </cell>
          <cell r="N39" t="b">
            <v>0</v>
          </cell>
          <cell r="O39" t="b">
            <v>1</v>
          </cell>
          <cell r="P39" t="b">
            <v>0</v>
          </cell>
          <cell r="Q39" t="b">
            <v>0</v>
          </cell>
          <cell r="R39" t="b">
            <v>0</v>
          </cell>
          <cell r="S39" t="str">
            <v>MARCELO RICHIARDI</v>
          </cell>
          <cell r="T39" t="str">
            <v>DS03-01</v>
          </cell>
          <cell r="U39">
            <v>8</v>
          </cell>
          <cell r="V39">
            <v>1</v>
          </cell>
        </row>
        <row r="40">
          <cell r="A40" t="str">
            <v>3</v>
          </cell>
          <cell r="B40" t="str">
            <v>DOMSFER</v>
          </cell>
          <cell r="C40" t="str">
            <v>6T CH</v>
          </cell>
          <cell r="D40">
            <v>971033592</v>
          </cell>
          <cell r="E40" t="str">
            <v>MERCURIO PAPAIANNI S.A.</v>
          </cell>
          <cell r="F40" t="str">
            <v>SAN ROQUE 4543 - CIUDADELA - BUENOS AIRES.</v>
          </cell>
          <cell r="G40" t="str">
            <v>Ciudadela</v>
          </cell>
          <cell r="H40" t="str">
            <v>Buenos Aires</v>
          </cell>
          <cell r="I40">
            <v>8</v>
          </cell>
          <cell r="J40" t="str">
            <v>14:35</v>
          </cell>
          <cell r="K40" t="str">
            <v>15:10</v>
          </cell>
          <cell r="L40" t="b">
            <v>0</v>
          </cell>
          <cell r="M40" t="b">
            <v>0</v>
          </cell>
          <cell r="N40" t="b">
            <v>0</v>
          </cell>
          <cell r="O40" t="b">
            <v>1</v>
          </cell>
          <cell r="P40" t="b">
            <v>0</v>
          </cell>
          <cell r="Q40" t="b">
            <v>0</v>
          </cell>
          <cell r="R40" t="b">
            <v>0</v>
          </cell>
          <cell r="S40" t="str">
            <v>MARCELO RICHIARDI</v>
          </cell>
          <cell r="T40" t="str">
            <v>DS03-01</v>
          </cell>
          <cell r="U40">
            <v>9</v>
          </cell>
          <cell r="V40">
            <v>1</v>
          </cell>
        </row>
        <row r="41">
          <cell r="A41" t="str">
            <v>3</v>
          </cell>
          <cell r="B41" t="str">
            <v>DOMSFER</v>
          </cell>
          <cell r="C41" t="str">
            <v>6T CH</v>
          </cell>
          <cell r="D41">
            <v>971767918</v>
          </cell>
          <cell r="E41" t="str">
            <v>VIALE PRESS S.A.</v>
          </cell>
          <cell r="F41" t="str">
            <v>Cafferata 5684</v>
          </cell>
          <cell r="G41" t="str">
            <v>Caseros</v>
          </cell>
          <cell r="H41" t="str">
            <v>Buenos Aires</v>
          </cell>
          <cell r="I41">
            <v>5</v>
          </cell>
          <cell r="J41" t="str">
            <v>15:30</v>
          </cell>
          <cell r="K41" t="str">
            <v>16:00</v>
          </cell>
          <cell r="L41" t="b">
            <v>0</v>
          </cell>
          <cell r="M41" t="b">
            <v>0</v>
          </cell>
          <cell r="N41" t="b">
            <v>0</v>
          </cell>
          <cell r="O41" t="b">
            <v>1</v>
          </cell>
          <cell r="P41" t="b">
            <v>0</v>
          </cell>
          <cell r="Q41" t="b">
            <v>0</v>
          </cell>
          <cell r="R41" t="b">
            <v>0</v>
          </cell>
          <cell r="S41" t="str">
            <v>MARCELO RICHIARDI</v>
          </cell>
          <cell r="T41" t="str">
            <v>DS03-01</v>
          </cell>
          <cell r="U41">
            <v>10</v>
          </cell>
          <cell r="V41">
            <v>1</v>
          </cell>
        </row>
        <row r="42">
          <cell r="A42" t="str">
            <v>3</v>
          </cell>
          <cell r="B42" t="str">
            <v>DOMSFER</v>
          </cell>
          <cell r="C42" t="str">
            <v>6T CH</v>
          </cell>
          <cell r="I42">
            <v>16</v>
          </cell>
          <cell r="J42" t="str">
            <v>17:15</v>
          </cell>
          <cell r="L42" t="b">
            <v>0</v>
          </cell>
          <cell r="M42" t="b">
            <v>0</v>
          </cell>
          <cell r="N42" t="b">
            <v>0</v>
          </cell>
          <cell r="O42" t="b">
            <v>1</v>
          </cell>
          <cell r="P42" t="b">
            <v>0</v>
          </cell>
          <cell r="Q42" t="b">
            <v>0</v>
          </cell>
          <cell r="R42" t="b">
            <v>0</v>
          </cell>
          <cell r="S42" t="str">
            <v>MARCELO RICHIARDI</v>
          </cell>
          <cell r="T42" t="str">
            <v>DS03-01</v>
          </cell>
          <cell r="U42">
            <v>11</v>
          </cell>
          <cell r="V42">
            <v>1</v>
          </cell>
        </row>
        <row r="43">
          <cell r="A43" t="str">
            <v>4</v>
          </cell>
          <cell r="B43" t="str">
            <v>DOMROSARI</v>
          </cell>
          <cell r="C43" t="str">
            <v>20T</v>
          </cell>
          <cell r="D43">
            <v>0</v>
          </cell>
          <cell r="I43">
            <v>0</v>
          </cell>
          <cell r="K43" t="str">
            <v>8:00</v>
          </cell>
          <cell r="S43" t="str">
            <v>CRISTIAN RODRIGUEZ</v>
          </cell>
          <cell r="T43" t="str">
            <v>DD09-01</v>
          </cell>
          <cell r="U43">
            <v>0</v>
          </cell>
          <cell r="V43">
            <v>0</v>
          </cell>
        </row>
        <row r="44">
          <cell r="A44" t="str">
            <v>4</v>
          </cell>
          <cell r="B44" t="str">
            <v>DOMROSARI</v>
          </cell>
          <cell r="C44" t="str">
            <v>20T</v>
          </cell>
          <cell r="D44">
            <v>971367131</v>
          </cell>
          <cell r="E44" t="str">
            <v>MONTICH</v>
          </cell>
          <cell r="F44" t="str">
            <v>Gral Lopez  1604</v>
          </cell>
          <cell r="G44" t="str">
            <v>Villa Gobernador Galvez</v>
          </cell>
          <cell r="H44" t="str">
            <v>Santa Fe</v>
          </cell>
          <cell r="I44">
            <v>20</v>
          </cell>
          <cell r="J44" t="str">
            <v>8:30</v>
          </cell>
          <cell r="K44" t="str">
            <v>9:00</v>
          </cell>
          <cell r="L44" t="b">
            <v>1</v>
          </cell>
          <cell r="M44" t="b">
            <v>1</v>
          </cell>
          <cell r="N44" t="b">
            <v>1</v>
          </cell>
          <cell r="O44" t="b">
            <v>1</v>
          </cell>
          <cell r="P44" t="b">
            <v>1</v>
          </cell>
          <cell r="Q44" t="b">
            <v>0</v>
          </cell>
          <cell r="R44" t="b">
            <v>0</v>
          </cell>
          <cell r="S44" t="str">
            <v>CRISTIAN RODRIGUEZ</v>
          </cell>
          <cell r="T44" t="str">
            <v>DD09-01</v>
          </cell>
          <cell r="U44">
            <v>1</v>
          </cell>
          <cell r="V44">
            <v>5</v>
          </cell>
        </row>
        <row r="45">
          <cell r="A45" t="str">
            <v>4</v>
          </cell>
          <cell r="B45" t="str">
            <v>DOMROSARI</v>
          </cell>
          <cell r="C45" t="str">
            <v>20T</v>
          </cell>
          <cell r="D45">
            <v>0</v>
          </cell>
          <cell r="I45">
            <v>20</v>
          </cell>
          <cell r="J45" t="str">
            <v>9:30</v>
          </cell>
          <cell r="L45" t="b">
            <v>1</v>
          </cell>
          <cell r="M45" t="b">
            <v>1</v>
          </cell>
          <cell r="N45" t="b">
            <v>1</v>
          </cell>
          <cell r="O45" t="b">
            <v>1</v>
          </cell>
          <cell r="P45" t="b">
            <v>1</v>
          </cell>
          <cell r="Q45" t="b">
            <v>0</v>
          </cell>
          <cell r="R45" t="b">
            <v>0</v>
          </cell>
          <cell r="S45" t="str">
            <v>CRISTIAN RODRIGUEZ</v>
          </cell>
          <cell r="T45" t="str">
            <v>DD09-01</v>
          </cell>
          <cell r="U45">
            <v>2</v>
          </cell>
          <cell r="V45">
            <v>5</v>
          </cell>
        </row>
        <row r="46">
          <cell r="A46" t="str">
            <v>4A</v>
          </cell>
          <cell r="B46" t="str">
            <v>DOMROSARI</v>
          </cell>
          <cell r="C46" t="str">
            <v>20T</v>
          </cell>
          <cell r="D46">
            <v>0</v>
          </cell>
          <cell r="I46">
            <v>0</v>
          </cell>
          <cell r="K46" t="str">
            <v>12:00</v>
          </cell>
          <cell r="S46" t="str">
            <v>CRISTIAN RODRIGUEZ</v>
          </cell>
          <cell r="T46" t="str">
            <v>DD09-02</v>
          </cell>
          <cell r="U46">
            <v>0</v>
          </cell>
          <cell r="V46">
            <v>0</v>
          </cell>
        </row>
        <row r="47">
          <cell r="A47" t="str">
            <v>4A</v>
          </cell>
          <cell r="B47" t="str">
            <v>DOMROSARI</v>
          </cell>
          <cell r="C47" t="str">
            <v>20T</v>
          </cell>
          <cell r="D47">
            <v>971367131</v>
          </cell>
          <cell r="E47" t="str">
            <v>MONTICH</v>
          </cell>
          <cell r="F47" t="str">
            <v>Gral Lopez  1604</v>
          </cell>
          <cell r="G47" t="str">
            <v>Villa Gobernador Galvez</v>
          </cell>
          <cell r="H47" t="str">
            <v>Santa Fe</v>
          </cell>
          <cell r="I47">
            <v>20</v>
          </cell>
          <cell r="J47" t="str">
            <v>12:30</v>
          </cell>
          <cell r="K47" t="str">
            <v>13:00</v>
          </cell>
          <cell r="L47" t="b">
            <v>1</v>
          </cell>
          <cell r="M47" t="b">
            <v>1</v>
          </cell>
          <cell r="N47" t="b">
            <v>1</v>
          </cell>
          <cell r="O47" t="b">
            <v>1</v>
          </cell>
          <cell r="P47" t="b">
            <v>1</v>
          </cell>
          <cell r="Q47" t="b">
            <v>0</v>
          </cell>
          <cell r="R47" t="b">
            <v>0</v>
          </cell>
          <cell r="S47" t="str">
            <v>CRISTIAN RODRIGUEZ</v>
          </cell>
          <cell r="T47" t="str">
            <v>DD09-02</v>
          </cell>
          <cell r="U47">
            <v>1</v>
          </cell>
          <cell r="V47">
            <v>5</v>
          </cell>
        </row>
        <row r="48">
          <cell r="A48" t="str">
            <v>4A</v>
          </cell>
          <cell r="B48" t="str">
            <v>DOMROSARI</v>
          </cell>
          <cell r="C48" t="str">
            <v>20T</v>
          </cell>
          <cell r="D48">
            <v>0</v>
          </cell>
          <cell r="I48">
            <v>20</v>
          </cell>
          <cell r="J48" t="str">
            <v>13:30</v>
          </cell>
          <cell r="L48" t="b">
            <v>1</v>
          </cell>
          <cell r="M48" t="b">
            <v>1</v>
          </cell>
          <cell r="N48" t="b">
            <v>1</v>
          </cell>
          <cell r="O48" t="b">
            <v>1</v>
          </cell>
          <cell r="P48" t="b">
            <v>1</v>
          </cell>
          <cell r="Q48" t="b">
            <v>0</v>
          </cell>
          <cell r="R48" t="b">
            <v>0</v>
          </cell>
          <cell r="S48" t="str">
            <v>CRISTIAN RODRIGUEZ</v>
          </cell>
          <cell r="T48" t="str">
            <v>DD09-02</v>
          </cell>
          <cell r="U48">
            <v>2</v>
          </cell>
          <cell r="V48">
            <v>5</v>
          </cell>
        </row>
        <row r="49">
          <cell r="A49" t="str">
            <v>5</v>
          </cell>
          <cell r="B49" t="str">
            <v>DOMROSARI</v>
          </cell>
          <cell r="C49" t="str">
            <v>20T</v>
          </cell>
          <cell r="D49">
            <v>0</v>
          </cell>
          <cell r="I49">
            <v>0</v>
          </cell>
          <cell r="K49" t="str">
            <v>5:00</v>
          </cell>
          <cell r="S49" t="str">
            <v>ROBERTO BLANCO</v>
          </cell>
          <cell r="T49" t="str">
            <v>DD05-01</v>
          </cell>
          <cell r="U49">
            <v>0</v>
          </cell>
          <cell r="V49">
            <v>0</v>
          </cell>
        </row>
        <row r="50">
          <cell r="A50" t="str">
            <v>5</v>
          </cell>
          <cell r="B50" t="str">
            <v>DOMROSARI</v>
          </cell>
          <cell r="C50" t="str">
            <v>20T</v>
          </cell>
          <cell r="D50">
            <v>971389903</v>
          </cell>
          <cell r="E50" t="str">
            <v>SANTA LUCIA CRISTAL S.A.C.I.F.</v>
          </cell>
          <cell r="F50" t="str">
            <v>BDO. ADER 3060/3180 - MUNRO - BUENOS AIRES</v>
          </cell>
          <cell r="G50" t="str">
            <v>Munro</v>
          </cell>
          <cell r="H50" t="str">
            <v>Buenos Aires</v>
          </cell>
          <cell r="I50">
            <v>17</v>
          </cell>
          <cell r="J50" t="str">
            <v>6:00</v>
          </cell>
          <cell r="K50" t="str">
            <v>7:00</v>
          </cell>
          <cell r="L50" t="b">
            <v>1</v>
          </cell>
          <cell r="M50" t="b">
            <v>1</v>
          </cell>
          <cell r="N50" t="b">
            <v>1</v>
          </cell>
          <cell r="O50" t="b">
            <v>1</v>
          </cell>
          <cell r="P50" t="b">
            <v>1</v>
          </cell>
          <cell r="Q50" t="b">
            <v>0</v>
          </cell>
          <cell r="R50" t="b">
            <v>0</v>
          </cell>
          <cell r="S50" t="str">
            <v>ROBERTO BLANCO</v>
          </cell>
          <cell r="T50" t="str">
            <v>DD05-01</v>
          </cell>
          <cell r="U50">
            <v>1</v>
          </cell>
          <cell r="V50">
            <v>5</v>
          </cell>
        </row>
        <row r="51">
          <cell r="A51" t="str">
            <v>5</v>
          </cell>
          <cell r="B51" t="str">
            <v>DOMROSARI</v>
          </cell>
          <cell r="C51" t="str">
            <v>20T</v>
          </cell>
          <cell r="D51">
            <v>0</v>
          </cell>
          <cell r="I51">
            <v>271</v>
          </cell>
          <cell r="J51" t="str">
            <v>12:00</v>
          </cell>
          <cell r="L51" t="b">
            <v>1</v>
          </cell>
          <cell r="M51" t="b">
            <v>1</v>
          </cell>
          <cell r="N51" t="b">
            <v>1</v>
          </cell>
          <cell r="O51" t="b">
            <v>1</v>
          </cell>
          <cell r="P51" t="b">
            <v>1</v>
          </cell>
          <cell r="Q51" t="b">
            <v>0</v>
          </cell>
          <cell r="R51" t="b">
            <v>0</v>
          </cell>
          <cell r="S51" t="str">
            <v>ROBERTO BLANCO</v>
          </cell>
          <cell r="T51" t="str">
            <v>DD05-01</v>
          </cell>
          <cell r="U51">
            <v>2</v>
          </cell>
          <cell r="V51">
            <v>5</v>
          </cell>
        </row>
        <row r="52">
          <cell r="A52" t="str">
            <v>6</v>
          </cell>
          <cell r="B52" t="str">
            <v>DOMSFER</v>
          </cell>
          <cell r="C52" t="str">
            <v>6T CH</v>
          </cell>
          <cell r="K52" t="str">
            <v>6:30</v>
          </cell>
          <cell r="S52" t="str">
            <v>GUSTAVO ARRAMENDI</v>
          </cell>
          <cell r="T52" t="str">
            <v>DT01-01</v>
          </cell>
          <cell r="U52">
            <v>0</v>
          </cell>
          <cell r="V52">
            <v>0</v>
          </cell>
        </row>
        <row r="53">
          <cell r="A53" t="str">
            <v>6</v>
          </cell>
          <cell r="B53" t="str">
            <v>DOMSFER</v>
          </cell>
          <cell r="C53" t="str">
            <v>6T CH</v>
          </cell>
          <cell r="D53">
            <v>970553996</v>
          </cell>
          <cell r="E53" t="str">
            <v>LODIGIANI &amp; LEALI SAIC</v>
          </cell>
          <cell r="F53" t="str">
            <v>Avda.San Martin 5761</v>
          </cell>
          <cell r="G53" t="str">
            <v>Villa Madero</v>
          </cell>
          <cell r="H53" t="str">
            <v>Buenos Aires</v>
          </cell>
          <cell r="I53">
            <v>48</v>
          </cell>
          <cell r="J53" t="str">
            <v>8:00</v>
          </cell>
          <cell r="K53" t="str">
            <v>8:30</v>
          </cell>
          <cell r="L53" t="b">
            <v>1</v>
          </cell>
          <cell r="M53" t="b">
            <v>0</v>
          </cell>
          <cell r="N53" t="b">
            <v>1</v>
          </cell>
          <cell r="O53" t="b">
            <v>0</v>
          </cell>
          <cell r="P53" t="b">
            <v>1</v>
          </cell>
          <cell r="Q53" t="b">
            <v>0</v>
          </cell>
          <cell r="R53" t="b">
            <v>0</v>
          </cell>
          <cell r="S53" t="str">
            <v>GUSTAVO ARRAMENDI</v>
          </cell>
          <cell r="T53" t="str">
            <v>DT01-01</v>
          </cell>
          <cell r="U53">
            <v>1</v>
          </cell>
          <cell r="V53">
            <v>3</v>
          </cell>
        </row>
        <row r="54">
          <cell r="A54" t="str">
            <v>6</v>
          </cell>
          <cell r="B54" t="str">
            <v>DOMSFER</v>
          </cell>
          <cell r="C54" t="str">
            <v>6T CH</v>
          </cell>
          <cell r="D54">
            <v>970740866</v>
          </cell>
          <cell r="E54" t="str">
            <v>MITHRA</v>
          </cell>
          <cell r="F54" t="str">
            <v>San Martín 2051</v>
          </cell>
          <cell r="G54" t="str">
            <v>Luis Guillon</v>
          </cell>
          <cell r="H54" t="str">
            <v>Buenos Aires</v>
          </cell>
          <cell r="I54">
            <v>20</v>
          </cell>
          <cell r="J54" t="str">
            <v>9:10</v>
          </cell>
          <cell r="K54" t="str">
            <v>9:40</v>
          </cell>
          <cell r="L54" t="b">
            <v>1</v>
          </cell>
          <cell r="M54" t="b">
            <v>0</v>
          </cell>
          <cell r="N54" t="b">
            <v>1</v>
          </cell>
          <cell r="O54" t="b">
            <v>0</v>
          </cell>
          <cell r="P54" t="b">
            <v>1</v>
          </cell>
          <cell r="Q54" t="b">
            <v>0</v>
          </cell>
          <cell r="R54" t="b">
            <v>0</v>
          </cell>
          <cell r="S54" t="str">
            <v>GUSTAVO ARRAMENDI</v>
          </cell>
          <cell r="T54" t="str">
            <v>DT01-01</v>
          </cell>
          <cell r="U54">
            <v>2</v>
          </cell>
          <cell r="V54">
            <v>3</v>
          </cell>
        </row>
        <row r="55">
          <cell r="A55" t="str">
            <v>6</v>
          </cell>
          <cell r="B55" t="str">
            <v>DOMSFER</v>
          </cell>
          <cell r="C55" t="str">
            <v>6T CH</v>
          </cell>
          <cell r="D55">
            <v>971238944</v>
          </cell>
          <cell r="E55" t="str">
            <v>SOGEFI ARGENTINA S.A.I. y C.</v>
          </cell>
          <cell r="F55" t="str">
            <v>Aguilar 3003</v>
          </cell>
          <cell r="G55" t="str">
            <v>Remedios de Escalada</v>
          </cell>
          <cell r="H55" t="str">
            <v>Buenos Aires</v>
          </cell>
          <cell r="I55">
            <v>14</v>
          </cell>
          <cell r="J55" t="str">
            <v>10:00</v>
          </cell>
          <cell r="K55" t="str">
            <v>10:30</v>
          </cell>
          <cell r="L55" t="b">
            <v>1</v>
          </cell>
          <cell r="M55" t="b">
            <v>0</v>
          </cell>
          <cell r="N55" t="b">
            <v>1</v>
          </cell>
          <cell r="O55" t="b">
            <v>0</v>
          </cell>
          <cell r="P55" t="b">
            <v>1</v>
          </cell>
          <cell r="Q55" t="b">
            <v>0</v>
          </cell>
          <cell r="R55" t="b">
            <v>0</v>
          </cell>
          <cell r="S55" t="str">
            <v>GUSTAVO ARRAMENDI</v>
          </cell>
          <cell r="T55" t="str">
            <v>DT01-01</v>
          </cell>
          <cell r="U55">
            <v>3</v>
          </cell>
          <cell r="V55">
            <v>3</v>
          </cell>
        </row>
        <row r="56">
          <cell r="A56" t="str">
            <v>6</v>
          </cell>
          <cell r="B56" t="str">
            <v>DOMSFER</v>
          </cell>
          <cell r="C56" t="str">
            <v>6T CH</v>
          </cell>
          <cell r="D56">
            <v>970198222</v>
          </cell>
          <cell r="E56" t="str">
            <v>HUTCHINSON ARGENTINA</v>
          </cell>
          <cell r="F56" t="str">
            <v>Cuyo 3422</v>
          </cell>
          <cell r="G56" t="str">
            <v>Martinez</v>
          </cell>
          <cell r="H56" t="str">
            <v>Buenos Aires</v>
          </cell>
          <cell r="J56" t="str">
            <v>12:15</v>
          </cell>
          <cell r="K56" t="str">
            <v>12:45</v>
          </cell>
          <cell r="L56" t="b">
            <v>1</v>
          </cell>
          <cell r="M56" t="b">
            <v>0</v>
          </cell>
          <cell r="N56" t="b">
            <v>1</v>
          </cell>
          <cell r="O56" t="b">
            <v>0</v>
          </cell>
          <cell r="P56" t="b">
            <v>1</v>
          </cell>
          <cell r="Q56" t="b">
            <v>0</v>
          </cell>
          <cell r="R56" t="b">
            <v>0</v>
          </cell>
          <cell r="S56" t="str">
            <v>GUSTAVO ARRAMENDI</v>
          </cell>
          <cell r="T56" t="str">
            <v>DT01-01</v>
          </cell>
          <cell r="U56">
            <v>4</v>
          </cell>
          <cell r="V56">
            <v>3</v>
          </cell>
        </row>
        <row r="57">
          <cell r="A57" t="str">
            <v>6</v>
          </cell>
          <cell r="B57" t="str">
            <v>DOMSFER</v>
          </cell>
          <cell r="C57" t="str">
            <v>6T CH</v>
          </cell>
          <cell r="D57">
            <v>970155560</v>
          </cell>
          <cell r="E57" t="str">
            <v>BUFFALO SACI.</v>
          </cell>
          <cell r="F57" t="str">
            <v>BESARES, 1693, (1646) SAN FERNANDO - BUENOS AIRES.</v>
          </cell>
          <cell r="G57" t="str">
            <v>San Fernando</v>
          </cell>
          <cell r="H57" t="str">
            <v>Buenos Aires</v>
          </cell>
          <cell r="I57">
            <v>40</v>
          </cell>
          <cell r="J57" t="str">
            <v>13:10</v>
          </cell>
          <cell r="K57" t="str">
            <v>13:50</v>
          </cell>
          <cell r="L57" t="b">
            <v>1</v>
          </cell>
          <cell r="M57" t="b">
            <v>0</v>
          </cell>
          <cell r="N57" t="b">
            <v>1</v>
          </cell>
          <cell r="O57" t="b">
            <v>0</v>
          </cell>
          <cell r="P57" t="b">
            <v>1</v>
          </cell>
          <cell r="Q57" t="b">
            <v>0</v>
          </cell>
          <cell r="R57" t="b">
            <v>0</v>
          </cell>
          <cell r="S57" t="str">
            <v>GUSTAVO ARRAMENDI</v>
          </cell>
          <cell r="T57" t="str">
            <v>DT01-01</v>
          </cell>
          <cell r="U57">
            <v>5</v>
          </cell>
          <cell r="V57">
            <v>3</v>
          </cell>
        </row>
        <row r="58">
          <cell r="A58" t="str">
            <v>6</v>
          </cell>
          <cell r="B58" t="str">
            <v>DOMSFER</v>
          </cell>
          <cell r="C58" t="str">
            <v>6T CH</v>
          </cell>
          <cell r="I58">
            <v>3</v>
          </cell>
          <cell r="J58" t="str">
            <v>14:05</v>
          </cell>
          <cell r="L58" t="b">
            <v>1</v>
          </cell>
          <cell r="M58" t="b">
            <v>0</v>
          </cell>
          <cell r="N58" t="b">
            <v>1</v>
          </cell>
          <cell r="O58" t="b">
            <v>0</v>
          </cell>
          <cell r="P58" t="b">
            <v>1</v>
          </cell>
          <cell r="Q58" t="b">
            <v>0</v>
          </cell>
          <cell r="R58" t="b">
            <v>0</v>
          </cell>
          <cell r="S58" t="str">
            <v>GUSTAVO ARRAMENDI</v>
          </cell>
          <cell r="T58" t="str">
            <v>DT01-01</v>
          </cell>
          <cell r="U58">
            <v>6</v>
          </cell>
          <cell r="V58">
            <v>3</v>
          </cell>
        </row>
        <row r="59">
          <cell r="A59" t="str">
            <v>7</v>
          </cell>
          <cell r="B59" t="str">
            <v>DOMROSARI</v>
          </cell>
          <cell r="D59">
            <v>0</v>
          </cell>
          <cell r="K59" t="str">
            <v>0:30</v>
          </cell>
          <cell r="S59" t="str">
            <v>JORGE TORRES</v>
          </cell>
          <cell r="T59" t="str">
            <v>DB07-01</v>
          </cell>
          <cell r="U59">
            <v>0</v>
          </cell>
          <cell r="V59">
            <v>0</v>
          </cell>
        </row>
        <row r="60">
          <cell r="A60" t="str">
            <v>7</v>
          </cell>
          <cell r="B60" t="str">
            <v>DOMROSARI</v>
          </cell>
          <cell r="D60">
            <v>970533857</v>
          </cell>
          <cell r="E60" t="str">
            <v>BRIDGESTONE-FIRESTONE ARGENTINA</v>
          </cell>
          <cell r="F60" t="str">
            <v>AV. ANTARTIDA ARGENTINA 2715 - (Kloosterman 2100)</v>
          </cell>
          <cell r="G60" t="str">
            <v>LAVALLOL - (Monte Chingolo)</v>
          </cell>
          <cell r="H60" t="str">
            <v>Buenos Aires</v>
          </cell>
          <cell r="I60">
            <v>300</v>
          </cell>
          <cell r="J60" t="str">
            <v>7:05</v>
          </cell>
          <cell r="K60" t="str">
            <v>8:05</v>
          </cell>
          <cell r="L60" t="b">
            <v>0</v>
          </cell>
          <cell r="M60" t="b">
            <v>1</v>
          </cell>
          <cell r="N60" t="b">
            <v>0</v>
          </cell>
          <cell r="O60" t="b">
            <v>1</v>
          </cell>
          <cell r="P60" t="b">
            <v>0</v>
          </cell>
          <cell r="Q60" t="b">
            <v>0</v>
          </cell>
          <cell r="R60" t="b">
            <v>0</v>
          </cell>
          <cell r="S60" t="str">
            <v>JORGE TORRES</v>
          </cell>
          <cell r="T60" t="str">
            <v>DB07-01</v>
          </cell>
          <cell r="U60">
            <v>1</v>
          </cell>
          <cell r="V60">
            <v>2</v>
          </cell>
        </row>
        <row r="61">
          <cell r="A61" t="str">
            <v>7</v>
          </cell>
          <cell r="B61" t="str">
            <v>DOMROSARI</v>
          </cell>
          <cell r="D61">
            <v>970000188</v>
          </cell>
          <cell r="E61" t="str">
            <v>NEUMATICOS GOODYEAR S/A</v>
          </cell>
          <cell r="F61" t="str">
            <v>Rodriguez 1265</v>
          </cell>
          <cell r="G61" t="str">
            <v>Hurlingham</v>
          </cell>
          <cell r="H61" t="str">
            <v>Buenos Aires</v>
          </cell>
          <cell r="I61">
            <v>36</v>
          </cell>
          <cell r="J61" t="str">
            <v>9:50</v>
          </cell>
          <cell r="K61" t="str">
            <v>11:50</v>
          </cell>
          <cell r="L61" t="b">
            <v>0</v>
          </cell>
          <cell r="M61" t="b">
            <v>1</v>
          </cell>
          <cell r="N61" t="b">
            <v>0</v>
          </cell>
          <cell r="O61" t="b">
            <v>1</v>
          </cell>
          <cell r="P61" t="b">
            <v>0</v>
          </cell>
          <cell r="Q61" t="b">
            <v>0</v>
          </cell>
          <cell r="R61" t="b">
            <v>0</v>
          </cell>
          <cell r="S61" t="str">
            <v>JORGE TORRES</v>
          </cell>
          <cell r="T61" t="str">
            <v>DB07-01</v>
          </cell>
          <cell r="U61">
            <v>2</v>
          </cell>
          <cell r="V61">
            <v>2</v>
          </cell>
        </row>
        <row r="62">
          <cell r="A62" t="str">
            <v>7</v>
          </cell>
          <cell r="B62" t="str">
            <v>DOMROSARI</v>
          </cell>
          <cell r="D62">
            <v>970155636</v>
          </cell>
          <cell r="E62" t="str">
            <v>FATE</v>
          </cell>
          <cell r="F62" t="str">
            <v>Blanco Encalada 3003</v>
          </cell>
          <cell r="G62" t="str">
            <v>San Fernando</v>
          </cell>
          <cell r="H62" t="str">
            <v>Buenos Aires</v>
          </cell>
          <cell r="I62">
            <v>22</v>
          </cell>
          <cell r="J62" t="str">
            <v>13:35</v>
          </cell>
          <cell r="K62" t="str">
            <v>14:35</v>
          </cell>
          <cell r="L62" t="b">
            <v>0</v>
          </cell>
          <cell r="M62" t="b">
            <v>1</v>
          </cell>
          <cell r="N62" t="b">
            <v>0</v>
          </cell>
          <cell r="O62" t="b">
            <v>1</v>
          </cell>
          <cell r="P62" t="b">
            <v>0</v>
          </cell>
          <cell r="Q62" t="b">
            <v>0</v>
          </cell>
          <cell r="R62" t="b">
            <v>0</v>
          </cell>
          <cell r="S62" t="str">
            <v>JORGE TORRES</v>
          </cell>
          <cell r="T62" t="str">
            <v>DB07-01</v>
          </cell>
          <cell r="U62">
            <v>3</v>
          </cell>
          <cell r="V62">
            <v>2</v>
          </cell>
        </row>
        <row r="63">
          <cell r="A63" t="str">
            <v>7</v>
          </cell>
          <cell r="B63" t="str">
            <v>DOMROSARI</v>
          </cell>
          <cell r="D63">
            <v>16</v>
          </cell>
          <cell r="E63" t="str">
            <v>CENTRO ARMADO GOODYEAR</v>
          </cell>
          <cell r="F63" t="str">
            <v>Ameghino 1150</v>
          </cell>
          <cell r="G63" t="str">
            <v>Rosario</v>
          </cell>
          <cell r="H63" t="str">
            <v>Santa Fe</v>
          </cell>
          <cell r="I63">
            <v>300</v>
          </cell>
          <cell r="J63" t="str">
            <v>6:00</v>
          </cell>
          <cell r="K63" t="str">
            <v>8:00</v>
          </cell>
          <cell r="S63" t="str">
            <v>JORGE TORRES</v>
          </cell>
          <cell r="T63" t="str">
            <v>DB07-01</v>
          </cell>
          <cell r="U63">
            <v>4</v>
          </cell>
          <cell r="V63">
            <v>0</v>
          </cell>
        </row>
        <row r="64">
          <cell r="A64" t="str">
            <v>7</v>
          </cell>
          <cell r="B64" t="str">
            <v>DOMROSARI</v>
          </cell>
          <cell r="D64">
            <v>0</v>
          </cell>
          <cell r="J64" t="str">
            <v>8:00</v>
          </cell>
          <cell r="S64" t="str">
            <v>JORGE TORRES</v>
          </cell>
          <cell r="T64" t="str">
            <v>DB07-01</v>
          </cell>
          <cell r="U64">
            <v>5</v>
          </cell>
          <cell r="V64">
            <v>0</v>
          </cell>
        </row>
        <row r="65">
          <cell r="A65" t="str">
            <v>8</v>
          </cell>
          <cell r="B65" t="str">
            <v>DOMROSARI</v>
          </cell>
          <cell r="C65" t="str">
            <v>6T</v>
          </cell>
          <cell r="D65">
            <v>0</v>
          </cell>
          <cell r="K65" t="str">
            <v>7:45</v>
          </cell>
          <cell r="S65" t="str">
            <v>SEBASTIAN ALESSANDRÍA</v>
          </cell>
          <cell r="T65" t="str">
            <v>DS08-01</v>
          </cell>
          <cell r="U65">
            <v>0</v>
          </cell>
          <cell r="V65">
            <v>0</v>
          </cell>
        </row>
        <row r="66">
          <cell r="A66" t="str">
            <v>8</v>
          </cell>
          <cell r="B66" t="str">
            <v>DOMROSARI</v>
          </cell>
          <cell r="C66" t="str">
            <v>6T</v>
          </cell>
          <cell r="D66">
            <v>971393459</v>
          </cell>
          <cell r="E66" t="str">
            <v>ROMANE S.A.</v>
          </cell>
          <cell r="F66" t="str">
            <v>Vera Mujica 63</v>
          </cell>
          <cell r="G66" t="str">
            <v>Rosario</v>
          </cell>
          <cell r="H66" t="str">
            <v>Santa Fe</v>
          </cell>
          <cell r="I66">
            <v>38</v>
          </cell>
          <cell r="J66" t="str">
            <v>8:30</v>
          </cell>
          <cell r="K66" t="str">
            <v>8:45</v>
          </cell>
          <cell r="L66" t="b">
            <v>0</v>
          </cell>
          <cell r="M66" t="b">
            <v>0</v>
          </cell>
          <cell r="N66" t="b">
            <v>1</v>
          </cell>
          <cell r="O66" t="b">
            <v>0</v>
          </cell>
          <cell r="P66" t="b">
            <v>0</v>
          </cell>
          <cell r="Q66" t="b">
            <v>0</v>
          </cell>
          <cell r="R66" t="b">
            <v>0</v>
          </cell>
          <cell r="S66" t="str">
            <v>SEBASTIAN ALESSANDRÍA</v>
          </cell>
          <cell r="T66" t="str">
            <v>DS08-01</v>
          </cell>
          <cell r="U66">
            <v>1</v>
          </cell>
          <cell r="V66">
            <v>1</v>
          </cell>
        </row>
        <row r="67">
          <cell r="A67" t="str">
            <v>8</v>
          </cell>
          <cell r="B67" t="str">
            <v>DOMROSARI</v>
          </cell>
          <cell r="C67" t="str">
            <v>6T</v>
          </cell>
          <cell r="D67">
            <v>971430962</v>
          </cell>
          <cell r="E67" t="str">
            <v>MAHLE S.A. DE ARGENTINA</v>
          </cell>
          <cell r="F67" t="str">
            <v>R. LAMADRID 3065</v>
          </cell>
          <cell r="G67" t="str">
            <v>Santa Fe</v>
          </cell>
          <cell r="H67" t="str">
            <v>Santa Fe</v>
          </cell>
          <cell r="I67">
            <v>200</v>
          </cell>
          <cell r="J67" t="str">
            <v>12:00</v>
          </cell>
          <cell r="K67" t="str">
            <v>12:30</v>
          </cell>
          <cell r="L67" t="b">
            <v>0</v>
          </cell>
          <cell r="M67" t="b">
            <v>0</v>
          </cell>
          <cell r="N67" t="b">
            <v>1</v>
          </cell>
          <cell r="O67" t="b">
            <v>0</v>
          </cell>
          <cell r="P67" t="b">
            <v>0</v>
          </cell>
          <cell r="Q67" t="b">
            <v>0</v>
          </cell>
          <cell r="R67" t="b">
            <v>0</v>
          </cell>
          <cell r="S67" t="str">
            <v>SEBASTIAN ALESSANDRÍA</v>
          </cell>
          <cell r="T67" t="str">
            <v>DS08-01</v>
          </cell>
          <cell r="U67">
            <v>2</v>
          </cell>
          <cell r="V67">
            <v>1</v>
          </cell>
        </row>
        <row r="68">
          <cell r="A68" t="str">
            <v>8</v>
          </cell>
          <cell r="B68" t="str">
            <v>DOMROSARI</v>
          </cell>
          <cell r="C68" t="str">
            <v>6T</v>
          </cell>
          <cell r="D68">
            <v>971230685</v>
          </cell>
          <cell r="E68" t="str">
            <v>SACHS AUTOMOTIVE ARGENTINA S.A.</v>
          </cell>
          <cell r="F68" t="str">
            <v>Av. De la Universidad 51</v>
          </cell>
          <cell r="G68" t="str">
            <v>San Francisco</v>
          </cell>
          <cell r="H68" t="str">
            <v>Cordoba</v>
          </cell>
          <cell r="I68">
            <v>176</v>
          </cell>
          <cell r="J68" t="str">
            <v>15:30</v>
          </cell>
          <cell r="K68" t="str">
            <v>16:00</v>
          </cell>
          <cell r="L68" t="b">
            <v>0</v>
          </cell>
          <cell r="M68" t="b">
            <v>0</v>
          </cell>
          <cell r="N68" t="b">
            <v>1</v>
          </cell>
          <cell r="O68" t="b">
            <v>0</v>
          </cell>
          <cell r="P68" t="b">
            <v>0</v>
          </cell>
          <cell r="Q68" t="b">
            <v>0</v>
          </cell>
          <cell r="R68" t="b">
            <v>0</v>
          </cell>
          <cell r="S68" t="str">
            <v>SEBASTIAN ALESSANDRÍA</v>
          </cell>
          <cell r="T68" t="str">
            <v>DS08-01</v>
          </cell>
          <cell r="U68">
            <v>3</v>
          </cell>
          <cell r="V68">
            <v>1</v>
          </cell>
        </row>
        <row r="69">
          <cell r="A69" t="str">
            <v>8</v>
          </cell>
          <cell r="B69" t="str">
            <v>DOMROSARI</v>
          </cell>
          <cell r="C69" t="str">
            <v>6T</v>
          </cell>
          <cell r="D69">
            <v>0</v>
          </cell>
          <cell r="I69">
            <v>376</v>
          </cell>
          <cell r="J69" t="str">
            <v>8:00</v>
          </cell>
          <cell r="L69" t="b">
            <v>0</v>
          </cell>
          <cell r="M69" t="b">
            <v>0</v>
          </cell>
          <cell r="N69" t="b">
            <v>0</v>
          </cell>
          <cell r="O69" t="b">
            <v>1</v>
          </cell>
          <cell r="P69" t="b">
            <v>0</v>
          </cell>
          <cell r="Q69" t="b">
            <v>0</v>
          </cell>
          <cell r="R69" t="b">
            <v>0</v>
          </cell>
          <cell r="S69" t="str">
            <v>SEBASTIAN ALESSANDRÍA</v>
          </cell>
          <cell r="T69" t="str">
            <v>DS08-01</v>
          </cell>
          <cell r="U69">
            <v>4</v>
          </cell>
          <cell r="V69">
            <v>1</v>
          </cell>
        </row>
        <row r="70">
          <cell r="A70" t="str">
            <v>9</v>
          </cell>
          <cell r="B70" t="str">
            <v>DOMSFER</v>
          </cell>
          <cell r="C70" t="str">
            <v>6T CH</v>
          </cell>
          <cell r="K70" t="str">
            <v>6:30</v>
          </cell>
          <cell r="S70" t="str">
            <v>MARCELO RICHIARDI</v>
          </cell>
          <cell r="T70" t="str">
            <v>DT12-01</v>
          </cell>
          <cell r="U70">
            <v>0</v>
          </cell>
          <cell r="V70">
            <v>0</v>
          </cell>
        </row>
        <row r="71">
          <cell r="A71" t="str">
            <v>9</v>
          </cell>
          <cell r="B71" t="str">
            <v>DOMSFER</v>
          </cell>
          <cell r="C71" t="str">
            <v>6T CH</v>
          </cell>
          <cell r="D71">
            <v>970548194</v>
          </cell>
          <cell r="E71" t="str">
            <v>FAMAR FUEGUINA S.A.</v>
          </cell>
          <cell r="F71" t="str">
            <v>Leiva 4314</v>
          </cell>
          <cell r="G71" t="str">
            <v>Capital Federal</v>
          </cell>
          <cell r="H71" t="str">
            <v>Buenos Aires</v>
          </cell>
          <cell r="I71">
            <v>22</v>
          </cell>
          <cell r="J71" t="str">
            <v>8:00</v>
          </cell>
          <cell r="K71" t="str">
            <v>8:30</v>
          </cell>
          <cell r="L71" t="b">
            <v>1</v>
          </cell>
          <cell r="M71" t="b">
            <v>0</v>
          </cell>
          <cell r="N71" t="b">
            <v>1</v>
          </cell>
          <cell r="O71" t="b">
            <v>0</v>
          </cell>
          <cell r="P71" t="b">
            <v>1</v>
          </cell>
          <cell r="Q71" t="b">
            <v>0</v>
          </cell>
          <cell r="R71" t="b">
            <v>0</v>
          </cell>
          <cell r="S71" t="str">
            <v>MARCELO RICHIARDI</v>
          </cell>
          <cell r="T71" t="str">
            <v>DT12-01</v>
          </cell>
          <cell r="U71">
            <v>1</v>
          </cell>
          <cell r="V71">
            <v>3</v>
          </cell>
        </row>
        <row r="72">
          <cell r="A72" t="str">
            <v>9</v>
          </cell>
          <cell r="B72" t="str">
            <v>DOMSFER</v>
          </cell>
          <cell r="C72" t="str">
            <v>6T CH</v>
          </cell>
          <cell r="D72">
            <v>971253679</v>
          </cell>
          <cell r="E72" t="str">
            <v>BOSCH ARGENTINA S.A.</v>
          </cell>
          <cell r="F72" t="str">
            <v>CALLE, 34 N. 4358 - SAN MARTIN - BUENOS AIRES (BUSCAR CALLE GODOY)</v>
          </cell>
          <cell r="G72" t="str">
            <v>San Martin</v>
          </cell>
          <cell r="H72" t="str">
            <v>Buenos Aires</v>
          </cell>
          <cell r="I72">
            <v>8</v>
          </cell>
          <cell r="J72" t="str">
            <v>9:15</v>
          </cell>
          <cell r="K72" t="str">
            <v>9:45</v>
          </cell>
          <cell r="L72" t="b">
            <v>1</v>
          </cell>
          <cell r="M72" t="b">
            <v>0</v>
          </cell>
          <cell r="N72" t="b">
            <v>1</v>
          </cell>
          <cell r="O72" t="b">
            <v>0</v>
          </cell>
          <cell r="P72" t="b">
            <v>1</v>
          </cell>
          <cell r="Q72" t="b">
            <v>0</v>
          </cell>
          <cell r="R72" t="b">
            <v>0</v>
          </cell>
          <cell r="S72" t="str">
            <v>MARCELO RICHIARDI</v>
          </cell>
          <cell r="T72" t="str">
            <v>DT12-01</v>
          </cell>
          <cell r="U72">
            <v>2</v>
          </cell>
          <cell r="V72">
            <v>3</v>
          </cell>
        </row>
        <row r="73">
          <cell r="A73" t="str">
            <v>9</v>
          </cell>
          <cell r="B73" t="str">
            <v>DOMSFER</v>
          </cell>
          <cell r="C73" t="str">
            <v>6T CH</v>
          </cell>
          <cell r="D73">
            <v>971713136</v>
          </cell>
          <cell r="E73" t="str">
            <v>ACD TRIDON</v>
          </cell>
          <cell r="F73" t="str">
            <v>1 de Agosto (109) 4455 - San martín</v>
          </cell>
          <cell r="G73" t="str">
            <v>Villa Ballester</v>
          </cell>
          <cell r="H73" t="str">
            <v>Buenos Aires</v>
          </cell>
          <cell r="I73">
            <v>20</v>
          </cell>
          <cell r="J73" t="str">
            <v>10:00</v>
          </cell>
          <cell r="K73" t="str">
            <v>10:30</v>
          </cell>
          <cell r="L73" t="b">
            <v>1</v>
          </cell>
          <cell r="M73" t="b">
            <v>0</v>
          </cell>
          <cell r="N73" t="b">
            <v>1</v>
          </cell>
          <cell r="O73" t="b">
            <v>0</v>
          </cell>
          <cell r="P73" t="b">
            <v>1</v>
          </cell>
          <cell r="Q73" t="b">
            <v>0</v>
          </cell>
          <cell r="R73" t="b">
            <v>0</v>
          </cell>
          <cell r="S73" t="str">
            <v>MARCELO RICHIARDI</v>
          </cell>
          <cell r="T73" t="str">
            <v>DT12-01</v>
          </cell>
          <cell r="U73">
            <v>3</v>
          </cell>
          <cell r="V73">
            <v>3</v>
          </cell>
        </row>
        <row r="74">
          <cell r="A74" t="str">
            <v>9</v>
          </cell>
          <cell r="B74" t="str">
            <v>DOMSFER</v>
          </cell>
          <cell r="C74" t="str">
            <v>6T CH</v>
          </cell>
          <cell r="D74">
            <v>971051610</v>
          </cell>
          <cell r="E74" t="str">
            <v>VALEO TERMICO</v>
          </cell>
          <cell r="F74" t="str">
            <v>Hipólito Yrigoyen 4747</v>
          </cell>
          <cell r="G74" t="str">
            <v>Munro</v>
          </cell>
          <cell r="H74" t="str">
            <v>Buenos Aires</v>
          </cell>
          <cell r="I74">
            <v>7</v>
          </cell>
          <cell r="J74" t="str">
            <v>11:00</v>
          </cell>
          <cell r="K74" t="str">
            <v>11:40</v>
          </cell>
          <cell r="L74" t="b">
            <v>1</v>
          </cell>
          <cell r="M74" t="b">
            <v>0</v>
          </cell>
          <cell r="N74" t="b">
            <v>1</v>
          </cell>
          <cell r="O74" t="b">
            <v>0</v>
          </cell>
          <cell r="P74" t="b">
            <v>1</v>
          </cell>
          <cell r="Q74" t="b">
            <v>0</v>
          </cell>
          <cell r="R74" t="b">
            <v>0</v>
          </cell>
          <cell r="S74" t="str">
            <v>MARCELO RICHIARDI</v>
          </cell>
          <cell r="T74" t="str">
            <v>DT12-01</v>
          </cell>
          <cell r="U74">
            <v>4</v>
          </cell>
          <cell r="V74">
            <v>3</v>
          </cell>
        </row>
        <row r="75">
          <cell r="A75" t="str">
            <v>9</v>
          </cell>
          <cell r="B75" t="str">
            <v>DOMSFER</v>
          </cell>
          <cell r="C75" t="str">
            <v>6T CH</v>
          </cell>
          <cell r="D75">
            <v>970868071</v>
          </cell>
          <cell r="E75" t="str">
            <v>FRENOS VARGA S.A.</v>
          </cell>
          <cell r="F75" t="str">
            <v>MARIA DE MONTES DE OCA 6430</v>
          </cell>
          <cell r="G75" t="str">
            <v>Munro</v>
          </cell>
          <cell r="H75" t="str">
            <v>Buenos Aires</v>
          </cell>
          <cell r="I75">
            <v>1</v>
          </cell>
          <cell r="J75" t="str">
            <v>11:50</v>
          </cell>
          <cell r="K75" t="str">
            <v>12:20</v>
          </cell>
          <cell r="L75" t="b">
            <v>1</v>
          </cell>
          <cell r="M75" t="b">
            <v>0</v>
          </cell>
          <cell r="N75" t="b">
            <v>1</v>
          </cell>
          <cell r="O75" t="b">
            <v>0</v>
          </cell>
          <cell r="P75" t="b">
            <v>1</v>
          </cell>
          <cell r="Q75" t="b">
            <v>0</v>
          </cell>
          <cell r="R75" t="b">
            <v>0</v>
          </cell>
          <cell r="S75" t="str">
            <v>MARCELO RICHIARDI</v>
          </cell>
          <cell r="T75" t="str">
            <v>DT12-01</v>
          </cell>
          <cell r="U75">
            <v>5</v>
          </cell>
          <cell r="V75">
            <v>3</v>
          </cell>
        </row>
        <row r="76">
          <cell r="A76" t="str">
            <v>9</v>
          </cell>
          <cell r="B76" t="str">
            <v>DOMSFER</v>
          </cell>
          <cell r="C76" t="str">
            <v>6T CH</v>
          </cell>
          <cell r="D76">
            <v>971241773</v>
          </cell>
          <cell r="E76" t="str">
            <v>BUNDY ARGENTINA S.A.</v>
          </cell>
          <cell r="F76" t="str">
            <v>CALLE JUNCAL 3561 - VICTORIA - BUENOS AIRES</v>
          </cell>
          <cell r="G76" t="str">
            <v>Victoria</v>
          </cell>
          <cell r="H76" t="str">
            <v>Buenos Aires</v>
          </cell>
          <cell r="I76">
            <v>8</v>
          </cell>
          <cell r="J76" t="str">
            <v>13:00</v>
          </cell>
          <cell r="K76" t="str">
            <v>13:30</v>
          </cell>
          <cell r="L76" t="b">
            <v>1</v>
          </cell>
          <cell r="M76" t="b">
            <v>0</v>
          </cell>
          <cell r="N76" t="b">
            <v>1</v>
          </cell>
          <cell r="O76" t="b">
            <v>0</v>
          </cell>
          <cell r="P76" t="b">
            <v>1</v>
          </cell>
          <cell r="Q76" t="b">
            <v>0</v>
          </cell>
          <cell r="R76" t="b">
            <v>0</v>
          </cell>
          <cell r="S76" t="str">
            <v>MARCELO RICHIARDI</v>
          </cell>
          <cell r="T76" t="str">
            <v>DT12-01</v>
          </cell>
          <cell r="U76">
            <v>6</v>
          </cell>
          <cell r="V76">
            <v>3</v>
          </cell>
        </row>
        <row r="77">
          <cell r="A77" t="str">
            <v>9</v>
          </cell>
          <cell r="B77" t="str">
            <v>DOMSFER</v>
          </cell>
          <cell r="C77" t="str">
            <v>6T CH</v>
          </cell>
          <cell r="I77">
            <v>2</v>
          </cell>
          <cell r="J77" t="str">
            <v>13:45</v>
          </cell>
          <cell r="L77" t="b">
            <v>1</v>
          </cell>
          <cell r="M77" t="b">
            <v>0</v>
          </cell>
          <cell r="N77" t="b">
            <v>1</v>
          </cell>
          <cell r="O77" t="b">
            <v>0</v>
          </cell>
          <cell r="P77" t="b">
            <v>1</v>
          </cell>
          <cell r="Q77" t="b">
            <v>0</v>
          </cell>
          <cell r="R77" t="b">
            <v>0</v>
          </cell>
          <cell r="S77" t="str">
            <v>MARCELO RICHIARDI</v>
          </cell>
          <cell r="T77" t="str">
            <v>DT12-01</v>
          </cell>
          <cell r="U77">
            <v>7</v>
          </cell>
          <cell r="V77">
            <v>3</v>
          </cell>
        </row>
        <row r="78">
          <cell r="A78" t="str">
            <v>DL1</v>
          </cell>
          <cell r="B78" t="str">
            <v>ROSARIO</v>
          </cell>
          <cell r="C78" t="str">
            <v>20T</v>
          </cell>
          <cell r="D78">
            <v>0</v>
          </cell>
          <cell r="K78" t="str">
            <v>1:00</v>
          </cell>
          <cell r="S78" t="str">
            <v>ELVIO BOBBERA</v>
          </cell>
          <cell r="T78" t="str">
            <v>DL01</v>
          </cell>
          <cell r="U78">
            <v>0</v>
          </cell>
          <cell r="V78">
            <v>0</v>
          </cell>
        </row>
        <row r="79">
          <cell r="A79" t="str">
            <v>DL1</v>
          </cell>
          <cell r="B79" t="str">
            <v>ROSARIO</v>
          </cell>
          <cell r="C79" t="str">
            <v>20T</v>
          </cell>
          <cell r="D79">
            <v>14</v>
          </cell>
          <cell r="E79" t="str">
            <v>DOMSFER</v>
          </cell>
          <cell r="F79" t="str">
            <v>Juncal 1358</v>
          </cell>
          <cell r="G79" t="str">
            <v>San Fernando</v>
          </cell>
          <cell r="H79" t="str">
            <v>Buenos Aires</v>
          </cell>
          <cell r="I79">
            <v>300</v>
          </cell>
          <cell r="J79" t="str">
            <v>6:00</v>
          </cell>
          <cell r="K79" t="str">
            <v>7:00</v>
          </cell>
          <cell r="L79" t="b">
            <v>1</v>
          </cell>
          <cell r="M79" t="b">
            <v>1</v>
          </cell>
          <cell r="N79" t="b">
            <v>0</v>
          </cell>
          <cell r="O79" t="b">
            <v>1</v>
          </cell>
          <cell r="P79" t="b">
            <v>0</v>
          </cell>
          <cell r="Q79" t="b">
            <v>0</v>
          </cell>
          <cell r="R79" t="b">
            <v>0</v>
          </cell>
          <cell r="S79" t="str">
            <v>ELVIO BOBBERA</v>
          </cell>
          <cell r="T79" t="str">
            <v>DL01</v>
          </cell>
          <cell r="U79">
            <v>1</v>
          </cell>
          <cell r="V79">
            <v>3</v>
          </cell>
        </row>
        <row r="80">
          <cell r="A80" t="str">
            <v>DL1</v>
          </cell>
          <cell r="B80" t="str">
            <v>ROSARIO</v>
          </cell>
          <cell r="C80" t="str">
            <v>20T</v>
          </cell>
          <cell r="D80">
            <v>0</v>
          </cell>
          <cell r="I80">
            <v>300</v>
          </cell>
          <cell r="J80" t="str">
            <v>12:00</v>
          </cell>
          <cell r="L80" t="b">
            <v>1</v>
          </cell>
          <cell r="M80" t="b">
            <v>1</v>
          </cell>
          <cell r="N80" t="b">
            <v>0</v>
          </cell>
          <cell r="O80" t="b">
            <v>1</v>
          </cell>
          <cell r="P80" t="b">
            <v>0</v>
          </cell>
          <cell r="Q80" t="b">
            <v>0</v>
          </cell>
          <cell r="R80" t="b">
            <v>0</v>
          </cell>
          <cell r="S80" t="str">
            <v>ELVIO BOBBERA</v>
          </cell>
          <cell r="T80" t="str">
            <v>DL01</v>
          </cell>
          <cell r="U80">
            <v>2</v>
          </cell>
          <cell r="V80">
            <v>3</v>
          </cell>
        </row>
      </sheetData>
      <sheetData sheetId="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Stockage"/>
      <sheetName val="Volumes E-S"/>
      <sheetName val="Budget Détaillé"/>
      <sheetName val="Budget UO"/>
      <sheetName val="Process"/>
      <sheetName val="Budget Informatique"/>
      <sheetName val="constantes"/>
      <sheetName val="Feuil1"/>
      <sheetName val="Feuil10"/>
      <sheetName val="Feuil11"/>
      <sheetName val="Feuil12"/>
      <sheetName val="Feuil13"/>
      <sheetName val="Feuil14"/>
      <sheetName val="Feuil15"/>
      <sheetName val="Feuil16"/>
      <sheetName val="Actual"/>
      <sheetName val="Proposal"/>
    </sheetNames>
    <sheetDataSet>
      <sheetData sheetId="0" refreshError="1"/>
      <sheetData sheetId="1" refreshError="1"/>
      <sheetData sheetId="2" refreshError="1"/>
      <sheetData sheetId="3" refreshError="1"/>
      <sheetData sheetId="4" refreshError="1"/>
      <sheetData sheetId="5" refreshError="1"/>
      <sheetData sheetId="6" refreshError="1">
        <row r="3">
          <cell r="E3">
            <v>6.4340301100034303E-3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emo"/>
      <sheetName val="MMA"/>
      <sheetName val="Test"/>
      <sheetName val="Test2"/>
      <sheetName val="XREF"/>
      <sheetName val="Tickmarks"/>
      <sheetName val="constantes"/>
    </sheetNames>
    <sheetDataSet>
      <sheetData sheetId="0" refreshError="1"/>
      <sheetData sheetId="1" refreshError="1"/>
      <sheetData sheetId="2"/>
      <sheetData sheetId="3"/>
      <sheetData sheetId="4"/>
      <sheetData sheetId="5" refreshError="1"/>
      <sheetData sheetId="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PG VR $"/>
      <sheetName val="PG Amort. $"/>
      <sheetName val="PG VR U$$"/>
      <sheetName val="PG Amort. U$S"/>
      <sheetName val="Resumen"/>
      <sheetName val="AltasOM"/>
      <sheetName val="Bajas"/>
      <sheetName val="Bs. Agotaron VU"/>
      <sheetName val="Anexo 31-12-01 "/>
      <sheetName val="XREF"/>
      <sheetName val="Tickmarks"/>
      <sheetName val="Test"/>
      <sheetName val="PGL Amortizacione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oja2"/>
      <sheetName val="Total Gefco"/>
      <sheetName val="Hoja1"/>
      <sheetName val="Total por Actividad"/>
      <sheetName val="Hoja3"/>
      <sheetName val="DetalleRDVM"/>
      <sheetName val="DetalleRMLAP"/>
      <sheetName val="DetalleILI"/>
      <sheetName val="DetalleRMA"/>
      <sheetName val="Subtotal"/>
      <sheetName val="DetalleAduana"/>
      <sheetName val="DetalleMateriales"/>
      <sheetName val="DetallePacheco"/>
      <sheetName val="DetalleGarin"/>
      <sheetName val="DetalleVehiculos"/>
      <sheetName val="DetalleMadero"/>
      <sheetName val="DetalleCordoba"/>
      <sheetName val="DetalleRepuestos"/>
      <sheetName val="DetalleRosario"/>
      <sheetName val="TableroAutomatico_2005"/>
      <sheetName val="Feuil3"/>
      <sheetName val="econ.data"/>
      <sheetName val="Metrics"/>
    </sheetNames>
    <sheetDataSet>
      <sheetData sheetId="0" refreshError="1"/>
      <sheetData sheetId="1" refreshError="1"/>
      <sheetData sheetId="2" refreshError="1"/>
      <sheetData sheetId="3" refreshError="1">
        <row r="2">
          <cell r="A2" t="str">
            <v>AR$ '000</v>
          </cell>
        </row>
        <row r="4">
          <cell r="A4">
            <v>1</v>
          </cell>
        </row>
        <row r="5">
          <cell r="A5">
            <v>1</v>
          </cell>
        </row>
        <row r="6">
          <cell r="A6">
            <v>2</v>
          </cell>
        </row>
        <row r="7">
          <cell r="A7" t="str">
            <v>Año: 2005</v>
          </cell>
        </row>
        <row r="8">
          <cell r="A8" t="str">
            <v>Total por Actividad</v>
          </cell>
        </row>
        <row r="9">
          <cell r="B9" t="str">
            <v>Enero</v>
          </cell>
          <cell r="I9" t="str">
            <v>Febrero</v>
          </cell>
          <cell r="P9" t="str">
            <v>Marzo</v>
          </cell>
          <cell r="W9" t="str">
            <v>Abril</v>
          </cell>
          <cell r="AD9" t="str">
            <v>Mayo</v>
          </cell>
          <cell r="AK9" t="str">
            <v>Junio</v>
          </cell>
        </row>
        <row r="10">
          <cell r="A10" t="str">
            <v>Descripción</v>
          </cell>
          <cell r="B10" t="str">
            <v>RMA</v>
          </cell>
          <cell r="C10" t="str">
            <v>RMLAP</v>
          </cell>
          <cell r="D10" t="str">
            <v>PVNO</v>
          </cell>
          <cell r="E10" t="str">
            <v>ILI</v>
          </cell>
          <cell r="F10" t="str">
            <v>RDVM</v>
          </cell>
          <cell r="G10" t="str">
            <v>Un. De Servicios</v>
          </cell>
          <cell r="H10" t="str">
            <v>Total Enero</v>
          </cell>
          <cell r="I10" t="str">
            <v>RMA</v>
          </cell>
          <cell r="J10" t="str">
            <v>RMLAP</v>
          </cell>
          <cell r="K10" t="str">
            <v>PVNO</v>
          </cell>
          <cell r="L10" t="str">
            <v>ILI</v>
          </cell>
          <cell r="M10" t="str">
            <v>RDVM</v>
          </cell>
          <cell r="N10" t="str">
            <v>Un. De Servicios</v>
          </cell>
          <cell r="O10" t="str">
            <v>Total Febrero</v>
          </cell>
          <cell r="P10" t="str">
            <v>RMA</v>
          </cell>
          <cell r="Q10" t="str">
            <v>RMLAP</v>
          </cell>
          <cell r="R10" t="str">
            <v>PVNO</v>
          </cell>
          <cell r="S10" t="str">
            <v>ILI</v>
          </cell>
          <cell r="T10" t="str">
            <v>RDVM</v>
          </cell>
          <cell r="U10" t="str">
            <v>Un. De Servicios</v>
          </cell>
          <cell r="V10" t="str">
            <v>Total Marzo</v>
          </cell>
          <cell r="W10" t="str">
            <v>RMA</v>
          </cell>
          <cell r="X10" t="str">
            <v>RMLAP</v>
          </cell>
          <cell r="Y10" t="str">
            <v>PVNO</v>
          </cell>
          <cell r="Z10" t="str">
            <v>ILI</v>
          </cell>
          <cell r="AA10" t="str">
            <v>RDVM</v>
          </cell>
          <cell r="AB10" t="str">
            <v>Un. De Servicios</v>
          </cell>
          <cell r="AC10" t="str">
            <v>Total Abril</v>
          </cell>
          <cell r="AD10" t="str">
            <v>RMA</v>
          </cell>
          <cell r="AE10" t="str">
            <v>RMLAP</v>
          </cell>
          <cell r="AF10" t="str">
            <v>PVNO</v>
          </cell>
          <cell r="AG10" t="str">
            <v>ILI</v>
          </cell>
          <cell r="AH10" t="str">
            <v>RDVM</v>
          </cell>
          <cell r="AI10" t="str">
            <v>Un. De Servicios</v>
          </cell>
          <cell r="AJ10" t="str">
            <v>Total Mayo</v>
          </cell>
          <cell r="AK10" t="str">
            <v>RMA</v>
          </cell>
          <cell r="AL10" t="str">
            <v>RMLAP</v>
          </cell>
          <cell r="AM10" t="str">
            <v>PVNO</v>
          </cell>
          <cell r="AN10" t="str">
            <v>ILI</v>
          </cell>
          <cell r="AO10" t="str">
            <v>RDVM</v>
          </cell>
          <cell r="AP10" t="str">
            <v>Un. De Servicios</v>
          </cell>
          <cell r="AQ10" t="str">
            <v>Total Junio</v>
          </cell>
        </row>
        <row r="12">
          <cell r="A12" t="str">
            <v>Ventes Hors Groupe PSA</v>
          </cell>
          <cell r="B12">
            <v>1597.29</v>
          </cell>
          <cell r="C12">
            <v>395.89</v>
          </cell>
          <cell r="D12">
            <v>1.34</v>
          </cell>
          <cell r="E12">
            <v>318.44</v>
          </cell>
          <cell r="F12">
            <v>109.73</v>
          </cell>
          <cell r="G12">
            <v>0</v>
          </cell>
          <cell r="H12">
            <v>2422.6899999999996</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A13" t="str">
            <v>Ventes Horas Groupe KN</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row>
        <row r="14">
          <cell r="A14" t="str">
            <v>Ventes Groupe Gefco</v>
          </cell>
          <cell r="B14">
            <v>15.62</v>
          </cell>
          <cell r="C14">
            <v>-0.49</v>
          </cell>
          <cell r="D14">
            <v>21.98</v>
          </cell>
          <cell r="E14">
            <v>0</v>
          </cell>
          <cell r="F14">
            <v>-0.3</v>
          </cell>
          <cell r="G14">
            <v>0</v>
          </cell>
          <cell r="H14">
            <v>36.81</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A15" t="str">
            <v>Ventes Groupe PSA Consolidé</v>
          </cell>
          <cell r="B15">
            <v>1594.82</v>
          </cell>
          <cell r="C15">
            <v>1800.38</v>
          </cell>
          <cell r="D15">
            <v>108.14</v>
          </cell>
          <cell r="E15">
            <v>121.3</v>
          </cell>
          <cell r="F15">
            <v>3644.89</v>
          </cell>
          <cell r="G15">
            <v>0</v>
          </cell>
          <cell r="H15">
            <v>7269.53</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A16" t="str">
            <v>Total Ventes Externes</v>
          </cell>
          <cell r="B16">
            <v>3207.7299999999996</v>
          </cell>
          <cell r="C16">
            <v>2195.7800000000002</v>
          </cell>
          <cell r="D16">
            <v>131.46</v>
          </cell>
          <cell r="E16">
            <v>439.74</v>
          </cell>
          <cell r="F16">
            <v>3754.3199999999997</v>
          </cell>
          <cell r="G16">
            <v>0</v>
          </cell>
          <cell r="H16">
            <v>9729.0299999999988</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A17" t="str">
            <v>Ventes Inter-Centres</v>
          </cell>
          <cell r="B17">
            <v>6.14</v>
          </cell>
          <cell r="C17">
            <v>288.77</v>
          </cell>
          <cell r="D17">
            <v>0</v>
          </cell>
          <cell r="E17">
            <v>0</v>
          </cell>
          <cell r="F17">
            <v>46.13</v>
          </cell>
          <cell r="G17">
            <v>0</v>
          </cell>
          <cell r="H17">
            <v>341.03999999999996</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row>
        <row r="18">
          <cell r="A18" t="str">
            <v>Ventes Inter-Activités</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row>
        <row r="19">
          <cell r="A19" t="str">
            <v>Ventes Internes Autres</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A20" t="str">
            <v>Total Ventes Internes</v>
          </cell>
          <cell r="B20">
            <v>6.14</v>
          </cell>
          <cell r="C20">
            <v>288.77</v>
          </cell>
          <cell r="D20">
            <v>0</v>
          </cell>
          <cell r="E20">
            <v>0</v>
          </cell>
          <cell r="F20">
            <v>46.13</v>
          </cell>
          <cell r="G20">
            <v>0</v>
          </cell>
          <cell r="H20">
            <v>341.03999999999996</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row>
        <row r="21">
          <cell r="A21" t="str">
            <v>Total Ventes</v>
          </cell>
          <cell r="B21">
            <v>3213.8699999999994</v>
          </cell>
          <cell r="C21">
            <v>2484.5500000000002</v>
          </cell>
          <cell r="D21">
            <v>131.46</v>
          </cell>
          <cell r="E21">
            <v>439.74</v>
          </cell>
          <cell r="F21">
            <v>3800.45</v>
          </cell>
          <cell r="G21">
            <v>0</v>
          </cell>
          <cell r="H21">
            <v>10070.07</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Y21">
            <v>0</v>
          </cell>
          <cell r="AZ21">
            <v>0</v>
          </cell>
          <cell r="BA21">
            <v>0</v>
          </cell>
          <cell r="BB21">
            <v>0</v>
          </cell>
          <cell r="BC21">
            <v>0</v>
          </cell>
          <cell r="BF21">
            <v>0</v>
          </cell>
          <cell r="BG21">
            <v>0</v>
          </cell>
          <cell r="BH21">
            <v>0</v>
          </cell>
          <cell r="BI21">
            <v>0</v>
          </cell>
          <cell r="BJ21">
            <v>0</v>
          </cell>
          <cell r="BM21">
            <v>0</v>
          </cell>
          <cell r="BN21">
            <v>0</v>
          </cell>
          <cell r="BO21">
            <v>0</v>
          </cell>
          <cell r="BP21">
            <v>0</v>
          </cell>
          <cell r="BQ21">
            <v>0</v>
          </cell>
          <cell r="BT21">
            <v>0</v>
          </cell>
          <cell r="BU21">
            <v>50</v>
          </cell>
          <cell r="BV21">
            <v>0</v>
          </cell>
          <cell r="BW21">
            <v>0</v>
          </cell>
          <cell r="BX21">
            <v>0</v>
          </cell>
          <cell r="CA21">
            <v>0</v>
          </cell>
          <cell r="CB21">
            <v>0</v>
          </cell>
          <cell r="CC21">
            <v>0</v>
          </cell>
          <cell r="CD21">
            <v>0</v>
          </cell>
          <cell r="CE21">
            <v>0</v>
          </cell>
        </row>
        <row r="22">
          <cell r="A22" t="str">
            <v>Achats Routes</v>
          </cell>
          <cell r="B22">
            <v>-315.25</v>
          </cell>
          <cell r="C22">
            <v>1620.64</v>
          </cell>
          <cell r="D22">
            <v>-1.66</v>
          </cell>
          <cell r="E22">
            <v>1.75</v>
          </cell>
          <cell r="F22">
            <v>1015.15</v>
          </cell>
          <cell r="G22">
            <v>0</v>
          </cell>
          <cell r="H22">
            <v>2320.63</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A23" t="str">
            <v>Achats Fer</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A24" t="str">
            <v>Achats Mer</v>
          </cell>
          <cell r="B24">
            <v>1471.9</v>
          </cell>
          <cell r="C24">
            <v>0</v>
          </cell>
          <cell r="D24">
            <v>0</v>
          </cell>
          <cell r="E24">
            <v>0</v>
          </cell>
          <cell r="F24">
            <v>1679.68</v>
          </cell>
          <cell r="G24">
            <v>0</v>
          </cell>
          <cell r="H24">
            <v>3151.58</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row>
        <row r="25">
          <cell r="A25" t="str">
            <v>Achats Aériens</v>
          </cell>
          <cell r="B25">
            <v>448.84</v>
          </cell>
          <cell r="C25">
            <v>0</v>
          </cell>
          <cell r="D25">
            <v>0</v>
          </cell>
          <cell r="E25">
            <v>0</v>
          </cell>
          <cell r="F25">
            <v>0</v>
          </cell>
          <cell r="G25">
            <v>0</v>
          </cell>
          <cell r="H25">
            <v>448.84</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A26" t="str">
            <v>Achats Fluviaux</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A27" t="str">
            <v>Achats Autres</v>
          </cell>
          <cell r="B27">
            <v>839.5</v>
          </cell>
          <cell r="C27">
            <v>226.7</v>
          </cell>
          <cell r="D27">
            <v>87.99</v>
          </cell>
          <cell r="E27">
            <v>80.47</v>
          </cell>
          <cell r="F27">
            <v>109.41</v>
          </cell>
          <cell r="G27">
            <v>0</v>
          </cell>
          <cell r="H27">
            <v>1344.0700000000002</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A28" t="str">
            <v>Total Achats Externes</v>
          </cell>
          <cell r="B28">
            <v>2444.9899999999998</v>
          </cell>
          <cell r="C28">
            <v>1847.3400000000001</v>
          </cell>
          <cell r="D28">
            <v>86.33</v>
          </cell>
          <cell r="E28">
            <v>82.22</v>
          </cell>
          <cell r="F28">
            <v>2804.24</v>
          </cell>
          <cell r="G28">
            <v>0</v>
          </cell>
          <cell r="H28">
            <v>7265.1200000000008</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A29" t="str">
            <v>Total Achats Inter-Centres</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A30" t="str">
            <v>Achats Inter-Activités</v>
          </cell>
          <cell r="B30">
            <v>12</v>
          </cell>
          <cell r="C30">
            <v>283.76</v>
          </cell>
          <cell r="D30">
            <v>0</v>
          </cell>
          <cell r="E30">
            <v>0</v>
          </cell>
          <cell r="F30">
            <v>46.13</v>
          </cell>
          <cell r="G30">
            <v>0</v>
          </cell>
          <cell r="H30">
            <v>341.89</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A31" t="str">
            <v>Achat Internes Autres</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row>
        <row r="32">
          <cell r="A32" t="str">
            <v>Total Achat Internes</v>
          </cell>
          <cell r="B32">
            <v>12</v>
          </cell>
          <cell r="C32">
            <v>283.76</v>
          </cell>
          <cell r="D32">
            <v>0</v>
          </cell>
          <cell r="E32">
            <v>0</v>
          </cell>
          <cell r="F32">
            <v>46.13</v>
          </cell>
          <cell r="G32">
            <v>0</v>
          </cell>
          <cell r="H32">
            <v>341.89</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row>
        <row r="33">
          <cell r="A33" t="str">
            <v>Achats</v>
          </cell>
          <cell r="B33">
            <v>2456.9899999999998</v>
          </cell>
          <cell r="C33">
            <v>2131.1000000000004</v>
          </cell>
          <cell r="D33">
            <v>86.33</v>
          </cell>
          <cell r="E33">
            <v>82.22</v>
          </cell>
          <cell r="F33">
            <v>2850.37</v>
          </cell>
          <cell r="G33">
            <v>0</v>
          </cell>
          <cell r="H33">
            <v>7607.0100000000011</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Y33">
            <v>0</v>
          </cell>
          <cell r="AZ33">
            <v>0</v>
          </cell>
          <cell r="BF33">
            <v>0</v>
          </cell>
        </row>
        <row r="34">
          <cell r="A34" t="str">
            <v>Marge Commerciale</v>
          </cell>
          <cell r="B34">
            <v>756.87999999999965</v>
          </cell>
          <cell r="C34">
            <v>353.44999999999982</v>
          </cell>
          <cell r="D34">
            <v>45.13000000000001</v>
          </cell>
          <cell r="E34">
            <v>357.52</v>
          </cell>
          <cell r="F34">
            <v>950.07999999999993</v>
          </cell>
          <cell r="G34">
            <v>0</v>
          </cell>
          <cell r="H34">
            <v>2463.0599999999986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row>
        <row r="35">
          <cell r="A35" t="str">
            <v>% Mg. Com. - $</v>
          </cell>
          <cell r="B35">
            <v>0.23550423632567583</v>
          </cell>
          <cell r="C35">
            <v>0.14225916161880411</v>
          </cell>
          <cell r="D35">
            <v>0.34329834170089768</v>
          </cell>
          <cell r="E35">
            <v>0.81302587892845768</v>
          </cell>
          <cell r="F35">
            <v>0.24999144838111276</v>
          </cell>
          <cell r="G35">
            <v>0</v>
          </cell>
          <cell r="H35">
            <v>0.24459214285501477</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row>
        <row r="36">
          <cell r="A36" t="str">
            <v>Salaires et charges</v>
          </cell>
          <cell r="B36">
            <v>109.36</v>
          </cell>
          <cell r="C36">
            <v>102.99</v>
          </cell>
          <cell r="D36">
            <v>3.17</v>
          </cell>
          <cell r="E36">
            <v>86.79</v>
          </cell>
          <cell r="F36">
            <v>63.91</v>
          </cell>
          <cell r="G36">
            <v>174.04999999999998</v>
          </cell>
          <cell r="H36">
            <v>540.27</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37">
          <cell r="A37" t="str">
            <v>Ind. diverses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A38" t="str">
            <v>Prov. pour primes</v>
          </cell>
          <cell r="B38">
            <v>6.57</v>
          </cell>
          <cell r="C38">
            <v>6.36</v>
          </cell>
          <cell r="D38">
            <v>0.19</v>
          </cell>
          <cell r="E38">
            <v>5.19</v>
          </cell>
          <cell r="F38">
            <v>4.0599999999999996</v>
          </cell>
          <cell r="G38">
            <v>12.3</v>
          </cell>
          <cell r="H38">
            <v>34.67</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row>
        <row r="39">
          <cell r="A39" t="str">
            <v>Prov. pour CP</v>
          </cell>
          <cell r="B39">
            <v>0.65</v>
          </cell>
          <cell r="C39">
            <v>0.48</v>
          </cell>
          <cell r="D39">
            <v>0.01</v>
          </cell>
          <cell r="E39">
            <v>0.27</v>
          </cell>
          <cell r="F39">
            <v>0.37</v>
          </cell>
          <cell r="G39">
            <v>1.56</v>
          </cell>
          <cell r="H39">
            <v>3.34</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row>
        <row r="40">
          <cell r="A40" t="str">
            <v>Interim</v>
          </cell>
          <cell r="B40">
            <v>21.72</v>
          </cell>
          <cell r="C40">
            <v>21.42</v>
          </cell>
          <cell r="D40">
            <v>6.49</v>
          </cell>
          <cell r="E40">
            <v>49.1</v>
          </cell>
          <cell r="F40">
            <v>34.369999999999997</v>
          </cell>
          <cell r="G40">
            <v>9.3699999999999992</v>
          </cell>
          <cell r="H40">
            <v>142.47</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A41" t="str">
            <v>Cantine</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A42" t="str">
            <v>Formation</v>
          </cell>
          <cell r="B42">
            <v>0.17</v>
          </cell>
          <cell r="C42">
            <v>0.15</v>
          </cell>
          <cell r="D42">
            <v>0</v>
          </cell>
          <cell r="E42">
            <v>-0.03</v>
          </cell>
          <cell r="F42">
            <v>0</v>
          </cell>
          <cell r="G42">
            <v>3.08</v>
          </cell>
          <cell r="H42">
            <v>3.37</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row>
      </sheetData>
      <sheetData sheetId="4" refreshError="1"/>
      <sheetData sheetId="5" refreshError="1"/>
      <sheetData sheetId="6" refreshError="1">
        <row r="1">
          <cell r="A1" t="str">
            <v>AR$ '000</v>
          </cell>
        </row>
        <row r="5">
          <cell r="A5">
            <v>2</v>
          </cell>
        </row>
        <row r="6">
          <cell r="A6" t="str">
            <v>Año: 2005</v>
          </cell>
        </row>
        <row r="7">
          <cell r="A7" t="str">
            <v>Detalle RMLAP</v>
          </cell>
        </row>
        <row r="8">
          <cell r="B8" t="str">
            <v>Enero</v>
          </cell>
          <cell r="M8" t="str">
            <v>Febrero</v>
          </cell>
          <cell r="X8" t="str">
            <v>Marzo</v>
          </cell>
          <cell r="AI8" t="str">
            <v>Abril</v>
          </cell>
          <cell r="AT8" t="str">
            <v>Mayo</v>
          </cell>
          <cell r="BE8" t="str">
            <v>Junio</v>
          </cell>
        </row>
        <row r="9">
          <cell r="A9" t="str">
            <v>Descripción</v>
          </cell>
          <cell r="B9" t="str">
            <v>Distrib. Nacional</v>
          </cell>
          <cell r="E9" t="str">
            <v>Internacional</v>
          </cell>
          <cell r="J9" t="str">
            <v>Estructura transporte</v>
          </cell>
          <cell r="K9" t="str">
            <v>Fijo</v>
          </cell>
          <cell r="L9" t="str">
            <v>Total</v>
          </cell>
          <cell r="M9" t="str">
            <v>Distrib. Nacional</v>
          </cell>
          <cell r="P9" t="str">
            <v>Internacional</v>
          </cell>
          <cell r="U9" t="str">
            <v>Estructura transporte</v>
          </cell>
          <cell r="V9" t="str">
            <v>Fijo</v>
          </cell>
          <cell r="W9" t="str">
            <v>Total</v>
          </cell>
          <cell r="X9" t="str">
            <v>Distrib. Nacional</v>
          </cell>
          <cell r="AA9" t="str">
            <v>Internacional</v>
          </cell>
          <cell r="AF9" t="str">
            <v>Estructura transporte</v>
          </cell>
          <cell r="AG9" t="str">
            <v>Fijo</v>
          </cell>
          <cell r="AH9" t="str">
            <v>Total</v>
          </cell>
          <cell r="AI9" t="str">
            <v>Distrib. Nacional</v>
          </cell>
          <cell r="AL9" t="str">
            <v>Internacional</v>
          </cell>
          <cell r="AQ9" t="str">
            <v>Estructura transporte</v>
          </cell>
          <cell r="AR9" t="str">
            <v>Fijo</v>
          </cell>
          <cell r="AS9" t="str">
            <v>Total</v>
          </cell>
          <cell r="AT9" t="str">
            <v>Distrib. Nacional</v>
          </cell>
          <cell r="AW9" t="str">
            <v>Internacional</v>
          </cell>
          <cell r="BB9" t="str">
            <v>Estructura transporte</v>
          </cell>
          <cell r="BC9" t="str">
            <v>Fijo</v>
          </cell>
          <cell r="BD9" t="str">
            <v>Total</v>
          </cell>
          <cell r="BE9" t="str">
            <v>Distrib. Nacional</v>
          </cell>
          <cell r="BH9" t="str">
            <v>Internacional</v>
          </cell>
        </row>
        <row r="10">
          <cell r="B10" t="str">
            <v>Milkrun</v>
          </cell>
          <cell r="C10" t="str">
            <v>Repuestos</v>
          </cell>
          <cell r="D10" t="str">
            <v>Terceros</v>
          </cell>
          <cell r="E10" t="str">
            <v>Cordoba</v>
          </cell>
          <cell r="F10" t="str">
            <v>Rosario</v>
          </cell>
          <cell r="G10" t="str">
            <v>Madero</v>
          </cell>
          <cell r="H10" t="str">
            <v>Brasil</v>
          </cell>
          <cell r="I10" t="str">
            <v>Aduana</v>
          </cell>
          <cell r="M10" t="str">
            <v>Milkrun</v>
          </cell>
          <cell r="N10" t="str">
            <v>Repuestos</v>
          </cell>
          <cell r="O10" t="str">
            <v>Terceros</v>
          </cell>
          <cell r="P10" t="str">
            <v>Cordoba</v>
          </cell>
          <cell r="Q10" t="str">
            <v>Rosario</v>
          </cell>
          <cell r="R10" t="str">
            <v>Madero</v>
          </cell>
          <cell r="S10" t="str">
            <v>Brasil</v>
          </cell>
          <cell r="T10" t="str">
            <v>Aduana</v>
          </cell>
          <cell r="X10" t="str">
            <v>Milkrun</v>
          </cell>
          <cell r="Y10" t="str">
            <v>Repuestos</v>
          </cell>
          <cell r="Z10" t="str">
            <v>Terceros</v>
          </cell>
          <cell r="AA10" t="str">
            <v>Cordoba</v>
          </cell>
          <cell r="AB10" t="str">
            <v>Rosario</v>
          </cell>
          <cell r="AC10" t="str">
            <v>Madero</v>
          </cell>
          <cell r="AD10" t="str">
            <v>Brasil</v>
          </cell>
          <cell r="AE10" t="str">
            <v>Aduana</v>
          </cell>
          <cell r="AI10" t="str">
            <v>Milkrun</v>
          </cell>
          <cell r="AJ10" t="str">
            <v>Repuestos</v>
          </cell>
          <cell r="AK10" t="str">
            <v>Terceros</v>
          </cell>
          <cell r="AL10" t="str">
            <v>Cordoba</v>
          </cell>
          <cell r="AM10" t="str">
            <v>Rosario</v>
          </cell>
          <cell r="AN10" t="str">
            <v>Madero</v>
          </cell>
          <cell r="AO10" t="str">
            <v>Brasil</v>
          </cell>
          <cell r="AP10" t="str">
            <v>Aduana</v>
          </cell>
          <cell r="AT10" t="str">
            <v>Milkrun</v>
          </cell>
          <cell r="AU10" t="str">
            <v>Repuestos</v>
          </cell>
          <cell r="AV10" t="str">
            <v>Terceros</v>
          </cell>
          <cell r="AW10" t="str">
            <v>Cordoba</v>
          </cell>
          <cell r="AX10" t="str">
            <v>Rosario</v>
          </cell>
          <cell r="AY10" t="str">
            <v>Madero</v>
          </cell>
          <cell r="AZ10" t="str">
            <v>Brasil</v>
          </cell>
          <cell r="BA10" t="str">
            <v>Aduana</v>
          </cell>
          <cell r="BE10" t="str">
            <v>Milkrun</v>
          </cell>
          <cell r="BF10" t="str">
            <v>Repuestos</v>
          </cell>
          <cell r="BG10" t="str">
            <v>Terceros</v>
          </cell>
          <cell r="BH10" t="str">
            <v>Cordoba</v>
          </cell>
          <cell r="BI10" t="str">
            <v>Rosario</v>
          </cell>
        </row>
        <row r="12">
          <cell r="A12" t="str">
            <v>Ventes Hors Groupe PSA</v>
          </cell>
          <cell r="B12">
            <v>58.57</v>
          </cell>
          <cell r="C12">
            <v>0</v>
          </cell>
          <cell r="D12">
            <v>189.89</v>
          </cell>
          <cell r="E12">
            <v>10.51</v>
          </cell>
          <cell r="F12">
            <v>41.2</v>
          </cell>
          <cell r="G12">
            <v>40.159999999999997</v>
          </cell>
          <cell r="H12">
            <v>51.22</v>
          </cell>
          <cell r="I12">
            <v>0</v>
          </cell>
          <cell r="J12">
            <v>4.3499999999999996</v>
          </cell>
          <cell r="L12">
            <v>395.9</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H12">
            <v>0</v>
          </cell>
          <cell r="AI12">
            <v>0</v>
          </cell>
          <cell r="AJ12">
            <v>0</v>
          </cell>
          <cell r="AK12">
            <v>0</v>
          </cell>
          <cell r="AL12">
            <v>0</v>
          </cell>
          <cell r="AM12">
            <v>0</v>
          </cell>
          <cell r="AN12">
            <v>0</v>
          </cell>
          <cell r="AO12">
            <v>0</v>
          </cell>
          <cell r="AP12">
            <v>0</v>
          </cell>
          <cell r="AQ12">
            <v>0</v>
          </cell>
          <cell r="AS12">
            <v>0</v>
          </cell>
          <cell r="AT12">
            <v>0</v>
          </cell>
          <cell r="AU12">
            <v>0</v>
          </cell>
          <cell r="AV12">
            <v>0</v>
          </cell>
          <cell r="AW12">
            <v>0</v>
          </cell>
          <cell r="AX12">
            <v>0</v>
          </cell>
          <cell r="AY12">
            <v>0</v>
          </cell>
          <cell r="AZ12">
            <v>0</v>
          </cell>
          <cell r="BA12">
            <v>0</v>
          </cell>
          <cell r="BB12">
            <v>0</v>
          </cell>
          <cell r="BD12">
            <v>0</v>
          </cell>
          <cell r="BE12">
            <v>0</v>
          </cell>
          <cell r="BF12">
            <v>0</v>
          </cell>
          <cell r="BG12">
            <v>0</v>
          </cell>
          <cell r="BH12">
            <v>0</v>
          </cell>
          <cell r="BI12">
            <v>0</v>
          </cell>
          <cell r="BS12">
            <v>0</v>
          </cell>
          <cell r="CC12">
            <v>0</v>
          </cell>
          <cell r="CM12">
            <v>0</v>
          </cell>
          <cell r="CW12">
            <v>0</v>
          </cell>
          <cell r="DG12">
            <v>0</v>
          </cell>
        </row>
        <row r="13">
          <cell r="A13" t="str">
            <v>Ventes Horas Groupe KN</v>
          </cell>
          <cell r="B13">
            <v>0</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H13">
            <v>0</v>
          </cell>
          <cell r="AI13">
            <v>0</v>
          </cell>
          <cell r="AJ13">
            <v>0</v>
          </cell>
          <cell r="AK13">
            <v>0</v>
          </cell>
          <cell r="AL13">
            <v>0</v>
          </cell>
          <cell r="AM13">
            <v>0</v>
          </cell>
          <cell r="AN13">
            <v>0</v>
          </cell>
          <cell r="AO13">
            <v>0</v>
          </cell>
          <cell r="AP13">
            <v>0</v>
          </cell>
          <cell r="AQ13">
            <v>0</v>
          </cell>
          <cell r="AS13">
            <v>0</v>
          </cell>
          <cell r="AT13">
            <v>0</v>
          </cell>
          <cell r="AU13">
            <v>0</v>
          </cell>
          <cell r="AV13">
            <v>0</v>
          </cell>
          <cell r="AW13">
            <v>0</v>
          </cell>
          <cell r="AX13">
            <v>0</v>
          </cell>
          <cell r="AY13">
            <v>0</v>
          </cell>
          <cell r="AZ13">
            <v>0</v>
          </cell>
          <cell r="BA13">
            <v>0</v>
          </cell>
          <cell r="BB13">
            <v>0</v>
          </cell>
          <cell r="BD13">
            <v>0</v>
          </cell>
          <cell r="BE13">
            <v>0</v>
          </cell>
          <cell r="BF13">
            <v>0</v>
          </cell>
          <cell r="BG13">
            <v>0</v>
          </cell>
          <cell r="BH13">
            <v>0</v>
          </cell>
          <cell r="BI13">
            <v>0</v>
          </cell>
          <cell r="BS13">
            <v>0</v>
          </cell>
          <cell r="CC13">
            <v>0</v>
          </cell>
          <cell r="CM13">
            <v>0</v>
          </cell>
          <cell r="CW13">
            <v>0</v>
          </cell>
          <cell r="DG13">
            <v>0</v>
          </cell>
        </row>
        <row r="14">
          <cell r="A14" t="str">
            <v>Ventes Groupe Gefco</v>
          </cell>
          <cell r="B14">
            <v>0</v>
          </cell>
          <cell r="C14">
            <v>0</v>
          </cell>
          <cell r="D14">
            <v>0</v>
          </cell>
          <cell r="E14">
            <v>-0.49</v>
          </cell>
          <cell r="F14">
            <v>0</v>
          </cell>
          <cell r="G14">
            <v>0</v>
          </cell>
          <cell r="H14">
            <v>0</v>
          </cell>
          <cell r="I14">
            <v>0</v>
          </cell>
          <cell r="J14">
            <v>0</v>
          </cell>
          <cell r="L14">
            <v>-0.49</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H14">
            <v>0</v>
          </cell>
          <cell r="AI14">
            <v>0</v>
          </cell>
          <cell r="AJ14">
            <v>0</v>
          </cell>
          <cell r="AK14">
            <v>0</v>
          </cell>
          <cell r="AL14">
            <v>0</v>
          </cell>
          <cell r="AM14">
            <v>0</v>
          </cell>
          <cell r="AN14">
            <v>0</v>
          </cell>
          <cell r="AO14">
            <v>0</v>
          </cell>
          <cell r="AP14">
            <v>0</v>
          </cell>
          <cell r="AQ14">
            <v>0</v>
          </cell>
          <cell r="AS14">
            <v>0</v>
          </cell>
          <cell r="AT14">
            <v>0</v>
          </cell>
          <cell r="AU14">
            <v>0</v>
          </cell>
          <cell r="AV14">
            <v>0</v>
          </cell>
          <cell r="AW14">
            <v>0</v>
          </cell>
          <cell r="AX14">
            <v>0</v>
          </cell>
          <cell r="AY14">
            <v>0</v>
          </cell>
          <cell r="AZ14">
            <v>0</v>
          </cell>
          <cell r="BA14">
            <v>0</v>
          </cell>
          <cell r="BB14">
            <v>0</v>
          </cell>
          <cell r="BD14">
            <v>0</v>
          </cell>
          <cell r="BE14">
            <v>0</v>
          </cell>
          <cell r="BF14">
            <v>0</v>
          </cell>
          <cell r="BG14">
            <v>0</v>
          </cell>
          <cell r="BH14">
            <v>0</v>
          </cell>
          <cell r="BI14">
            <v>0</v>
          </cell>
          <cell r="BS14">
            <v>0</v>
          </cell>
          <cell r="CC14">
            <v>0</v>
          </cell>
          <cell r="CM14">
            <v>0</v>
          </cell>
          <cell r="CW14">
            <v>0</v>
          </cell>
          <cell r="DG14">
            <v>0</v>
          </cell>
        </row>
        <row r="15">
          <cell r="A15" t="str">
            <v>Ventes Groupe PSA Consolidé</v>
          </cell>
          <cell r="B15">
            <v>292.02000000000004</v>
          </cell>
          <cell r="C15">
            <v>115.18</v>
          </cell>
          <cell r="D15">
            <v>0</v>
          </cell>
          <cell r="E15">
            <v>0</v>
          </cell>
          <cell r="F15">
            <v>0</v>
          </cell>
          <cell r="G15">
            <v>0</v>
          </cell>
          <cell r="H15">
            <v>1259.24</v>
          </cell>
          <cell r="I15">
            <v>69.739999999999995</v>
          </cell>
          <cell r="J15">
            <v>0</v>
          </cell>
          <cell r="K15">
            <v>64.2</v>
          </cell>
          <cell r="L15">
            <v>1800.38</v>
          </cell>
          <cell r="M15">
            <v>-21.57</v>
          </cell>
          <cell r="N15">
            <v>0</v>
          </cell>
          <cell r="O15">
            <v>0</v>
          </cell>
          <cell r="P15">
            <v>0</v>
          </cell>
          <cell r="Q15">
            <v>0</v>
          </cell>
          <cell r="R15">
            <v>0</v>
          </cell>
          <cell r="S15">
            <v>0</v>
          </cell>
          <cell r="T15">
            <v>0</v>
          </cell>
          <cell r="U15">
            <v>0</v>
          </cell>
          <cell r="V15">
            <v>21.57</v>
          </cell>
          <cell r="W15">
            <v>0</v>
          </cell>
          <cell r="X15">
            <v>-64.867500000000007</v>
          </cell>
          <cell r="Y15">
            <v>0</v>
          </cell>
          <cell r="Z15">
            <v>0</v>
          </cell>
          <cell r="AA15">
            <v>0</v>
          </cell>
          <cell r="AB15">
            <v>0</v>
          </cell>
          <cell r="AC15">
            <v>0</v>
          </cell>
          <cell r="AD15">
            <v>0</v>
          </cell>
          <cell r="AE15">
            <v>0</v>
          </cell>
          <cell r="AF15">
            <v>0</v>
          </cell>
          <cell r="AG15">
            <v>64.867500000000007</v>
          </cell>
          <cell r="AH15">
            <v>0</v>
          </cell>
          <cell r="AI15">
            <v>-68.917500000000004</v>
          </cell>
          <cell r="AJ15">
            <v>0</v>
          </cell>
          <cell r="AK15">
            <v>0</v>
          </cell>
          <cell r="AL15">
            <v>0</v>
          </cell>
          <cell r="AM15">
            <v>0</v>
          </cell>
          <cell r="AN15">
            <v>0</v>
          </cell>
          <cell r="AO15">
            <v>0</v>
          </cell>
          <cell r="AP15">
            <v>0</v>
          </cell>
          <cell r="AQ15">
            <v>0</v>
          </cell>
          <cell r="AR15">
            <v>68.917500000000004</v>
          </cell>
          <cell r="AS15">
            <v>0</v>
          </cell>
          <cell r="AT15">
            <v>-102.19499999999999</v>
          </cell>
          <cell r="AU15">
            <v>0</v>
          </cell>
          <cell r="AV15">
            <v>0</v>
          </cell>
          <cell r="AW15">
            <v>0</v>
          </cell>
          <cell r="AX15">
            <v>0</v>
          </cell>
          <cell r="AY15">
            <v>0</v>
          </cell>
          <cell r="AZ15">
            <v>0</v>
          </cell>
          <cell r="BA15">
            <v>0</v>
          </cell>
          <cell r="BB15">
            <v>0</v>
          </cell>
          <cell r="BC15">
            <v>102.19499999999999</v>
          </cell>
          <cell r="BD15">
            <v>0</v>
          </cell>
          <cell r="BE15">
            <v>-120.19499999999999</v>
          </cell>
          <cell r="BF15">
            <v>0</v>
          </cell>
          <cell r="BG15">
            <v>0</v>
          </cell>
          <cell r="BH15">
            <v>0</v>
          </cell>
          <cell r="BI15">
            <v>0</v>
          </cell>
          <cell r="BS15">
            <v>0</v>
          </cell>
          <cell r="CC15">
            <v>0</v>
          </cell>
          <cell r="CM15">
            <v>0</v>
          </cell>
          <cell r="CW15">
            <v>-72.731250000000003</v>
          </cell>
          <cell r="DG15">
            <v>0</v>
          </cell>
          <cell r="DQ15">
            <v>0</v>
          </cell>
        </row>
        <row r="16">
          <cell r="A16" t="str">
            <v>Total Ventes Externes</v>
          </cell>
          <cell r="B16">
            <v>350.59000000000003</v>
          </cell>
          <cell r="C16">
            <v>115.18</v>
          </cell>
          <cell r="D16">
            <v>189.89</v>
          </cell>
          <cell r="E16">
            <v>10.02</v>
          </cell>
          <cell r="F16">
            <v>41.2</v>
          </cell>
          <cell r="G16">
            <v>40.159999999999997</v>
          </cell>
          <cell r="H16">
            <v>1310.46</v>
          </cell>
          <cell r="I16">
            <v>69.739999999999995</v>
          </cell>
          <cell r="J16">
            <v>4.3499999999999996</v>
          </cell>
          <cell r="K16">
            <v>64.2</v>
          </cell>
          <cell r="L16">
            <v>2195.79</v>
          </cell>
          <cell r="M16">
            <v>-21.57</v>
          </cell>
          <cell r="N16">
            <v>0</v>
          </cell>
          <cell r="O16">
            <v>0</v>
          </cell>
          <cell r="P16">
            <v>0</v>
          </cell>
          <cell r="Q16">
            <v>0</v>
          </cell>
          <cell r="R16">
            <v>0</v>
          </cell>
          <cell r="S16">
            <v>0</v>
          </cell>
          <cell r="T16">
            <v>0</v>
          </cell>
          <cell r="U16">
            <v>0</v>
          </cell>
          <cell r="V16">
            <v>21.57</v>
          </cell>
          <cell r="W16">
            <v>0</v>
          </cell>
          <cell r="X16">
            <v>-64.867500000000007</v>
          </cell>
          <cell r="Y16">
            <v>0</v>
          </cell>
          <cell r="Z16">
            <v>0</v>
          </cell>
          <cell r="AA16">
            <v>0</v>
          </cell>
          <cell r="AB16">
            <v>0</v>
          </cell>
          <cell r="AC16">
            <v>0</v>
          </cell>
          <cell r="AD16">
            <v>0</v>
          </cell>
          <cell r="AE16">
            <v>0</v>
          </cell>
          <cell r="AF16">
            <v>0</v>
          </cell>
          <cell r="AG16">
            <v>64.867500000000007</v>
          </cell>
          <cell r="AH16">
            <v>0</v>
          </cell>
          <cell r="AI16">
            <v>-68.917500000000004</v>
          </cell>
          <cell r="AJ16">
            <v>0</v>
          </cell>
          <cell r="AK16">
            <v>0</v>
          </cell>
          <cell r="AL16">
            <v>0</v>
          </cell>
          <cell r="AM16">
            <v>0</v>
          </cell>
          <cell r="AN16">
            <v>0</v>
          </cell>
          <cell r="AO16">
            <v>0</v>
          </cell>
          <cell r="AP16">
            <v>0</v>
          </cell>
          <cell r="AQ16">
            <v>0</v>
          </cell>
          <cell r="AR16">
            <v>68.917500000000004</v>
          </cell>
          <cell r="AS16">
            <v>0</v>
          </cell>
          <cell r="AT16">
            <v>-102.19499999999999</v>
          </cell>
          <cell r="AU16">
            <v>0</v>
          </cell>
          <cell r="AV16">
            <v>0</v>
          </cell>
          <cell r="AW16">
            <v>0</v>
          </cell>
          <cell r="AX16">
            <v>0</v>
          </cell>
          <cell r="AY16">
            <v>0</v>
          </cell>
          <cell r="AZ16">
            <v>0</v>
          </cell>
          <cell r="BA16">
            <v>0</v>
          </cell>
          <cell r="BB16">
            <v>0</v>
          </cell>
          <cell r="BC16">
            <v>102.19499999999999</v>
          </cell>
          <cell r="BD16">
            <v>0</v>
          </cell>
          <cell r="BE16">
            <v>-120.19499999999999</v>
          </cell>
          <cell r="BF16">
            <v>0</v>
          </cell>
          <cell r="BG16">
            <v>0</v>
          </cell>
          <cell r="BH16">
            <v>0</v>
          </cell>
          <cell r="BI16">
            <v>0</v>
          </cell>
          <cell r="BS16">
            <v>0</v>
          </cell>
          <cell r="CC16">
            <v>0</v>
          </cell>
          <cell r="CM16">
            <v>0</v>
          </cell>
          <cell r="CW16">
            <v>-72.731250000000003</v>
          </cell>
          <cell r="DG16">
            <v>0</v>
          </cell>
          <cell r="DQ16">
            <v>0</v>
          </cell>
        </row>
        <row r="17">
          <cell r="A17" t="str">
            <v>Ventes Inter-Centres</v>
          </cell>
          <cell r="B17">
            <v>0</v>
          </cell>
          <cell r="C17">
            <v>0</v>
          </cell>
          <cell r="D17">
            <v>0</v>
          </cell>
          <cell r="E17">
            <v>0</v>
          </cell>
          <cell r="F17">
            <v>0</v>
          </cell>
          <cell r="G17">
            <v>0</v>
          </cell>
          <cell r="H17">
            <v>0</v>
          </cell>
          <cell r="I17">
            <v>0</v>
          </cell>
          <cell r="J17">
            <v>288.77</v>
          </cell>
          <cell r="L17">
            <v>288.77</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H17">
            <v>0</v>
          </cell>
          <cell r="AI17">
            <v>0</v>
          </cell>
          <cell r="AJ17">
            <v>0</v>
          </cell>
          <cell r="AK17">
            <v>0</v>
          </cell>
          <cell r="AL17">
            <v>0</v>
          </cell>
          <cell r="AM17">
            <v>0</v>
          </cell>
          <cell r="AN17">
            <v>0</v>
          </cell>
          <cell r="AO17">
            <v>0</v>
          </cell>
          <cell r="AP17">
            <v>0</v>
          </cell>
          <cell r="AQ17">
            <v>0</v>
          </cell>
          <cell r="AS17">
            <v>0</v>
          </cell>
          <cell r="AT17">
            <v>0</v>
          </cell>
          <cell r="AU17">
            <v>0</v>
          </cell>
          <cell r="AV17">
            <v>0</v>
          </cell>
          <cell r="AW17">
            <v>0</v>
          </cell>
          <cell r="AX17">
            <v>0</v>
          </cell>
          <cell r="AY17">
            <v>0</v>
          </cell>
          <cell r="AZ17">
            <v>0</v>
          </cell>
          <cell r="BA17">
            <v>0</v>
          </cell>
          <cell r="BB17">
            <v>0</v>
          </cell>
          <cell r="BD17">
            <v>0</v>
          </cell>
          <cell r="BE17">
            <v>0</v>
          </cell>
          <cell r="BF17">
            <v>0</v>
          </cell>
          <cell r="BG17">
            <v>0</v>
          </cell>
          <cell r="BH17">
            <v>0</v>
          </cell>
          <cell r="BI17">
            <v>0</v>
          </cell>
          <cell r="BS17">
            <v>0</v>
          </cell>
          <cell r="CC17">
            <v>0</v>
          </cell>
          <cell r="CM17">
            <v>0</v>
          </cell>
          <cell r="CW17">
            <v>0</v>
          </cell>
          <cell r="DG17">
            <v>0</v>
          </cell>
        </row>
        <row r="18">
          <cell r="A18" t="str">
            <v>Ventes Inter-Activités</v>
          </cell>
          <cell r="B18">
            <v>0</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H18">
            <v>0</v>
          </cell>
          <cell r="AI18">
            <v>0</v>
          </cell>
          <cell r="AJ18">
            <v>0</v>
          </cell>
          <cell r="AK18">
            <v>0</v>
          </cell>
          <cell r="AL18">
            <v>0</v>
          </cell>
          <cell r="AM18">
            <v>0</v>
          </cell>
          <cell r="AN18">
            <v>0</v>
          </cell>
          <cell r="AO18">
            <v>0</v>
          </cell>
          <cell r="AP18">
            <v>0</v>
          </cell>
          <cell r="AQ18">
            <v>0</v>
          </cell>
          <cell r="AS18">
            <v>0</v>
          </cell>
          <cell r="AT18">
            <v>0</v>
          </cell>
          <cell r="AU18">
            <v>0</v>
          </cell>
          <cell r="AV18">
            <v>0</v>
          </cell>
          <cell r="AW18">
            <v>0</v>
          </cell>
          <cell r="AX18">
            <v>0</v>
          </cell>
          <cell r="AY18">
            <v>0</v>
          </cell>
          <cell r="AZ18">
            <v>0</v>
          </cell>
          <cell r="BA18">
            <v>0</v>
          </cell>
          <cell r="BB18">
            <v>0</v>
          </cell>
          <cell r="BD18">
            <v>0</v>
          </cell>
          <cell r="BE18">
            <v>0</v>
          </cell>
          <cell r="BF18">
            <v>0</v>
          </cell>
          <cell r="BG18">
            <v>0</v>
          </cell>
          <cell r="BH18">
            <v>0</v>
          </cell>
          <cell r="BI18">
            <v>0</v>
          </cell>
          <cell r="BS18">
            <v>0</v>
          </cell>
          <cell r="CC18">
            <v>0</v>
          </cell>
          <cell r="CM18">
            <v>0</v>
          </cell>
          <cell r="CW18">
            <v>0</v>
          </cell>
          <cell r="DG18">
            <v>0</v>
          </cell>
        </row>
        <row r="19">
          <cell r="A19" t="str">
            <v>Ventes Internes Autres</v>
          </cell>
          <cell r="B19">
            <v>0</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H19">
            <v>0</v>
          </cell>
          <cell r="AI19">
            <v>0</v>
          </cell>
          <cell r="AJ19">
            <v>0</v>
          </cell>
          <cell r="AK19">
            <v>0</v>
          </cell>
          <cell r="AL19">
            <v>0</v>
          </cell>
          <cell r="AM19">
            <v>0</v>
          </cell>
          <cell r="AN19">
            <v>0</v>
          </cell>
          <cell r="AO19">
            <v>0</v>
          </cell>
          <cell r="AP19">
            <v>0</v>
          </cell>
          <cell r="AQ19">
            <v>0</v>
          </cell>
          <cell r="AS19">
            <v>0</v>
          </cell>
          <cell r="AT19">
            <v>0</v>
          </cell>
          <cell r="AU19">
            <v>0</v>
          </cell>
          <cell r="AV19">
            <v>0</v>
          </cell>
          <cell r="AW19">
            <v>0</v>
          </cell>
          <cell r="AX19">
            <v>0</v>
          </cell>
          <cell r="AY19">
            <v>0</v>
          </cell>
          <cell r="AZ19">
            <v>0</v>
          </cell>
          <cell r="BA19">
            <v>0</v>
          </cell>
          <cell r="BB19">
            <v>0</v>
          </cell>
          <cell r="BD19">
            <v>0</v>
          </cell>
          <cell r="BE19">
            <v>0</v>
          </cell>
          <cell r="BF19">
            <v>0</v>
          </cell>
          <cell r="BG19">
            <v>0</v>
          </cell>
          <cell r="BH19">
            <v>0</v>
          </cell>
          <cell r="BI19">
            <v>0</v>
          </cell>
          <cell r="BS19">
            <v>0</v>
          </cell>
          <cell r="CC19">
            <v>0</v>
          </cell>
          <cell r="CM19">
            <v>0</v>
          </cell>
          <cell r="CW19">
            <v>0</v>
          </cell>
          <cell r="DG19">
            <v>0</v>
          </cell>
        </row>
        <row r="20">
          <cell r="A20" t="str">
            <v>Total Ventes Internes</v>
          </cell>
          <cell r="B20">
            <v>0</v>
          </cell>
          <cell r="C20">
            <v>0</v>
          </cell>
          <cell r="D20">
            <v>0</v>
          </cell>
          <cell r="E20">
            <v>0</v>
          </cell>
          <cell r="F20">
            <v>0</v>
          </cell>
          <cell r="G20">
            <v>0</v>
          </cell>
          <cell r="H20">
            <v>0</v>
          </cell>
          <cell r="I20">
            <v>0</v>
          </cell>
          <cell r="J20">
            <v>288.77</v>
          </cell>
          <cell r="K20">
            <v>0</v>
          </cell>
          <cell r="L20">
            <v>288.77</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S20">
            <v>0</v>
          </cell>
          <cell r="CC20">
            <v>0</v>
          </cell>
          <cell r="CM20">
            <v>0</v>
          </cell>
          <cell r="CW20">
            <v>0</v>
          </cell>
          <cell r="DG20">
            <v>0</v>
          </cell>
          <cell r="DQ20">
            <v>0</v>
          </cell>
        </row>
        <row r="21">
          <cell r="A21" t="str">
            <v>Total Ventes</v>
          </cell>
          <cell r="B21">
            <v>350.59000000000003</v>
          </cell>
          <cell r="C21">
            <v>115.18</v>
          </cell>
          <cell r="D21">
            <v>189.89</v>
          </cell>
          <cell r="E21">
            <v>10.02</v>
          </cell>
          <cell r="F21">
            <v>41.2</v>
          </cell>
          <cell r="G21">
            <v>40.159999999999997</v>
          </cell>
          <cell r="H21">
            <v>1310.46</v>
          </cell>
          <cell r="I21">
            <v>69.739999999999995</v>
          </cell>
          <cell r="J21">
            <v>293.12</v>
          </cell>
          <cell r="K21">
            <v>64.2</v>
          </cell>
          <cell r="L21">
            <v>2484.56</v>
          </cell>
          <cell r="M21">
            <v>-21.57</v>
          </cell>
          <cell r="N21">
            <v>0</v>
          </cell>
          <cell r="O21">
            <v>0</v>
          </cell>
          <cell r="P21">
            <v>0</v>
          </cell>
          <cell r="Q21">
            <v>0</v>
          </cell>
          <cell r="R21">
            <v>0</v>
          </cell>
          <cell r="S21">
            <v>0</v>
          </cell>
          <cell r="T21">
            <v>0</v>
          </cell>
          <cell r="U21">
            <v>0</v>
          </cell>
          <cell r="V21">
            <v>21.57</v>
          </cell>
          <cell r="W21">
            <v>0</v>
          </cell>
          <cell r="X21">
            <v>-64.867500000000007</v>
          </cell>
          <cell r="Y21">
            <v>0</v>
          </cell>
          <cell r="Z21">
            <v>0</v>
          </cell>
          <cell r="AA21">
            <v>0</v>
          </cell>
          <cell r="AB21">
            <v>0</v>
          </cell>
          <cell r="AC21">
            <v>0</v>
          </cell>
          <cell r="AD21">
            <v>0</v>
          </cell>
          <cell r="AE21">
            <v>0</v>
          </cell>
          <cell r="AF21">
            <v>0</v>
          </cell>
          <cell r="AG21">
            <v>64.867500000000007</v>
          </cell>
          <cell r="AH21">
            <v>0</v>
          </cell>
          <cell r="AI21">
            <v>-68.917500000000004</v>
          </cell>
          <cell r="AJ21">
            <v>0</v>
          </cell>
          <cell r="AK21">
            <v>0</v>
          </cell>
          <cell r="AL21">
            <v>0</v>
          </cell>
          <cell r="AM21">
            <v>0</v>
          </cell>
          <cell r="AN21">
            <v>0</v>
          </cell>
          <cell r="AO21">
            <v>0</v>
          </cell>
          <cell r="AP21">
            <v>0</v>
          </cell>
          <cell r="AQ21">
            <v>0</v>
          </cell>
          <cell r="AR21">
            <v>68.917500000000004</v>
          </cell>
          <cell r="AS21">
            <v>0</v>
          </cell>
          <cell r="AT21">
            <v>-102.19499999999999</v>
          </cell>
          <cell r="AU21">
            <v>0</v>
          </cell>
          <cell r="AV21">
            <v>0</v>
          </cell>
          <cell r="AW21">
            <v>0</v>
          </cell>
          <cell r="AX21">
            <v>0</v>
          </cell>
          <cell r="AY21">
            <v>0</v>
          </cell>
          <cell r="AZ21">
            <v>0</v>
          </cell>
          <cell r="BA21">
            <v>0</v>
          </cell>
          <cell r="BB21">
            <v>0</v>
          </cell>
          <cell r="BC21">
            <v>102.19499999999999</v>
          </cell>
          <cell r="BD21">
            <v>0</v>
          </cell>
          <cell r="BE21">
            <v>-120.19499999999999</v>
          </cell>
          <cell r="BF21">
            <v>0</v>
          </cell>
          <cell r="BG21">
            <v>0</v>
          </cell>
          <cell r="BH21">
            <v>0</v>
          </cell>
          <cell r="BI21">
            <v>0</v>
          </cell>
          <cell r="BS21">
            <v>0</v>
          </cell>
          <cell r="CC21">
            <v>0</v>
          </cell>
          <cell r="CM21">
            <v>0</v>
          </cell>
          <cell r="CW21">
            <v>-72.731250000000003</v>
          </cell>
          <cell r="DG21">
            <v>0</v>
          </cell>
          <cell r="DQ21">
            <v>0</v>
          </cell>
        </row>
        <row r="22">
          <cell r="A22" t="str">
            <v>Achats Routes</v>
          </cell>
          <cell r="B22">
            <v>256.47000000000003</v>
          </cell>
          <cell r="C22">
            <v>71.42</v>
          </cell>
          <cell r="D22">
            <v>165.37</v>
          </cell>
          <cell r="E22">
            <v>4.12</v>
          </cell>
          <cell r="F22">
            <v>16.95</v>
          </cell>
          <cell r="G22">
            <v>30.61</v>
          </cell>
          <cell r="H22">
            <v>837.61</v>
          </cell>
          <cell r="I22">
            <v>6.86</v>
          </cell>
          <cell r="J22">
            <v>231.25</v>
          </cell>
          <cell r="L22">
            <v>1620.66</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H22">
            <v>0</v>
          </cell>
          <cell r="AI22">
            <v>0</v>
          </cell>
          <cell r="AJ22">
            <v>0</v>
          </cell>
          <cell r="AK22">
            <v>0</v>
          </cell>
          <cell r="AL22">
            <v>0</v>
          </cell>
          <cell r="AM22">
            <v>0</v>
          </cell>
          <cell r="AN22">
            <v>0</v>
          </cell>
          <cell r="AO22">
            <v>0</v>
          </cell>
          <cell r="AP22">
            <v>0</v>
          </cell>
          <cell r="AQ22">
            <v>0</v>
          </cell>
          <cell r="AS22">
            <v>0</v>
          </cell>
          <cell r="AT22">
            <v>0</v>
          </cell>
          <cell r="AU22">
            <v>0</v>
          </cell>
          <cell r="AV22">
            <v>0</v>
          </cell>
          <cell r="AW22">
            <v>0</v>
          </cell>
          <cell r="AX22">
            <v>0</v>
          </cell>
          <cell r="AY22">
            <v>0</v>
          </cell>
          <cell r="AZ22">
            <v>0</v>
          </cell>
          <cell r="BA22">
            <v>0</v>
          </cell>
          <cell r="BB22">
            <v>0</v>
          </cell>
          <cell r="BD22">
            <v>0</v>
          </cell>
          <cell r="BE22">
            <v>0</v>
          </cell>
          <cell r="BF22">
            <v>0</v>
          </cell>
          <cell r="BG22">
            <v>0</v>
          </cell>
          <cell r="BH22">
            <v>0</v>
          </cell>
          <cell r="BI22">
            <v>0</v>
          </cell>
          <cell r="BS22">
            <v>0</v>
          </cell>
          <cell r="CC22">
            <v>0</v>
          </cell>
          <cell r="CM22">
            <v>0</v>
          </cell>
          <cell r="CW22">
            <v>0</v>
          </cell>
          <cell r="DG22">
            <v>0</v>
          </cell>
        </row>
        <row r="23">
          <cell r="A23" t="str">
            <v>Achats Fer</v>
          </cell>
          <cell r="B23">
            <v>0</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H23">
            <v>0</v>
          </cell>
          <cell r="AI23">
            <v>0</v>
          </cell>
          <cell r="AJ23">
            <v>0</v>
          </cell>
          <cell r="AK23">
            <v>0</v>
          </cell>
          <cell r="AL23">
            <v>0</v>
          </cell>
          <cell r="AM23">
            <v>0</v>
          </cell>
          <cell r="AN23">
            <v>0</v>
          </cell>
          <cell r="AO23">
            <v>0</v>
          </cell>
          <cell r="AP23">
            <v>0</v>
          </cell>
          <cell r="AQ23">
            <v>0</v>
          </cell>
          <cell r="AS23">
            <v>0</v>
          </cell>
          <cell r="AT23">
            <v>0</v>
          </cell>
          <cell r="AU23">
            <v>0</v>
          </cell>
          <cell r="AV23">
            <v>0</v>
          </cell>
          <cell r="AW23">
            <v>0</v>
          </cell>
          <cell r="AX23">
            <v>0</v>
          </cell>
          <cell r="AY23">
            <v>0</v>
          </cell>
          <cell r="AZ23">
            <v>0</v>
          </cell>
          <cell r="BA23">
            <v>0</v>
          </cell>
          <cell r="BB23">
            <v>0</v>
          </cell>
          <cell r="BD23">
            <v>0</v>
          </cell>
          <cell r="BE23">
            <v>0</v>
          </cell>
          <cell r="BF23">
            <v>0</v>
          </cell>
          <cell r="BG23">
            <v>0</v>
          </cell>
          <cell r="BH23">
            <v>0</v>
          </cell>
          <cell r="BI23">
            <v>0</v>
          </cell>
          <cell r="BS23">
            <v>0</v>
          </cell>
          <cell r="CC23">
            <v>0</v>
          </cell>
          <cell r="CM23">
            <v>0</v>
          </cell>
          <cell r="CW23">
            <v>0</v>
          </cell>
          <cell r="DG23">
            <v>0</v>
          </cell>
        </row>
        <row r="24">
          <cell r="A24" t="str">
            <v>Achats Mer</v>
          </cell>
          <cell r="B24">
            <v>0</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H24">
            <v>0</v>
          </cell>
          <cell r="AI24">
            <v>0</v>
          </cell>
          <cell r="AJ24">
            <v>0</v>
          </cell>
          <cell r="AK24">
            <v>0</v>
          </cell>
          <cell r="AL24">
            <v>0</v>
          </cell>
          <cell r="AM24">
            <v>0</v>
          </cell>
          <cell r="AN24">
            <v>0</v>
          </cell>
          <cell r="AO24">
            <v>0</v>
          </cell>
          <cell r="AP24">
            <v>0</v>
          </cell>
          <cell r="AQ24">
            <v>0</v>
          </cell>
          <cell r="AS24">
            <v>0</v>
          </cell>
          <cell r="AT24">
            <v>0</v>
          </cell>
          <cell r="AU24">
            <v>0</v>
          </cell>
          <cell r="AV24">
            <v>0</v>
          </cell>
          <cell r="AW24">
            <v>0</v>
          </cell>
          <cell r="AX24">
            <v>0</v>
          </cell>
          <cell r="AY24">
            <v>0</v>
          </cell>
          <cell r="AZ24">
            <v>0</v>
          </cell>
          <cell r="BA24">
            <v>0</v>
          </cell>
          <cell r="BB24">
            <v>0</v>
          </cell>
          <cell r="BD24">
            <v>0</v>
          </cell>
          <cell r="BE24">
            <v>0</v>
          </cell>
          <cell r="BF24">
            <v>0</v>
          </cell>
          <cell r="BG24">
            <v>0</v>
          </cell>
          <cell r="BH24">
            <v>0</v>
          </cell>
          <cell r="BI24">
            <v>0</v>
          </cell>
          <cell r="BS24">
            <v>0</v>
          </cell>
          <cell r="CC24">
            <v>0</v>
          </cell>
          <cell r="CM24">
            <v>0</v>
          </cell>
          <cell r="CW24">
            <v>0</v>
          </cell>
          <cell r="DG24">
            <v>0</v>
          </cell>
        </row>
        <row r="25">
          <cell r="A25" t="str">
            <v>Achats Aériens</v>
          </cell>
          <cell r="B25">
            <v>0</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H25">
            <v>0</v>
          </cell>
          <cell r="AI25">
            <v>0</v>
          </cell>
          <cell r="AJ25">
            <v>0</v>
          </cell>
          <cell r="AK25">
            <v>0</v>
          </cell>
          <cell r="AL25">
            <v>0</v>
          </cell>
          <cell r="AM25">
            <v>0</v>
          </cell>
          <cell r="AN25">
            <v>0</v>
          </cell>
          <cell r="AO25">
            <v>0</v>
          </cell>
          <cell r="AP25">
            <v>0</v>
          </cell>
          <cell r="AQ25">
            <v>0</v>
          </cell>
          <cell r="AS25">
            <v>0</v>
          </cell>
          <cell r="AT25">
            <v>0</v>
          </cell>
          <cell r="AU25">
            <v>0</v>
          </cell>
          <cell r="AV25">
            <v>0</v>
          </cell>
          <cell r="AW25">
            <v>0</v>
          </cell>
          <cell r="AX25">
            <v>0</v>
          </cell>
          <cell r="AY25">
            <v>0</v>
          </cell>
          <cell r="AZ25">
            <v>0</v>
          </cell>
          <cell r="BA25">
            <v>0</v>
          </cell>
          <cell r="BB25">
            <v>0</v>
          </cell>
          <cell r="BD25">
            <v>0</v>
          </cell>
          <cell r="BE25">
            <v>0</v>
          </cell>
          <cell r="BF25">
            <v>0</v>
          </cell>
          <cell r="BG25">
            <v>0</v>
          </cell>
          <cell r="BH25">
            <v>0</v>
          </cell>
          <cell r="BI25">
            <v>0</v>
          </cell>
          <cell r="BS25">
            <v>0</v>
          </cell>
          <cell r="CC25">
            <v>0</v>
          </cell>
          <cell r="CM25">
            <v>0</v>
          </cell>
          <cell r="CW25">
            <v>0</v>
          </cell>
          <cell r="DG25">
            <v>0</v>
          </cell>
        </row>
        <row r="26">
          <cell r="A26" t="str">
            <v>Achats Fluviaux</v>
          </cell>
          <cell r="B26">
            <v>0</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H26">
            <v>0</v>
          </cell>
          <cell r="AI26">
            <v>0</v>
          </cell>
          <cell r="AJ26">
            <v>0</v>
          </cell>
          <cell r="AK26">
            <v>0</v>
          </cell>
          <cell r="AL26">
            <v>0</v>
          </cell>
          <cell r="AM26">
            <v>0</v>
          </cell>
          <cell r="AN26">
            <v>0</v>
          </cell>
          <cell r="AO26">
            <v>0</v>
          </cell>
          <cell r="AP26">
            <v>0</v>
          </cell>
          <cell r="AQ26">
            <v>0</v>
          </cell>
          <cell r="AS26">
            <v>0</v>
          </cell>
          <cell r="AT26">
            <v>0</v>
          </cell>
          <cell r="AU26">
            <v>0</v>
          </cell>
          <cell r="AV26">
            <v>0</v>
          </cell>
          <cell r="AW26">
            <v>0</v>
          </cell>
          <cell r="AX26">
            <v>0</v>
          </cell>
          <cell r="AY26">
            <v>0</v>
          </cell>
          <cell r="AZ26">
            <v>0</v>
          </cell>
          <cell r="BA26">
            <v>0</v>
          </cell>
          <cell r="BB26">
            <v>0</v>
          </cell>
          <cell r="BD26">
            <v>0</v>
          </cell>
          <cell r="BE26">
            <v>0</v>
          </cell>
          <cell r="BF26">
            <v>0</v>
          </cell>
          <cell r="BG26">
            <v>0</v>
          </cell>
          <cell r="BH26">
            <v>0</v>
          </cell>
          <cell r="BI26">
            <v>0</v>
          </cell>
          <cell r="BS26">
            <v>0</v>
          </cell>
          <cell r="CC26">
            <v>0</v>
          </cell>
          <cell r="CM26">
            <v>0</v>
          </cell>
          <cell r="CW26">
            <v>0</v>
          </cell>
          <cell r="DG26">
            <v>0</v>
          </cell>
        </row>
        <row r="27">
          <cell r="A27" t="str">
            <v>Achats Autres</v>
          </cell>
          <cell r="B27">
            <v>0</v>
          </cell>
          <cell r="C27">
            <v>0</v>
          </cell>
          <cell r="D27">
            <v>4.01</v>
          </cell>
          <cell r="E27">
            <v>0</v>
          </cell>
          <cell r="F27">
            <v>0</v>
          </cell>
          <cell r="G27">
            <v>0.01</v>
          </cell>
          <cell r="H27">
            <v>4.83</v>
          </cell>
          <cell r="I27">
            <v>31.33</v>
          </cell>
          <cell r="J27">
            <v>186.52</v>
          </cell>
          <cell r="L27">
            <v>226.70000000000002</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H27">
            <v>0</v>
          </cell>
          <cell r="AI27">
            <v>0</v>
          </cell>
          <cell r="AJ27">
            <v>0</v>
          </cell>
          <cell r="AK27">
            <v>0</v>
          </cell>
          <cell r="AL27">
            <v>0</v>
          </cell>
          <cell r="AM27">
            <v>0</v>
          </cell>
          <cell r="AN27">
            <v>0</v>
          </cell>
          <cell r="AO27">
            <v>0</v>
          </cell>
          <cell r="AP27">
            <v>0</v>
          </cell>
          <cell r="AQ27">
            <v>0</v>
          </cell>
          <cell r="AS27">
            <v>0</v>
          </cell>
          <cell r="AT27">
            <v>0</v>
          </cell>
          <cell r="AU27">
            <v>0</v>
          </cell>
          <cell r="AV27">
            <v>0</v>
          </cell>
          <cell r="AW27">
            <v>0</v>
          </cell>
          <cell r="AX27">
            <v>0</v>
          </cell>
          <cell r="AY27">
            <v>0</v>
          </cell>
          <cell r="AZ27">
            <v>0</v>
          </cell>
          <cell r="BA27">
            <v>0</v>
          </cell>
          <cell r="BB27">
            <v>0</v>
          </cell>
          <cell r="BD27">
            <v>0</v>
          </cell>
          <cell r="BE27">
            <v>0</v>
          </cell>
          <cell r="BF27">
            <v>0</v>
          </cell>
          <cell r="BG27">
            <v>0</v>
          </cell>
          <cell r="BH27">
            <v>0</v>
          </cell>
          <cell r="BI27">
            <v>0</v>
          </cell>
          <cell r="BS27">
            <v>0</v>
          </cell>
          <cell r="CC27">
            <v>0</v>
          </cell>
          <cell r="CM27">
            <v>0</v>
          </cell>
          <cell r="CW27">
            <v>0</v>
          </cell>
          <cell r="DG27">
            <v>0</v>
          </cell>
        </row>
        <row r="28">
          <cell r="A28" t="str">
            <v>Total Achats Externes</v>
          </cell>
          <cell r="B28">
            <v>256.47000000000003</v>
          </cell>
          <cell r="C28">
            <v>71.42</v>
          </cell>
          <cell r="D28">
            <v>169.38</v>
          </cell>
          <cell r="E28">
            <v>4.12</v>
          </cell>
          <cell r="F28">
            <v>16.95</v>
          </cell>
          <cell r="G28">
            <v>30.62</v>
          </cell>
          <cell r="H28">
            <v>842.44</v>
          </cell>
          <cell r="I28">
            <v>38.19</v>
          </cell>
          <cell r="J28">
            <v>417.77</v>
          </cell>
          <cell r="K28">
            <v>0</v>
          </cell>
          <cell r="L28">
            <v>1847.3600000000001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S28">
            <v>0</v>
          </cell>
          <cell r="CC28">
            <v>0</v>
          </cell>
          <cell r="CM28">
            <v>0</v>
          </cell>
          <cell r="CW28">
            <v>0</v>
          </cell>
          <cell r="DG28">
            <v>0</v>
          </cell>
          <cell r="DQ28">
            <v>0</v>
          </cell>
        </row>
        <row r="29">
          <cell r="A29" t="str">
            <v>Total Achats Inter-Centres</v>
          </cell>
          <cell r="B29">
            <v>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H29">
            <v>0</v>
          </cell>
          <cell r="AI29">
            <v>0</v>
          </cell>
          <cell r="AJ29">
            <v>0</v>
          </cell>
          <cell r="AK29">
            <v>0</v>
          </cell>
          <cell r="AL29">
            <v>0</v>
          </cell>
          <cell r="AM29">
            <v>0</v>
          </cell>
          <cell r="AN29">
            <v>0</v>
          </cell>
          <cell r="AO29">
            <v>0</v>
          </cell>
          <cell r="AP29">
            <v>0</v>
          </cell>
          <cell r="AQ29">
            <v>0</v>
          </cell>
          <cell r="AS29">
            <v>0</v>
          </cell>
          <cell r="AT29">
            <v>0</v>
          </cell>
          <cell r="AU29">
            <v>0</v>
          </cell>
          <cell r="AV29">
            <v>0</v>
          </cell>
          <cell r="AW29">
            <v>0</v>
          </cell>
          <cell r="AX29">
            <v>0</v>
          </cell>
          <cell r="AY29">
            <v>0</v>
          </cell>
          <cell r="AZ29">
            <v>0</v>
          </cell>
          <cell r="BA29">
            <v>0</v>
          </cell>
          <cell r="BB29">
            <v>0</v>
          </cell>
          <cell r="BD29">
            <v>0</v>
          </cell>
          <cell r="BE29">
            <v>0</v>
          </cell>
          <cell r="BF29">
            <v>0</v>
          </cell>
          <cell r="BG29">
            <v>0</v>
          </cell>
          <cell r="BH29">
            <v>0</v>
          </cell>
          <cell r="BI29">
            <v>0</v>
          </cell>
          <cell r="BS29">
            <v>0</v>
          </cell>
          <cell r="CC29">
            <v>0</v>
          </cell>
          <cell r="CM29">
            <v>0</v>
          </cell>
          <cell r="CW29">
            <v>0</v>
          </cell>
          <cell r="DG29">
            <v>0</v>
          </cell>
        </row>
        <row r="30">
          <cell r="A30" t="str">
            <v>Achats Inter-Activités</v>
          </cell>
          <cell r="B30">
            <v>0</v>
          </cell>
          <cell r="C30">
            <v>0</v>
          </cell>
          <cell r="D30">
            <v>28.88</v>
          </cell>
          <cell r="E30">
            <v>9.3000000000000007</v>
          </cell>
          <cell r="F30">
            <v>22</v>
          </cell>
          <cell r="G30">
            <v>0</v>
          </cell>
          <cell r="H30">
            <v>264.37</v>
          </cell>
          <cell r="I30">
            <v>0</v>
          </cell>
          <cell r="J30">
            <v>-40.79</v>
          </cell>
          <cell r="L30">
            <v>283.76</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H30">
            <v>0</v>
          </cell>
          <cell r="AI30">
            <v>0</v>
          </cell>
          <cell r="AJ30">
            <v>0</v>
          </cell>
          <cell r="AK30">
            <v>0</v>
          </cell>
          <cell r="AL30">
            <v>0</v>
          </cell>
          <cell r="AM30">
            <v>0</v>
          </cell>
          <cell r="AN30">
            <v>0</v>
          </cell>
          <cell r="AO30">
            <v>0</v>
          </cell>
          <cell r="AP30">
            <v>0</v>
          </cell>
          <cell r="AQ30">
            <v>0</v>
          </cell>
          <cell r="AS30">
            <v>0</v>
          </cell>
          <cell r="AT30">
            <v>0</v>
          </cell>
          <cell r="AU30">
            <v>0</v>
          </cell>
          <cell r="AV30">
            <v>0</v>
          </cell>
          <cell r="AW30">
            <v>0</v>
          </cell>
          <cell r="AX30">
            <v>0</v>
          </cell>
          <cell r="AY30">
            <v>0</v>
          </cell>
          <cell r="AZ30">
            <v>0</v>
          </cell>
          <cell r="BA30">
            <v>0</v>
          </cell>
          <cell r="BB30">
            <v>0</v>
          </cell>
          <cell r="BD30">
            <v>0</v>
          </cell>
          <cell r="BE30">
            <v>0</v>
          </cell>
          <cell r="BF30">
            <v>0</v>
          </cell>
          <cell r="BG30">
            <v>0</v>
          </cell>
          <cell r="BH30">
            <v>0</v>
          </cell>
          <cell r="BI30">
            <v>0</v>
          </cell>
          <cell r="BS30">
            <v>0</v>
          </cell>
          <cell r="CC30">
            <v>0</v>
          </cell>
          <cell r="CM30">
            <v>0</v>
          </cell>
          <cell r="CW30">
            <v>0</v>
          </cell>
          <cell r="DG30">
            <v>0</v>
          </cell>
        </row>
        <row r="31">
          <cell r="A31" t="str">
            <v>Achat Internes Autres</v>
          </cell>
          <cell r="B31">
            <v>0</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H31">
            <v>0</v>
          </cell>
          <cell r="AI31">
            <v>0</v>
          </cell>
          <cell r="AJ31">
            <v>0</v>
          </cell>
          <cell r="AK31">
            <v>0</v>
          </cell>
          <cell r="AL31">
            <v>0</v>
          </cell>
          <cell r="AM31">
            <v>0</v>
          </cell>
          <cell r="AN31">
            <v>0</v>
          </cell>
          <cell r="AO31">
            <v>0</v>
          </cell>
          <cell r="AP31">
            <v>0</v>
          </cell>
          <cell r="AQ31">
            <v>0</v>
          </cell>
          <cell r="AS31">
            <v>0</v>
          </cell>
          <cell r="AT31">
            <v>0</v>
          </cell>
          <cell r="AU31">
            <v>0</v>
          </cell>
          <cell r="AV31">
            <v>0</v>
          </cell>
          <cell r="AW31">
            <v>0</v>
          </cell>
          <cell r="AX31">
            <v>0</v>
          </cell>
          <cell r="AY31">
            <v>0</v>
          </cell>
          <cell r="AZ31">
            <v>0</v>
          </cell>
          <cell r="BA31">
            <v>0</v>
          </cell>
          <cell r="BB31">
            <v>0</v>
          </cell>
          <cell r="BD31">
            <v>0</v>
          </cell>
          <cell r="BE31">
            <v>0</v>
          </cell>
          <cell r="BF31">
            <v>0</v>
          </cell>
          <cell r="BG31">
            <v>0</v>
          </cell>
          <cell r="BH31">
            <v>0</v>
          </cell>
          <cell r="BI31">
            <v>0</v>
          </cell>
          <cell r="BS31">
            <v>0</v>
          </cell>
          <cell r="CC31">
            <v>0</v>
          </cell>
          <cell r="CM31">
            <v>0</v>
          </cell>
          <cell r="CW31">
            <v>0</v>
          </cell>
          <cell r="DG31">
            <v>0</v>
          </cell>
        </row>
        <row r="32">
          <cell r="A32" t="str">
            <v>Total Achat Internes</v>
          </cell>
          <cell r="B32">
            <v>0</v>
          </cell>
          <cell r="C32">
            <v>0</v>
          </cell>
          <cell r="D32">
            <v>28.88</v>
          </cell>
          <cell r="E32">
            <v>9.3000000000000007</v>
          </cell>
          <cell r="F32">
            <v>22</v>
          </cell>
          <cell r="G32">
            <v>0</v>
          </cell>
          <cell r="H32">
            <v>264.37</v>
          </cell>
          <cell r="I32">
            <v>0</v>
          </cell>
          <cell r="J32">
            <v>-40.79</v>
          </cell>
          <cell r="K32">
            <v>0</v>
          </cell>
          <cell r="L32">
            <v>283.76</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S32">
            <v>0</v>
          </cell>
          <cell r="CC32">
            <v>0</v>
          </cell>
          <cell r="CM32">
            <v>0</v>
          </cell>
          <cell r="CW32">
            <v>0</v>
          </cell>
          <cell r="DG32">
            <v>0</v>
          </cell>
          <cell r="DQ32">
            <v>0</v>
          </cell>
        </row>
        <row r="33">
          <cell r="A33" t="str">
            <v>Achats</v>
          </cell>
          <cell r="B33">
            <v>256.47000000000003</v>
          </cell>
          <cell r="C33">
            <v>71.42</v>
          </cell>
          <cell r="D33">
            <v>198.26</v>
          </cell>
          <cell r="E33">
            <v>13.420000000000002</v>
          </cell>
          <cell r="F33">
            <v>38.950000000000003</v>
          </cell>
          <cell r="G33">
            <v>30.62</v>
          </cell>
          <cell r="H33">
            <v>1106.81</v>
          </cell>
          <cell r="I33">
            <v>38.19</v>
          </cell>
          <cell r="J33">
            <v>376.97999999999996</v>
          </cell>
          <cell r="K33">
            <v>0</v>
          </cell>
          <cell r="L33">
            <v>2131.12</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S33">
            <v>0</v>
          </cell>
          <cell r="CC33">
            <v>0</v>
          </cell>
          <cell r="CM33">
            <v>0</v>
          </cell>
          <cell r="CW33">
            <v>0</v>
          </cell>
          <cell r="DG33">
            <v>0</v>
          </cell>
          <cell r="DQ33">
            <v>0</v>
          </cell>
        </row>
        <row r="34">
          <cell r="A34" t="str">
            <v>Marge Commerciale</v>
          </cell>
          <cell r="B34">
            <v>94.12</v>
          </cell>
          <cell r="C34">
            <v>43.760000000000005</v>
          </cell>
          <cell r="D34">
            <v>-8.3700000000000045</v>
          </cell>
          <cell r="E34">
            <v>-3.4000000000000021</v>
          </cell>
          <cell r="F34">
            <v>2.25</v>
          </cell>
          <cell r="G34">
            <v>9.5399999999999956</v>
          </cell>
          <cell r="H34">
            <v>203.65000000000009</v>
          </cell>
          <cell r="I34">
            <v>31.549999999999997</v>
          </cell>
          <cell r="J34">
            <v>-83.859999999999957</v>
          </cell>
          <cell r="K34">
            <v>64.2</v>
          </cell>
          <cell r="L34">
            <v>353.44000000000005</v>
          </cell>
          <cell r="M34">
            <v>-21.57</v>
          </cell>
          <cell r="N34">
            <v>0</v>
          </cell>
          <cell r="O34">
            <v>0</v>
          </cell>
          <cell r="P34">
            <v>0</v>
          </cell>
          <cell r="Q34">
            <v>0</v>
          </cell>
          <cell r="R34">
            <v>0</v>
          </cell>
          <cell r="S34">
            <v>0</v>
          </cell>
          <cell r="T34">
            <v>0</v>
          </cell>
          <cell r="U34">
            <v>0</v>
          </cell>
          <cell r="V34">
            <v>21.57</v>
          </cell>
          <cell r="W34">
            <v>0</v>
          </cell>
          <cell r="X34">
            <v>-64.867500000000007</v>
          </cell>
          <cell r="Y34">
            <v>0</v>
          </cell>
          <cell r="Z34">
            <v>0</v>
          </cell>
          <cell r="AA34">
            <v>0</v>
          </cell>
          <cell r="AB34">
            <v>0</v>
          </cell>
          <cell r="AC34">
            <v>0</v>
          </cell>
          <cell r="AD34">
            <v>0</v>
          </cell>
          <cell r="AE34">
            <v>0</v>
          </cell>
          <cell r="AF34">
            <v>0</v>
          </cell>
          <cell r="AG34">
            <v>64.867500000000007</v>
          </cell>
          <cell r="AH34">
            <v>0</v>
          </cell>
          <cell r="AI34">
            <v>-68.917500000000004</v>
          </cell>
          <cell r="AJ34">
            <v>0</v>
          </cell>
          <cell r="AK34">
            <v>0</v>
          </cell>
          <cell r="AL34">
            <v>0</v>
          </cell>
          <cell r="AM34">
            <v>0</v>
          </cell>
          <cell r="AN34">
            <v>0</v>
          </cell>
          <cell r="AO34">
            <v>0</v>
          </cell>
          <cell r="AP34">
            <v>0</v>
          </cell>
          <cell r="AQ34">
            <v>0</v>
          </cell>
          <cell r="AR34">
            <v>68.917500000000004</v>
          </cell>
          <cell r="AS34">
            <v>0</v>
          </cell>
          <cell r="AT34">
            <v>-102.19499999999999</v>
          </cell>
          <cell r="AU34">
            <v>0</v>
          </cell>
          <cell r="AV34">
            <v>0</v>
          </cell>
          <cell r="AW34">
            <v>0</v>
          </cell>
          <cell r="AX34">
            <v>0</v>
          </cell>
          <cell r="AY34">
            <v>0</v>
          </cell>
          <cell r="AZ34">
            <v>0</v>
          </cell>
          <cell r="BA34">
            <v>0</v>
          </cell>
          <cell r="BB34">
            <v>0</v>
          </cell>
          <cell r="BC34">
            <v>102.19499999999999</v>
          </cell>
          <cell r="BD34">
            <v>0</v>
          </cell>
          <cell r="BE34">
            <v>-120.19499999999999</v>
          </cell>
          <cell r="BF34">
            <v>0</v>
          </cell>
          <cell r="BG34">
            <v>0</v>
          </cell>
          <cell r="BH34">
            <v>0</v>
          </cell>
          <cell r="BI34">
            <v>0</v>
          </cell>
          <cell r="BS34">
            <v>0</v>
          </cell>
          <cell r="CC34">
            <v>0</v>
          </cell>
          <cell r="CM34">
            <v>0</v>
          </cell>
          <cell r="CW34">
            <v>-72.731250000000003</v>
          </cell>
          <cell r="DG34">
            <v>0</v>
          </cell>
          <cell r="DQ34">
            <v>0</v>
          </cell>
        </row>
        <row r="35">
          <cell r="A35" t="str">
            <v>% Mg. Com. - $</v>
          </cell>
          <cell r="B35">
            <v>0.26846173593085942</v>
          </cell>
          <cell r="C35">
            <v>0.37992707067199166</v>
          </cell>
          <cell r="D35">
            <v>-4.407815050818898E-2</v>
          </cell>
          <cell r="E35">
            <v>-0.33932135728542939</v>
          </cell>
          <cell r="F35">
            <v>5.461165048543689E-2</v>
          </cell>
          <cell r="G35">
            <v>0.23754980079681265</v>
          </cell>
          <cell r="H35">
            <v>0.15540344611815704</v>
          </cell>
          <cell r="I35">
            <v>0.45239460854602809</v>
          </cell>
          <cell r="J35">
            <v>-0.28609443231441034</v>
          </cell>
          <cell r="K35">
            <v>1</v>
          </cell>
          <cell r="L35">
            <v>0.14225456418842775</v>
          </cell>
          <cell r="M35">
            <v>1</v>
          </cell>
          <cell r="N35">
            <v>0</v>
          </cell>
          <cell r="O35">
            <v>0</v>
          </cell>
          <cell r="P35">
            <v>0</v>
          </cell>
          <cell r="Q35">
            <v>0</v>
          </cell>
          <cell r="R35">
            <v>0</v>
          </cell>
          <cell r="S35">
            <v>0</v>
          </cell>
          <cell r="T35">
            <v>0</v>
          </cell>
          <cell r="U35">
            <v>0</v>
          </cell>
          <cell r="V35">
            <v>1</v>
          </cell>
          <cell r="W35">
            <v>0</v>
          </cell>
          <cell r="X35">
            <v>1</v>
          </cell>
          <cell r="Y35">
            <v>0</v>
          </cell>
          <cell r="Z35">
            <v>0</v>
          </cell>
          <cell r="AA35">
            <v>0</v>
          </cell>
          <cell r="AB35">
            <v>0</v>
          </cell>
          <cell r="AC35">
            <v>0</v>
          </cell>
          <cell r="AD35">
            <v>0</v>
          </cell>
          <cell r="AE35">
            <v>0</v>
          </cell>
          <cell r="AF35">
            <v>0</v>
          </cell>
          <cell r="AG35">
            <v>1</v>
          </cell>
          <cell r="AH35">
            <v>0</v>
          </cell>
          <cell r="AI35">
            <v>1</v>
          </cell>
          <cell r="AJ35">
            <v>0</v>
          </cell>
          <cell r="AK35">
            <v>0</v>
          </cell>
          <cell r="AL35">
            <v>0</v>
          </cell>
          <cell r="AM35">
            <v>0</v>
          </cell>
          <cell r="AN35">
            <v>0</v>
          </cell>
          <cell r="AO35">
            <v>0</v>
          </cell>
          <cell r="AP35">
            <v>0</v>
          </cell>
          <cell r="AQ35">
            <v>0</v>
          </cell>
          <cell r="AR35">
            <v>1</v>
          </cell>
          <cell r="AS35">
            <v>0</v>
          </cell>
          <cell r="AT35">
            <v>1</v>
          </cell>
          <cell r="AU35">
            <v>0</v>
          </cell>
          <cell r="AV35">
            <v>0</v>
          </cell>
          <cell r="AW35">
            <v>0</v>
          </cell>
          <cell r="AX35">
            <v>0</v>
          </cell>
          <cell r="AY35">
            <v>0</v>
          </cell>
          <cell r="AZ35">
            <v>0</v>
          </cell>
          <cell r="BA35">
            <v>0</v>
          </cell>
          <cell r="BB35">
            <v>0</v>
          </cell>
          <cell r="BC35">
            <v>1</v>
          </cell>
          <cell r="BD35">
            <v>0</v>
          </cell>
          <cell r="BE35">
            <v>1</v>
          </cell>
          <cell r="BF35">
            <v>0</v>
          </cell>
          <cell r="BG35">
            <v>0</v>
          </cell>
          <cell r="BH35">
            <v>0</v>
          </cell>
          <cell r="BI35">
            <v>0</v>
          </cell>
          <cell r="BS35">
            <v>0</v>
          </cell>
          <cell r="CC35">
            <v>0</v>
          </cell>
          <cell r="CM35">
            <v>0</v>
          </cell>
          <cell r="CW35">
            <v>1</v>
          </cell>
          <cell r="DG35">
            <v>0</v>
          </cell>
          <cell r="DQ35">
            <v>0</v>
          </cell>
        </row>
        <row r="36">
          <cell r="A36" t="str">
            <v>Salaires et charges</v>
          </cell>
          <cell r="B36">
            <v>30.06</v>
          </cell>
          <cell r="C36">
            <v>10.28</v>
          </cell>
          <cell r="D36">
            <v>20.76</v>
          </cell>
          <cell r="E36">
            <v>0</v>
          </cell>
          <cell r="F36">
            <v>0</v>
          </cell>
          <cell r="G36">
            <v>4.32</v>
          </cell>
          <cell r="H36">
            <v>9.33</v>
          </cell>
          <cell r="I36">
            <v>0</v>
          </cell>
          <cell r="J36">
            <v>28.25</v>
          </cell>
          <cell r="L36">
            <v>102.99999999999999</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H36">
            <v>0</v>
          </cell>
          <cell r="AI36">
            <v>0</v>
          </cell>
          <cell r="AJ36">
            <v>0</v>
          </cell>
          <cell r="AK36">
            <v>0</v>
          </cell>
          <cell r="AL36">
            <v>0</v>
          </cell>
          <cell r="AM36">
            <v>0</v>
          </cell>
          <cell r="AN36">
            <v>0</v>
          </cell>
          <cell r="AO36">
            <v>0</v>
          </cell>
          <cell r="AP36">
            <v>0</v>
          </cell>
          <cell r="AQ36">
            <v>0</v>
          </cell>
          <cell r="AS36">
            <v>0</v>
          </cell>
          <cell r="AT36">
            <v>0</v>
          </cell>
          <cell r="AU36">
            <v>0</v>
          </cell>
          <cell r="AV36">
            <v>0</v>
          </cell>
          <cell r="AW36">
            <v>0</v>
          </cell>
          <cell r="AX36">
            <v>0</v>
          </cell>
          <cell r="AY36">
            <v>0</v>
          </cell>
          <cell r="AZ36">
            <v>0</v>
          </cell>
          <cell r="BA36">
            <v>0</v>
          </cell>
          <cell r="BB36">
            <v>0</v>
          </cell>
          <cell r="BD36">
            <v>0</v>
          </cell>
          <cell r="BE36">
            <v>0</v>
          </cell>
          <cell r="BF36">
            <v>0</v>
          </cell>
          <cell r="BG36">
            <v>0</v>
          </cell>
          <cell r="BH36">
            <v>0</v>
          </cell>
          <cell r="BI36">
            <v>0</v>
          </cell>
          <cell r="BS36">
            <v>0</v>
          </cell>
          <cell r="CC36">
            <v>0</v>
          </cell>
          <cell r="CM36">
            <v>0</v>
          </cell>
          <cell r="CW36">
            <v>0</v>
          </cell>
          <cell r="DG36">
            <v>0</v>
          </cell>
        </row>
        <row r="37">
          <cell r="A37" t="str">
            <v>Ind. diverses</v>
          </cell>
          <cell r="B37">
            <v>0</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cell r="AO37">
            <v>0</v>
          </cell>
          <cell r="AP37">
            <v>0</v>
          </cell>
          <cell r="AQ37">
            <v>0</v>
          </cell>
          <cell r="AS37">
            <v>0</v>
          </cell>
          <cell r="AT37">
            <v>0</v>
          </cell>
          <cell r="AU37">
            <v>0</v>
          </cell>
          <cell r="AV37">
            <v>0</v>
          </cell>
          <cell r="AW37">
            <v>0</v>
          </cell>
          <cell r="AX37">
            <v>0</v>
          </cell>
          <cell r="AY37">
            <v>0</v>
          </cell>
          <cell r="AZ37">
            <v>0</v>
          </cell>
          <cell r="BA37">
            <v>0</v>
          </cell>
          <cell r="BB37">
            <v>0</v>
          </cell>
          <cell r="BD37">
            <v>0</v>
          </cell>
          <cell r="BE37">
            <v>0</v>
          </cell>
          <cell r="BF37">
            <v>0</v>
          </cell>
          <cell r="BG37">
            <v>0</v>
          </cell>
          <cell r="BH37">
            <v>0</v>
          </cell>
          <cell r="BI37">
            <v>0</v>
          </cell>
          <cell r="BS37">
            <v>0</v>
          </cell>
          <cell r="CC37">
            <v>0</v>
          </cell>
          <cell r="CM37">
            <v>0</v>
          </cell>
          <cell r="CW37">
            <v>0</v>
          </cell>
          <cell r="DG37">
            <v>0</v>
          </cell>
        </row>
        <row r="38">
          <cell r="U38">
            <v>0</v>
          </cell>
          <cell r="AE38">
            <v>0</v>
          </cell>
          <cell r="AO38">
            <v>0</v>
          </cell>
          <cell r="AY38">
            <v>0</v>
          </cell>
          <cell r="BI38">
            <v>0</v>
          </cell>
          <cell r="BS38">
            <v>0</v>
          </cell>
          <cell r="CC38">
            <v>0</v>
          </cell>
          <cell r="CM38">
            <v>0</v>
          </cell>
          <cell r="CW38">
            <v>0</v>
          </cell>
          <cell r="DG38">
            <v>0</v>
          </cell>
        </row>
        <row r="39">
          <cell r="U39">
            <v>0</v>
          </cell>
          <cell r="AE39">
            <v>0</v>
          </cell>
          <cell r="AO39">
            <v>0</v>
          </cell>
          <cell r="AY39">
            <v>0</v>
          </cell>
          <cell r="BI39">
            <v>0</v>
          </cell>
          <cell r="BS39">
            <v>0</v>
          </cell>
          <cell r="CC39">
            <v>0</v>
          </cell>
          <cell r="CM39">
            <v>0</v>
          </cell>
          <cell r="CW39">
            <v>0</v>
          </cell>
          <cell r="DG39">
            <v>0</v>
          </cell>
        </row>
        <row r="40">
          <cell r="U40">
            <v>0</v>
          </cell>
          <cell r="AE40">
            <v>0</v>
          </cell>
          <cell r="AO40">
            <v>0</v>
          </cell>
          <cell r="AY40">
            <v>0</v>
          </cell>
          <cell r="BI40">
            <v>0</v>
          </cell>
          <cell r="BS40">
            <v>0</v>
          </cell>
          <cell r="CC40">
            <v>0</v>
          </cell>
          <cell r="CM40">
            <v>0</v>
          </cell>
          <cell r="CW40">
            <v>0</v>
          </cell>
          <cell r="DG40">
            <v>0</v>
          </cell>
        </row>
        <row r="41">
          <cell r="U41">
            <v>0</v>
          </cell>
          <cell r="AE41">
            <v>0</v>
          </cell>
          <cell r="AO41">
            <v>0</v>
          </cell>
          <cell r="AY41">
            <v>0</v>
          </cell>
          <cell r="BI41">
            <v>0</v>
          </cell>
          <cell r="BS41">
            <v>0</v>
          </cell>
          <cell r="CC41">
            <v>0</v>
          </cell>
          <cell r="CM41">
            <v>0</v>
          </cell>
          <cell r="CW41">
            <v>0</v>
          </cell>
          <cell r="DG41">
            <v>0</v>
          </cell>
        </row>
        <row r="42">
          <cell r="U42">
            <v>0</v>
          </cell>
          <cell r="AE42">
            <v>0</v>
          </cell>
          <cell r="AO42">
            <v>0</v>
          </cell>
          <cell r="AY42">
            <v>0</v>
          </cell>
          <cell r="BI42">
            <v>0</v>
          </cell>
          <cell r="BS42">
            <v>0</v>
          </cell>
          <cell r="CC42">
            <v>0</v>
          </cell>
          <cell r="CM42">
            <v>0</v>
          </cell>
          <cell r="CW42">
            <v>0</v>
          </cell>
          <cell r="DG42">
            <v>0</v>
          </cell>
        </row>
        <row r="43">
          <cell r="U43">
            <v>0</v>
          </cell>
          <cell r="AE43">
            <v>0</v>
          </cell>
          <cell r="AO43">
            <v>0</v>
          </cell>
          <cell r="AY43">
            <v>0</v>
          </cell>
          <cell r="BI43">
            <v>0</v>
          </cell>
          <cell r="BS43">
            <v>0</v>
          </cell>
          <cell r="CC43">
            <v>0</v>
          </cell>
          <cell r="CM43">
            <v>0</v>
          </cell>
          <cell r="CW43">
            <v>0</v>
          </cell>
          <cell r="DG43">
            <v>0</v>
          </cell>
        </row>
        <row r="44">
          <cell r="U44">
            <v>0</v>
          </cell>
          <cell r="AE44">
            <v>0</v>
          </cell>
          <cell r="AO44">
            <v>0</v>
          </cell>
          <cell r="AY44">
            <v>0</v>
          </cell>
          <cell r="BI44">
            <v>0</v>
          </cell>
          <cell r="BS44">
            <v>0</v>
          </cell>
          <cell r="CC44">
            <v>0</v>
          </cell>
          <cell r="CM44">
            <v>0</v>
          </cell>
          <cell r="CW44">
            <v>0</v>
          </cell>
          <cell r="DG44">
            <v>0</v>
          </cell>
        </row>
        <row r="45">
          <cell r="U45">
            <v>0</v>
          </cell>
          <cell r="AE45">
            <v>0</v>
          </cell>
          <cell r="AO45">
            <v>0</v>
          </cell>
          <cell r="AY45">
            <v>0</v>
          </cell>
          <cell r="BI45">
            <v>0</v>
          </cell>
          <cell r="BS45">
            <v>0</v>
          </cell>
          <cell r="CC45">
            <v>0</v>
          </cell>
          <cell r="CM45">
            <v>0</v>
          </cell>
          <cell r="CW45">
            <v>0</v>
          </cell>
          <cell r="DG45">
            <v>0</v>
          </cell>
        </row>
        <row r="46">
          <cell r="U46">
            <v>0</v>
          </cell>
          <cell r="AE46">
            <v>0</v>
          </cell>
          <cell r="AO46">
            <v>0</v>
          </cell>
          <cell r="AY46">
            <v>0</v>
          </cell>
          <cell r="BI46">
            <v>0</v>
          </cell>
          <cell r="BS46">
            <v>0</v>
          </cell>
          <cell r="CC46">
            <v>0</v>
          </cell>
          <cell r="CM46">
            <v>0</v>
          </cell>
          <cell r="CW46">
            <v>0</v>
          </cell>
          <cell r="DG46">
            <v>0</v>
          </cell>
        </row>
        <row r="47">
          <cell r="U47">
            <v>0</v>
          </cell>
          <cell r="AE47">
            <v>0</v>
          </cell>
          <cell r="AO47">
            <v>0</v>
          </cell>
          <cell r="AY47">
            <v>0</v>
          </cell>
          <cell r="BI47">
            <v>0</v>
          </cell>
          <cell r="BS47">
            <v>0</v>
          </cell>
          <cell r="CC47">
            <v>0</v>
          </cell>
          <cell r="CM47">
            <v>0</v>
          </cell>
          <cell r="CW47">
            <v>0</v>
          </cell>
          <cell r="DG47">
            <v>0</v>
          </cell>
        </row>
        <row r="48">
          <cell r="U48">
            <v>0</v>
          </cell>
          <cell r="AE48">
            <v>0</v>
          </cell>
          <cell r="AO48">
            <v>0</v>
          </cell>
          <cell r="AY48">
            <v>0</v>
          </cell>
          <cell r="BI48">
            <v>0</v>
          </cell>
          <cell r="BS48">
            <v>0</v>
          </cell>
          <cell r="CC48">
            <v>0</v>
          </cell>
          <cell r="CM48">
            <v>0</v>
          </cell>
          <cell r="CW48">
            <v>0</v>
          </cell>
          <cell r="DG48">
            <v>0</v>
          </cell>
        </row>
        <row r="49">
          <cell r="U49">
            <v>0</v>
          </cell>
          <cell r="AE49">
            <v>0</v>
          </cell>
          <cell r="AO49">
            <v>0</v>
          </cell>
          <cell r="AY49">
            <v>0</v>
          </cell>
          <cell r="BI49">
            <v>0</v>
          </cell>
          <cell r="BS49">
            <v>0</v>
          </cell>
          <cell r="CC49">
            <v>0</v>
          </cell>
          <cell r="CM49">
            <v>0</v>
          </cell>
          <cell r="CW49">
            <v>0</v>
          </cell>
          <cell r="DG49">
            <v>0</v>
          </cell>
        </row>
        <row r="50">
          <cell r="K50">
            <v>0</v>
          </cell>
          <cell r="U50">
            <v>0</v>
          </cell>
          <cell r="AE50">
            <v>0</v>
          </cell>
          <cell r="AO50">
            <v>0</v>
          </cell>
          <cell r="AY50">
            <v>0</v>
          </cell>
          <cell r="BI50">
            <v>0</v>
          </cell>
          <cell r="BS50">
            <v>0</v>
          </cell>
          <cell r="CC50">
            <v>0</v>
          </cell>
          <cell r="CM50">
            <v>0</v>
          </cell>
          <cell r="CW50">
            <v>0</v>
          </cell>
          <cell r="DG50">
            <v>0</v>
          </cell>
          <cell r="DQ50">
            <v>0</v>
          </cell>
        </row>
        <row r="51">
          <cell r="U51">
            <v>0</v>
          </cell>
          <cell r="AE51">
            <v>0</v>
          </cell>
          <cell r="AO51">
            <v>0</v>
          </cell>
          <cell r="AY51">
            <v>0</v>
          </cell>
          <cell r="BI51">
            <v>0</v>
          </cell>
          <cell r="BS51">
            <v>0</v>
          </cell>
          <cell r="CC51">
            <v>0</v>
          </cell>
          <cell r="CM51">
            <v>0</v>
          </cell>
          <cell r="CW51">
            <v>0</v>
          </cell>
          <cell r="DG51">
            <v>0</v>
          </cell>
        </row>
        <row r="52">
          <cell r="U52">
            <v>0</v>
          </cell>
          <cell r="AE52">
            <v>0</v>
          </cell>
          <cell r="AO52">
            <v>0</v>
          </cell>
          <cell r="AY52">
            <v>0</v>
          </cell>
          <cell r="BI52">
            <v>0</v>
          </cell>
          <cell r="BS52">
            <v>0</v>
          </cell>
          <cell r="CC52">
            <v>0</v>
          </cell>
          <cell r="CM52">
            <v>0</v>
          </cell>
          <cell r="CW52">
            <v>0</v>
          </cell>
          <cell r="DG52">
            <v>0</v>
          </cell>
        </row>
        <row r="53">
          <cell r="U53">
            <v>0</v>
          </cell>
          <cell r="AE53">
            <v>0</v>
          </cell>
          <cell r="AO53">
            <v>0</v>
          </cell>
          <cell r="AY53">
            <v>0</v>
          </cell>
          <cell r="BI53">
            <v>0</v>
          </cell>
          <cell r="BS53">
            <v>0</v>
          </cell>
          <cell r="CC53">
            <v>0</v>
          </cell>
          <cell r="CM53">
            <v>0</v>
          </cell>
          <cell r="CW53">
            <v>0</v>
          </cell>
          <cell r="DG53">
            <v>0</v>
          </cell>
        </row>
        <row r="54">
          <cell r="U54">
            <v>0</v>
          </cell>
          <cell r="AE54">
            <v>0</v>
          </cell>
          <cell r="AO54">
            <v>0</v>
          </cell>
          <cell r="AY54">
            <v>0</v>
          </cell>
          <cell r="BI54">
            <v>0</v>
          </cell>
          <cell r="BS54">
            <v>0</v>
          </cell>
          <cell r="CC54">
            <v>0</v>
          </cell>
          <cell r="CM54">
            <v>0</v>
          </cell>
          <cell r="CW54">
            <v>0</v>
          </cell>
          <cell r="DG54">
            <v>0</v>
          </cell>
        </row>
        <row r="55">
          <cell r="U55">
            <v>0</v>
          </cell>
          <cell r="AE55">
            <v>0</v>
          </cell>
          <cell r="AO55">
            <v>0</v>
          </cell>
          <cell r="AY55">
            <v>0</v>
          </cell>
          <cell r="BI55">
            <v>0</v>
          </cell>
          <cell r="BS55">
            <v>0</v>
          </cell>
          <cell r="CC55">
            <v>0</v>
          </cell>
          <cell r="CM55">
            <v>0</v>
          </cell>
          <cell r="CW55">
            <v>0</v>
          </cell>
          <cell r="DG55">
            <v>0</v>
          </cell>
        </row>
        <row r="56">
          <cell r="K56">
            <v>0</v>
          </cell>
          <cell r="U56">
            <v>0</v>
          </cell>
          <cell r="AE56">
            <v>0</v>
          </cell>
          <cell r="AO56">
            <v>0</v>
          </cell>
          <cell r="AY56">
            <v>0</v>
          </cell>
          <cell r="BI56">
            <v>0</v>
          </cell>
          <cell r="BS56">
            <v>0</v>
          </cell>
          <cell r="CC56">
            <v>0</v>
          </cell>
          <cell r="CM56">
            <v>0</v>
          </cell>
          <cell r="CW56">
            <v>0</v>
          </cell>
          <cell r="DG56">
            <v>0</v>
          </cell>
          <cell r="DQ56">
            <v>0</v>
          </cell>
        </row>
        <row r="57">
          <cell r="U57">
            <v>0</v>
          </cell>
          <cell r="AE57">
            <v>0</v>
          </cell>
          <cell r="AO57">
            <v>0</v>
          </cell>
          <cell r="AY57">
            <v>0</v>
          </cell>
          <cell r="BI57">
            <v>0</v>
          </cell>
          <cell r="BS57">
            <v>0</v>
          </cell>
          <cell r="CC57">
            <v>0</v>
          </cell>
          <cell r="CM57">
            <v>0</v>
          </cell>
          <cell r="CW57">
            <v>0</v>
          </cell>
          <cell r="DG57">
            <v>0</v>
          </cell>
        </row>
        <row r="58">
          <cell r="U58">
            <v>0</v>
          </cell>
          <cell r="AE58">
            <v>0</v>
          </cell>
          <cell r="AO58">
            <v>0</v>
          </cell>
          <cell r="AY58">
            <v>0</v>
          </cell>
          <cell r="BI58">
            <v>0</v>
          </cell>
          <cell r="BS58">
            <v>0</v>
          </cell>
          <cell r="CC58">
            <v>0</v>
          </cell>
          <cell r="CM58">
            <v>0</v>
          </cell>
          <cell r="CW58">
            <v>0</v>
          </cell>
          <cell r="DG58">
            <v>0</v>
          </cell>
        </row>
        <row r="59">
          <cell r="U59">
            <v>0</v>
          </cell>
          <cell r="AE59">
            <v>0</v>
          </cell>
          <cell r="AO59">
            <v>0</v>
          </cell>
          <cell r="AY59">
            <v>0</v>
          </cell>
          <cell r="BI59">
            <v>0</v>
          </cell>
          <cell r="BS59">
            <v>0</v>
          </cell>
          <cell r="CC59">
            <v>0</v>
          </cell>
          <cell r="CM59">
            <v>0</v>
          </cell>
          <cell r="CW59">
            <v>0</v>
          </cell>
          <cell r="DG59">
            <v>0</v>
          </cell>
        </row>
        <row r="60">
          <cell r="U60">
            <v>0</v>
          </cell>
          <cell r="AE60">
            <v>0</v>
          </cell>
          <cell r="AO60">
            <v>0</v>
          </cell>
          <cell r="AY60">
            <v>0</v>
          </cell>
          <cell r="BI60">
            <v>0</v>
          </cell>
          <cell r="BS60">
            <v>0</v>
          </cell>
          <cell r="CC60">
            <v>0</v>
          </cell>
          <cell r="CM60">
            <v>0</v>
          </cell>
          <cell r="CW60">
            <v>0</v>
          </cell>
          <cell r="DG60">
            <v>0</v>
          </cell>
        </row>
        <row r="61">
          <cell r="U61">
            <v>0</v>
          </cell>
          <cell r="AE61">
            <v>0</v>
          </cell>
          <cell r="AO61">
            <v>0</v>
          </cell>
          <cell r="AY61">
            <v>0</v>
          </cell>
          <cell r="BI61">
            <v>0</v>
          </cell>
          <cell r="BS61">
            <v>0</v>
          </cell>
          <cell r="CC61">
            <v>0</v>
          </cell>
          <cell r="CM61">
            <v>0</v>
          </cell>
          <cell r="CW61">
            <v>0</v>
          </cell>
          <cell r="DG61">
            <v>0</v>
          </cell>
        </row>
        <row r="62">
          <cell r="U62">
            <v>0</v>
          </cell>
          <cell r="AE62">
            <v>0</v>
          </cell>
          <cell r="AO62">
            <v>0</v>
          </cell>
          <cell r="AY62">
            <v>0</v>
          </cell>
          <cell r="BI62">
            <v>0</v>
          </cell>
          <cell r="BS62">
            <v>0</v>
          </cell>
          <cell r="CC62">
            <v>0</v>
          </cell>
          <cell r="CM62">
            <v>0</v>
          </cell>
          <cell r="CW62">
            <v>0</v>
          </cell>
          <cell r="DG62">
            <v>0</v>
          </cell>
        </row>
        <row r="63">
          <cell r="U63">
            <v>0</v>
          </cell>
          <cell r="AE63">
            <v>0</v>
          </cell>
          <cell r="AO63">
            <v>0</v>
          </cell>
          <cell r="AY63">
            <v>0</v>
          </cell>
          <cell r="BI63">
            <v>0</v>
          </cell>
          <cell r="BS63">
            <v>0</v>
          </cell>
          <cell r="CC63">
            <v>0</v>
          </cell>
          <cell r="CM63">
            <v>0</v>
          </cell>
          <cell r="CW63">
            <v>0</v>
          </cell>
          <cell r="DG63">
            <v>0</v>
          </cell>
        </row>
        <row r="64">
          <cell r="U64">
            <v>0</v>
          </cell>
          <cell r="AE64">
            <v>0</v>
          </cell>
          <cell r="AO64">
            <v>0</v>
          </cell>
          <cell r="AY64">
            <v>0</v>
          </cell>
          <cell r="BI64">
            <v>0</v>
          </cell>
          <cell r="BS64">
            <v>0</v>
          </cell>
          <cell r="CC64">
            <v>0</v>
          </cell>
          <cell r="CM64">
            <v>0</v>
          </cell>
          <cell r="CW64">
            <v>0</v>
          </cell>
          <cell r="DG64">
            <v>0</v>
          </cell>
        </row>
        <row r="65">
          <cell r="K65">
            <v>0</v>
          </cell>
          <cell r="U65">
            <v>0</v>
          </cell>
          <cell r="AE65">
            <v>0</v>
          </cell>
          <cell r="AO65">
            <v>0</v>
          </cell>
          <cell r="AY65">
            <v>0</v>
          </cell>
          <cell r="BI65">
            <v>0</v>
          </cell>
          <cell r="BS65">
            <v>0</v>
          </cell>
          <cell r="CC65">
            <v>0</v>
          </cell>
          <cell r="CM65">
            <v>0</v>
          </cell>
          <cell r="CW65">
            <v>0</v>
          </cell>
          <cell r="DG65">
            <v>0</v>
          </cell>
          <cell r="DQ65">
            <v>0</v>
          </cell>
        </row>
        <row r="66">
          <cell r="U66">
            <v>0</v>
          </cell>
          <cell r="AE66">
            <v>0</v>
          </cell>
          <cell r="AO66">
            <v>0</v>
          </cell>
          <cell r="AY66">
            <v>0</v>
          </cell>
          <cell r="BI66">
            <v>0</v>
          </cell>
          <cell r="BS66">
            <v>0</v>
          </cell>
          <cell r="CC66">
            <v>0</v>
          </cell>
          <cell r="CM66">
            <v>0</v>
          </cell>
          <cell r="CW66">
            <v>0</v>
          </cell>
          <cell r="DG66">
            <v>0</v>
          </cell>
        </row>
        <row r="67">
          <cell r="U67">
            <v>0</v>
          </cell>
          <cell r="AE67">
            <v>0</v>
          </cell>
          <cell r="AO67">
            <v>0</v>
          </cell>
          <cell r="AY67">
            <v>0</v>
          </cell>
          <cell r="BI67">
            <v>0</v>
          </cell>
          <cell r="BS67">
            <v>0</v>
          </cell>
          <cell r="CC67">
            <v>0</v>
          </cell>
          <cell r="CM67">
            <v>0</v>
          </cell>
          <cell r="CW67">
            <v>0</v>
          </cell>
          <cell r="DG67">
            <v>0</v>
          </cell>
        </row>
        <row r="68">
          <cell r="U68">
            <v>0</v>
          </cell>
          <cell r="AE68">
            <v>0</v>
          </cell>
          <cell r="AO68">
            <v>0</v>
          </cell>
          <cell r="AY68">
            <v>0</v>
          </cell>
          <cell r="BI68">
            <v>0</v>
          </cell>
          <cell r="BS68">
            <v>0</v>
          </cell>
          <cell r="CC68">
            <v>0</v>
          </cell>
          <cell r="CM68">
            <v>0</v>
          </cell>
          <cell r="CW68">
            <v>0</v>
          </cell>
          <cell r="DG68">
            <v>0</v>
          </cell>
        </row>
        <row r="69">
          <cell r="U69">
            <v>0</v>
          </cell>
          <cell r="AE69">
            <v>0</v>
          </cell>
          <cell r="AO69">
            <v>0</v>
          </cell>
          <cell r="AY69">
            <v>0</v>
          </cell>
          <cell r="BI69">
            <v>0</v>
          </cell>
          <cell r="BS69">
            <v>0</v>
          </cell>
          <cell r="CC69">
            <v>0</v>
          </cell>
          <cell r="CM69">
            <v>0</v>
          </cell>
          <cell r="CW69">
            <v>0</v>
          </cell>
          <cell r="DG69">
            <v>0</v>
          </cell>
        </row>
        <row r="70">
          <cell r="U70">
            <v>0</v>
          </cell>
          <cell r="AE70">
            <v>0</v>
          </cell>
          <cell r="AO70">
            <v>0</v>
          </cell>
          <cell r="AY70">
            <v>0</v>
          </cell>
          <cell r="BI70">
            <v>0</v>
          </cell>
          <cell r="BS70">
            <v>0</v>
          </cell>
          <cell r="CC70">
            <v>0</v>
          </cell>
          <cell r="CM70">
            <v>0</v>
          </cell>
          <cell r="CW70">
            <v>0</v>
          </cell>
          <cell r="DG70">
            <v>0</v>
          </cell>
        </row>
        <row r="71">
          <cell r="U71">
            <v>0</v>
          </cell>
          <cell r="AE71">
            <v>0</v>
          </cell>
          <cell r="AO71">
            <v>0</v>
          </cell>
          <cell r="AY71">
            <v>0</v>
          </cell>
          <cell r="BI71">
            <v>0</v>
          </cell>
          <cell r="BS71">
            <v>0</v>
          </cell>
          <cell r="CC71">
            <v>0</v>
          </cell>
          <cell r="CM71">
            <v>0</v>
          </cell>
          <cell r="CW71">
            <v>0</v>
          </cell>
          <cell r="DG71">
            <v>0</v>
          </cell>
        </row>
        <row r="72">
          <cell r="U72">
            <v>0</v>
          </cell>
          <cell r="AE72">
            <v>0</v>
          </cell>
          <cell r="AO72">
            <v>0</v>
          </cell>
          <cell r="AY72">
            <v>0</v>
          </cell>
          <cell r="BI72">
            <v>0</v>
          </cell>
          <cell r="BS72">
            <v>0</v>
          </cell>
          <cell r="CC72">
            <v>0</v>
          </cell>
          <cell r="CM72">
            <v>0</v>
          </cell>
          <cell r="CW72">
            <v>0</v>
          </cell>
          <cell r="DG72">
            <v>0</v>
          </cell>
        </row>
        <row r="73">
          <cell r="U73">
            <v>0</v>
          </cell>
          <cell r="AE73">
            <v>0</v>
          </cell>
          <cell r="AO73">
            <v>0</v>
          </cell>
          <cell r="AY73">
            <v>0</v>
          </cell>
          <cell r="BI73">
            <v>0</v>
          </cell>
          <cell r="BS73">
            <v>0</v>
          </cell>
          <cell r="CC73">
            <v>0</v>
          </cell>
          <cell r="CM73">
            <v>0</v>
          </cell>
          <cell r="CW73">
            <v>0</v>
          </cell>
          <cell r="DG73">
            <v>0</v>
          </cell>
        </row>
        <row r="74">
          <cell r="U74">
            <v>0</v>
          </cell>
          <cell r="AE74">
            <v>0</v>
          </cell>
          <cell r="AO74">
            <v>0</v>
          </cell>
          <cell r="AY74">
            <v>0</v>
          </cell>
          <cell r="BI74">
            <v>0</v>
          </cell>
          <cell r="BS74">
            <v>0</v>
          </cell>
          <cell r="CC74">
            <v>0</v>
          </cell>
          <cell r="CM74">
            <v>0</v>
          </cell>
          <cell r="CW74">
            <v>0</v>
          </cell>
          <cell r="DG74">
            <v>0</v>
          </cell>
        </row>
        <row r="75">
          <cell r="U75">
            <v>0</v>
          </cell>
          <cell r="AE75">
            <v>0</v>
          </cell>
          <cell r="AO75">
            <v>0</v>
          </cell>
          <cell r="AY75">
            <v>0</v>
          </cell>
          <cell r="BI75">
            <v>0</v>
          </cell>
          <cell r="BS75">
            <v>0</v>
          </cell>
          <cell r="CC75">
            <v>0</v>
          </cell>
          <cell r="CM75">
            <v>0</v>
          </cell>
          <cell r="CW75">
            <v>0</v>
          </cell>
          <cell r="DG75">
            <v>0</v>
          </cell>
        </row>
        <row r="76">
          <cell r="U76">
            <v>0</v>
          </cell>
          <cell r="AE76">
            <v>0</v>
          </cell>
          <cell r="AO76">
            <v>0</v>
          </cell>
          <cell r="AY76">
            <v>0</v>
          </cell>
          <cell r="BI76">
            <v>0</v>
          </cell>
          <cell r="BS76">
            <v>0</v>
          </cell>
          <cell r="CC76">
            <v>0</v>
          </cell>
          <cell r="CM76">
            <v>0</v>
          </cell>
          <cell r="CW76">
            <v>0</v>
          </cell>
          <cell r="DG76">
            <v>0</v>
          </cell>
        </row>
        <row r="77">
          <cell r="U77">
            <v>0</v>
          </cell>
          <cell r="AE77">
            <v>0</v>
          </cell>
          <cell r="AO77">
            <v>0</v>
          </cell>
          <cell r="AY77">
            <v>0</v>
          </cell>
          <cell r="BI77">
            <v>0</v>
          </cell>
          <cell r="BS77">
            <v>0</v>
          </cell>
          <cell r="CC77">
            <v>0</v>
          </cell>
          <cell r="CM77">
            <v>0</v>
          </cell>
          <cell r="CW77">
            <v>0</v>
          </cell>
          <cell r="DG77">
            <v>0</v>
          </cell>
        </row>
        <row r="78">
          <cell r="U78">
            <v>0</v>
          </cell>
          <cell r="AE78">
            <v>0</v>
          </cell>
          <cell r="AO78">
            <v>0</v>
          </cell>
          <cell r="AY78">
            <v>0</v>
          </cell>
          <cell r="BI78">
            <v>0</v>
          </cell>
          <cell r="BS78">
            <v>0</v>
          </cell>
          <cell r="CC78">
            <v>0</v>
          </cell>
          <cell r="CM78">
            <v>0</v>
          </cell>
          <cell r="CW78">
            <v>0</v>
          </cell>
          <cell r="DG78">
            <v>0</v>
          </cell>
        </row>
        <row r="79">
          <cell r="U79">
            <v>0</v>
          </cell>
          <cell r="AE79">
            <v>0</v>
          </cell>
          <cell r="AO79">
            <v>0</v>
          </cell>
          <cell r="AY79">
            <v>0</v>
          </cell>
          <cell r="BI79">
            <v>0</v>
          </cell>
          <cell r="BS79">
            <v>0</v>
          </cell>
          <cell r="CC79">
            <v>0</v>
          </cell>
          <cell r="CM79">
            <v>0</v>
          </cell>
          <cell r="CW79">
            <v>0</v>
          </cell>
          <cell r="DG79">
            <v>0</v>
          </cell>
        </row>
        <row r="80">
          <cell r="U80">
            <v>0</v>
          </cell>
          <cell r="AE80">
            <v>0</v>
          </cell>
          <cell r="AO80">
            <v>0</v>
          </cell>
          <cell r="AY80">
            <v>0</v>
          </cell>
          <cell r="BI80">
            <v>0</v>
          </cell>
          <cell r="BS80">
            <v>0</v>
          </cell>
          <cell r="CC80">
            <v>0</v>
          </cell>
          <cell r="CM80">
            <v>0</v>
          </cell>
          <cell r="CW80">
            <v>0</v>
          </cell>
          <cell r="DG80">
            <v>0</v>
          </cell>
        </row>
        <row r="81">
          <cell r="U81">
            <v>0</v>
          </cell>
          <cell r="AE81">
            <v>0</v>
          </cell>
          <cell r="AO81">
            <v>0</v>
          </cell>
          <cell r="AY81">
            <v>0</v>
          </cell>
          <cell r="BI81">
            <v>0</v>
          </cell>
          <cell r="BS81">
            <v>0</v>
          </cell>
          <cell r="CC81">
            <v>0</v>
          </cell>
          <cell r="CM81">
            <v>0</v>
          </cell>
          <cell r="CW81">
            <v>0</v>
          </cell>
          <cell r="DG81">
            <v>0</v>
          </cell>
        </row>
        <row r="82">
          <cell r="U82">
            <v>0</v>
          </cell>
          <cell r="AE82">
            <v>0</v>
          </cell>
          <cell r="AO82">
            <v>0</v>
          </cell>
          <cell r="AY82">
            <v>0</v>
          </cell>
          <cell r="BI82">
            <v>0</v>
          </cell>
          <cell r="BS82">
            <v>0</v>
          </cell>
          <cell r="CC82">
            <v>0</v>
          </cell>
          <cell r="CM82">
            <v>0</v>
          </cell>
          <cell r="CW82">
            <v>0</v>
          </cell>
          <cell r="DG82">
            <v>0</v>
          </cell>
        </row>
        <row r="83">
          <cell r="U83">
            <v>0</v>
          </cell>
          <cell r="AE83">
            <v>0</v>
          </cell>
          <cell r="AO83">
            <v>0</v>
          </cell>
          <cell r="AY83">
            <v>0</v>
          </cell>
          <cell r="BI83">
            <v>0</v>
          </cell>
          <cell r="BS83">
            <v>0</v>
          </cell>
          <cell r="CC83">
            <v>0</v>
          </cell>
          <cell r="CM83">
            <v>0</v>
          </cell>
          <cell r="CW83">
            <v>0</v>
          </cell>
          <cell r="DG83">
            <v>0</v>
          </cell>
        </row>
        <row r="84">
          <cell r="U84">
            <v>0</v>
          </cell>
          <cell r="AE84">
            <v>0</v>
          </cell>
          <cell r="AO84">
            <v>0</v>
          </cell>
          <cell r="AY84">
            <v>0</v>
          </cell>
          <cell r="BI84">
            <v>0</v>
          </cell>
          <cell r="BS84">
            <v>0</v>
          </cell>
          <cell r="CC84">
            <v>0</v>
          </cell>
          <cell r="CM84">
            <v>0</v>
          </cell>
          <cell r="CW84">
            <v>0</v>
          </cell>
          <cell r="DG84">
            <v>0</v>
          </cell>
        </row>
        <row r="85">
          <cell r="U85">
            <v>0</v>
          </cell>
          <cell r="AE85">
            <v>0</v>
          </cell>
          <cell r="AO85">
            <v>0</v>
          </cell>
          <cell r="AY85">
            <v>0</v>
          </cell>
          <cell r="BI85">
            <v>0</v>
          </cell>
          <cell r="BS85">
            <v>0</v>
          </cell>
          <cell r="CC85">
            <v>0</v>
          </cell>
          <cell r="CM85">
            <v>0</v>
          </cell>
          <cell r="CW85">
            <v>0</v>
          </cell>
          <cell r="DG85">
            <v>0</v>
          </cell>
        </row>
        <row r="86">
          <cell r="U86">
            <v>0</v>
          </cell>
          <cell r="AE86">
            <v>0</v>
          </cell>
          <cell r="AO86">
            <v>0</v>
          </cell>
          <cell r="AY86">
            <v>0</v>
          </cell>
          <cell r="BI86">
            <v>0</v>
          </cell>
          <cell r="BS86">
            <v>0</v>
          </cell>
          <cell r="CC86">
            <v>0</v>
          </cell>
          <cell r="CM86">
            <v>0</v>
          </cell>
          <cell r="CW86">
            <v>0</v>
          </cell>
          <cell r="DG86">
            <v>0</v>
          </cell>
        </row>
        <row r="87">
          <cell r="U87">
            <v>0</v>
          </cell>
          <cell r="AE87">
            <v>0</v>
          </cell>
          <cell r="AO87">
            <v>0</v>
          </cell>
          <cell r="AY87">
            <v>0</v>
          </cell>
          <cell r="BI87">
            <v>0</v>
          </cell>
          <cell r="BS87">
            <v>0</v>
          </cell>
          <cell r="CC87">
            <v>0</v>
          </cell>
          <cell r="CM87">
            <v>0</v>
          </cell>
          <cell r="CW87">
            <v>0</v>
          </cell>
          <cell r="DG87">
            <v>0</v>
          </cell>
        </row>
        <row r="88">
          <cell r="K88">
            <v>0</v>
          </cell>
          <cell r="U88">
            <v>0</v>
          </cell>
          <cell r="AE88">
            <v>0</v>
          </cell>
          <cell r="AO88">
            <v>0</v>
          </cell>
          <cell r="AY88">
            <v>0</v>
          </cell>
          <cell r="BI88">
            <v>0</v>
          </cell>
          <cell r="BS88">
            <v>0</v>
          </cell>
          <cell r="CC88">
            <v>0</v>
          </cell>
          <cell r="CM88">
            <v>0</v>
          </cell>
          <cell r="CW88">
            <v>0</v>
          </cell>
          <cell r="DG88">
            <v>0</v>
          </cell>
          <cell r="DQ88">
            <v>0</v>
          </cell>
        </row>
        <row r="89">
          <cell r="K89">
            <v>0</v>
          </cell>
          <cell r="U89">
            <v>0</v>
          </cell>
          <cell r="AE89">
            <v>0</v>
          </cell>
          <cell r="AO89">
            <v>0</v>
          </cell>
          <cell r="AY89">
            <v>0</v>
          </cell>
          <cell r="BI89">
            <v>0</v>
          </cell>
          <cell r="BS89">
            <v>0</v>
          </cell>
          <cell r="CC89">
            <v>0</v>
          </cell>
          <cell r="CM89">
            <v>0</v>
          </cell>
          <cell r="CW89">
            <v>0</v>
          </cell>
          <cell r="DG89">
            <v>0</v>
          </cell>
          <cell r="DQ89">
            <v>0</v>
          </cell>
        </row>
        <row r="90">
          <cell r="U90">
            <v>0</v>
          </cell>
          <cell r="AE90">
            <v>0</v>
          </cell>
          <cell r="AO90">
            <v>0</v>
          </cell>
          <cell r="AY90">
            <v>0</v>
          </cell>
          <cell r="BI90">
            <v>0</v>
          </cell>
          <cell r="BS90">
            <v>0</v>
          </cell>
          <cell r="CC90">
            <v>0</v>
          </cell>
          <cell r="CM90">
            <v>0</v>
          </cell>
          <cell r="CW90">
            <v>0</v>
          </cell>
          <cell r="DG90">
            <v>0</v>
          </cell>
        </row>
        <row r="91">
          <cell r="U91">
            <v>0</v>
          </cell>
          <cell r="AE91">
            <v>0</v>
          </cell>
          <cell r="AO91">
            <v>0</v>
          </cell>
          <cell r="AY91">
            <v>0</v>
          </cell>
          <cell r="BI91">
            <v>0</v>
          </cell>
          <cell r="BS91">
            <v>0</v>
          </cell>
          <cell r="CC91">
            <v>0</v>
          </cell>
          <cell r="CM91">
            <v>0</v>
          </cell>
          <cell r="CW91">
            <v>0</v>
          </cell>
          <cell r="DG91">
            <v>0</v>
          </cell>
        </row>
        <row r="92">
          <cell r="K92">
            <v>0</v>
          </cell>
          <cell r="U92">
            <v>0</v>
          </cell>
          <cell r="AE92">
            <v>0</v>
          </cell>
          <cell r="AO92">
            <v>0</v>
          </cell>
          <cell r="AY92">
            <v>0</v>
          </cell>
          <cell r="BI92">
            <v>0</v>
          </cell>
          <cell r="BS92">
            <v>0</v>
          </cell>
          <cell r="CC92">
            <v>0</v>
          </cell>
          <cell r="CM92">
            <v>0</v>
          </cell>
          <cell r="CW92">
            <v>0</v>
          </cell>
          <cell r="DG92">
            <v>0</v>
          </cell>
          <cell r="DQ92">
            <v>0</v>
          </cell>
        </row>
        <row r="93">
          <cell r="K93">
            <v>0</v>
          </cell>
          <cell r="U93">
            <v>0</v>
          </cell>
          <cell r="AE93">
            <v>0</v>
          </cell>
          <cell r="AO93">
            <v>0</v>
          </cell>
          <cell r="AY93">
            <v>0</v>
          </cell>
          <cell r="BI93">
            <v>0</v>
          </cell>
          <cell r="BS93">
            <v>0</v>
          </cell>
          <cell r="CC93">
            <v>0</v>
          </cell>
          <cell r="CM93">
            <v>0</v>
          </cell>
          <cell r="CW93">
            <v>0</v>
          </cell>
          <cell r="DG93">
            <v>0</v>
          </cell>
          <cell r="DQ93">
            <v>0</v>
          </cell>
        </row>
        <row r="94">
          <cell r="U94">
            <v>0</v>
          </cell>
          <cell r="AE94">
            <v>0</v>
          </cell>
          <cell r="AO94">
            <v>0</v>
          </cell>
          <cell r="AY94">
            <v>0</v>
          </cell>
          <cell r="BI94">
            <v>0</v>
          </cell>
          <cell r="BS94">
            <v>0</v>
          </cell>
          <cell r="CC94">
            <v>0</v>
          </cell>
          <cell r="CM94">
            <v>0</v>
          </cell>
          <cell r="CW94">
            <v>0</v>
          </cell>
          <cell r="DG94">
            <v>0</v>
          </cell>
        </row>
        <row r="95">
          <cell r="U95">
            <v>0</v>
          </cell>
          <cell r="AE95">
            <v>0</v>
          </cell>
          <cell r="AO95">
            <v>0</v>
          </cell>
          <cell r="AY95">
            <v>0</v>
          </cell>
          <cell r="BI95">
            <v>0</v>
          </cell>
          <cell r="BS95">
            <v>0</v>
          </cell>
          <cell r="CC95">
            <v>0</v>
          </cell>
          <cell r="CM95">
            <v>0</v>
          </cell>
          <cell r="CW95">
            <v>0</v>
          </cell>
          <cell r="DG95">
            <v>0</v>
          </cell>
        </row>
        <row r="96">
          <cell r="K96">
            <v>0</v>
          </cell>
          <cell r="U96">
            <v>0</v>
          </cell>
          <cell r="AE96">
            <v>0</v>
          </cell>
          <cell r="AO96">
            <v>0</v>
          </cell>
          <cell r="AY96">
            <v>0</v>
          </cell>
          <cell r="BI96">
            <v>0</v>
          </cell>
          <cell r="BS96">
            <v>0</v>
          </cell>
          <cell r="CC96">
            <v>0</v>
          </cell>
          <cell r="CM96">
            <v>0</v>
          </cell>
          <cell r="CW96">
            <v>0</v>
          </cell>
          <cell r="DG96">
            <v>0</v>
          </cell>
          <cell r="DQ96">
            <v>0</v>
          </cell>
        </row>
        <row r="97">
          <cell r="U97">
            <v>0</v>
          </cell>
          <cell r="AE97">
            <v>0</v>
          </cell>
          <cell r="AO97">
            <v>0</v>
          </cell>
          <cell r="AY97">
            <v>0</v>
          </cell>
          <cell r="BI97">
            <v>0</v>
          </cell>
          <cell r="BS97">
            <v>0</v>
          </cell>
          <cell r="CC97">
            <v>0</v>
          </cell>
          <cell r="CM97">
            <v>0</v>
          </cell>
          <cell r="CW97">
            <v>0</v>
          </cell>
          <cell r="DG97">
            <v>0</v>
          </cell>
        </row>
        <row r="98">
          <cell r="U98">
            <v>0</v>
          </cell>
          <cell r="AE98">
            <v>0</v>
          </cell>
          <cell r="AO98">
            <v>0</v>
          </cell>
          <cell r="AY98">
            <v>0</v>
          </cell>
          <cell r="BI98">
            <v>0</v>
          </cell>
          <cell r="BS98">
            <v>0</v>
          </cell>
          <cell r="CC98">
            <v>0</v>
          </cell>
          <cell r="CM98">
            <v>0</v>
          </cell>
          <cell r="CW98">
            <v>0</v>
          </cell>
          <cell r="DG98">
            <v>0</v>
          </cell>
        </row>
        <row r="99">
          <cell r="U99">
            <v>0</v>
          </cell>
          <cell r="AE99">
            <v>0</v>
          </cell>
          <cell r="AO99">
            <v>0</v>
          </cell>
          <cell r="AY99">
            <v>0</v>
          </cell>
          <cell r="BI99">
            <v>0</v>
          </cell>
          <cell r="BS99">
            <v>0</v>
          </cell>
          <cell r="CC99">
            <v>0</v>
          </cell>
          <cell r="CM99">
            <v>0</v>
          </cell>
          <cell r="CW99">
            <v>0</v>
          </cell>
          <cell r="DG99">
            <v>0</v>
          </cell>
        </row>
        <row r="100">
          <cell r="U100">
            <v>0</v>
          </cell>
          <cell r="AE100">
            <v>0</v>
          </cell>
          <cell r="AO100">
            <v>0</v>
          </cell>
          <cell r="AY100">
            <v>0</v>
          </cell>
          <cell r="BI100">
            <v>0</v>
          </cell>
          <cell r="BS100">
            <v>0</v>
          </cell>
          <cell r="CC100">
            <v>0</v>
          </cell>
          <cell r="CM100">
            <v>0</v>
          </cell>
          <cell r="CW100">
            <v>0</v>
          </cell>
          <cell r="DG100">
            <v>0</v>
          </cell>
        </row>
        <row r="101">
          <cell r="U101">
            <v>0</v>
          </cell>
          <cell r="AE101">
            <v>0</v>
          </cell>
          <cell r="AO101">
            <v>0</v>
          </cell>
          <cell r="AY101">
            <v>0</v>
          </cell>
          <cell r="BI101">
            <v>0</v>
          </cell>
          <cell r="BS101">
            <v>0</v>
          </cell>
          <cell r="CC101">
            <v>0</v>
          </cell>
          <cell r="CM101">
            <v>0</v>
          </cell>
          <cell r="CW101">
            <v>0</v>
          </cell>
          <cell r="DG101">
            <v>0</v>
          </cell>
        </row>
        <row r="102">
          <cell r="K102">
            <v>0</v>
          </cell>
          <cell r="U102">
            <v>0</v>
          </cell>
          <cell r="AE102">
            <v>0</v>
          </cell>
          <cell r="AO102">
            <v>0</v>
          </cell>
          <cell r="AY102">
            <v>0</v>
          </cell>
          <cell r="BI102">
            <v>0</v>
          </cell>
          <cell r="BS102">
            <v>0</v>
          </cell>
          <cell r="CC102">
            <v>0</v>
          </cell>
          <cell r="CM102">
            <v>0</v>
          </cell>
          <cell r="CW102">
            <v>0</v>
          </cell>
          <cell r="DG102">
            <v>0</v>
          </cell>
          <cell r="DQ102">
            <v>0</v>
          </cell>
        </row>
        <row r="103">
          <cell r="U103">
            <v>0</v>
          </cell>
          <cell r="AE103">
            <v>0</v>
          </cell>
          <cell r="AO103">
            <v>0</v>
          </cell>
          <cell r="AY103">
            <v>0</v>
          </cell>
          <cell r="BI103">
            <v>0</v>
          </cell>
          <cell r="BS103">
            <v>0</v>
          </cell>
          <cell r="CC103">
            <v>0</v>
          </cell>
          <cell r="CM103">
            <v>0</v>
          </cell>
          <cell r="CW103">
            <v>0</v>
          </cell>
          <cell r="DG103">
            <v>0</v>
          </cell>
        </row>
        <row r="104">
          <cell r="U104">
            <v>0</v>
          </cell>
          <cell r="AE104">
            <v>0</v>
          </cell>
          <cell r="AO104">
            <v>0</v>
          </cell>
          <cell r="AY104">
            <v>0</v>
          </cell>
          <cell r="BI104">
            <v>0</v>
          </cell>
          <cell r="BS104">
            <v>0</v>
          </cell>
          <cell r="CC104">
            <v>0</v>
          </cell>
          <cell r="CM104">
            <v>0</v>
          </cell>
          <cell r="CW104">
            <v>0</v>
          </cell>
          <cell r="DG104">
            <v>0</v>
          </cell>
        </row>
        <row r="105">
          <cell r="U105">
            <v>0</v>
          </cell>
          <cell r="AE105">
            <v>0</v>
          </cell>
          <cell r="AO105">
            <v>0</v>
          </cell>
          <cell r="AY105">
            <v>0</v>
          </cell>
          <cell r="BI105">
            <v>0</v>
          </cell>
          <cell r="BS105">
            <v>0</v>
          </cell>
          <cell r="CC105">
            <v>0</v>
          </cell>
          <cell r="CM105">
            <v>0</v>
          </cell>
          <cell r="CW105">
            <v>0</v>
          </cell>
          <cell r="DG105">
            <v>0</v>
          </cell>
        </row>
        <row r="106">
          <cell r="U106">
            <v>0</v>
          </cell>
          <cell r="AE106">
            <v>0</v>
          </cell>
          <cell r="AO106">
            <v>0</v>
          </cell>
          <cell r="AY106">
            <v>0</v>
          </cell>
          <cell r="BI106">
            <v>0</v>
          </cell>
          <cell r="BS106">
            <v>0</v>
          </cell>
          <cell r="CC106">
            <v>0</v>
          </cell>
          <cell r="CM106">
            <v>0</v>
          </cell>
          <cell r="CW106">
            <v>0</v>
          </cell>
          <cell r="DG106">
            <v>0</v>
          </cell>
        </row>
        <row r="107">
          <cell r="U107">
            <v>0</v>
          </cell>
          <cell r="AE107">
            <v>0</v>
          </cell>
          <cell r="AO107">
            <v>0</v>
          </cell>
          <cell r="AY107">
            <v>0</v>
          </cell>
          <cell r="BI107">
            <v>0</v>
          </cell>
          <cell r="BS107">
            <v>0</v>
          </cell>
          <cell r="CC107">
            <v>0</v>
          </cell>
          <cell r="CM107">
            <v>0</v>
          </cell>
          <cell r="CW107">
            <v>0</v>
          </cell>
          <cell r="DG107">
            <v>0</v>
          </cell>
        </row>
        <row r="108">
          <cell r="U108">
            <v>0</v>
          </cell>
          <cell r="AE108">
            <v>0</v>
          </cell>
          <cell r="AO108">
            <v>0</v>
          </cell>
          <cell r="AY108">
            <v>0</v>
          </cell>
          <cell r="BI108">
            <v>0</v>
          </cell>
          <cell r="BS108">
            <v>0</v>
          </cell>
          <cell r="CC108">
            <v>0</v>
          </cell>
          <cell r="CM108">
            <v>0</v>
          </cell>
          <cell r="CW108">
            <v>0</v>
          </cell>
          <cell r="DG108">
            <v>0</v>
          </cell>
        </row>
        <row r="109">
          <cell r="U109">
            <v>0</v>
          </cell>
          <cell r="AE109">
            <v>0</v>
          </cell>
          <cell r="AO109">
            <v>0</v>
          </cell>
          <cell r="AY109">
            <v>0</v>
          </cell>
          <cell r="BI109">
            <v>0</v>
          </cell>
          <cell r="BS109">
            <v>0</v>
          </cell>
          <cell r="CC109">
            <v>0</v>
          </cell>
          <cell r="CM109">
            <v>0</v>
          </cell>
          <cell r="CW109">
            <v>0</v>
          </cell>
          <cell r="DG109">
            <v>0</v>
          </cell>
        </row>
        <row r="110">
          <cell r="U110">
            <v>0</v>
          </cell>
          <cell r="AE110">
            <v>0</v>
          </cell>
          <cell r="AO110">
            <v>0</v>
          </cell>
          <cell r="AY110">
            <v>0</v>
          </cell>
          <cell r="BI110">
            <v>0</v>
          </cell>
          <cell r="BS110">
            <v>0</v>
          </cell>
          <cell r="CC110">
            <v>0</v>
          </cell>
          <cell r="CM110">
            <v>0</v>
          </cell>
          <cell r="CW110">
            <v>0</v>
          </cell>
          <cell r="DG110">
            <v>0</v>
          </cell>
        </row>
        <row r="111">
          <cell r="U111">
            <v>0</v>
          </cell>
          <cell r="AE111">
            <v>0</v>
          </cell>
          <cell r="AO111">
            <v>0</v>
          </cell>
          <cell r="AY111">
            <v>0</v>
          </cell>
          <cell r="BI111">
            <v>0</v>
          </cell>
          <cell r="BS111">
            <v>0</v>
          </cell>
          <cell r="CC111">
            <v>0</v>
          </cell>
          <cell r="CM111">
            <v>0</v>
          </cell>
          <cell r="CW111">
            <v>0</v>
          </cell>
          <cell r="DG111">
            <v>0</v>
          </cell>
        </row>
        <row r="112">
          <cell r="U112">
            <v>0</v>
          </cell>
          <cell r="AE112">
            <v>0</v>
          </cell>
          <cell r="AO112">
            <v>0</v>
          </cell>
          <cell r="AY112">
            <v>0</v>
          </cell>
          <cell r="BI112">
            <v>0</v>
          </cell>
          <cell r="BS112">
            <v>0</v>
          </cell>
          <cell r="CC112">
            <v>0</v>
          </cell>
          <cell r="CM112">
            <v>0</v>
          </cell>
          <cell r="CW112">
            <v>0</v>
          </cell>
          <cell r="DG112">
            <v>0</v>
          </cell>
        </row>
        <row r="113">
          <cell r="U113">
            <v>0</v>
          </cell>
          <cell r="AE113">
            <v>0</v>
          </cell>
          <cell r="AO113">
            <v>0</v>
          </cell>
          <cell r="AY113">
            <v>0</v>
          </cell>
          <cell r="BI113">
            <v>0</v>
          </cell>
          <cell r="BS113">
            <v>0</v>
          </cell>
          <cell r="CC113">
            <v>0</v>
          </cell>
          <cell r="CM113">
            <v>0</v>
          </cell>
          <cell r="CW113">
            <v>0</v>
          </cell>
          <cell r="DG113">
            <v>0</v>
          </cell>
        </row>
        <row r="114">
          <cell r="K114">
            <v>0</v>
          </cell>
          <cell r="U114">
            <v>0</v>
          </cell>
          <cell r="AE114">
            <v>0</v>
          </cell>
          <cell r="AO114">
            <v>0</v>
          </cell>
          <cell r="AY114">
            <v>0</v>
          </cell>
          <cell r="BI114">
            <v>0</v>
          </cell>
          <cell r="BS114">
            <v>0</v>
          </cell>
          <cell r="CC114">
            <v>0</v>
          </cell>
          <cell r="CM114">
            <v>0</v>
          </cell>
          <cell r="CW114">
            <v>0</v>
          </cell>
          <cell r="DG114">
            <v>0</v>
          </cell>
          <cell r="DQ114">
            <v>0</v>
          </cell>
        </row>
        <row r="115">
          <cell r="K115">
            <v>0</v>
          </cell>
          <cell r="U115">
            <v>0</v>
          </cell>
          <cell r="AE115">
            <v>0</v>
          </cell>
          <cell r="AO115">
            <v>0</v>
          </cell>
          <cell r="AY115">
            <v>0</v>
          </cell>
          <cell r="BI115">
            <v>0</v>
          </cell>
          <cell r="BS115">
            <v>0</v>
          </cell>
          <cell r="CC115">
            <v>0</v>
          </cell>
          <cell r="CM115">
            <v>0</v>
          </cell>
          <cell r="CW115">
            <v>0</v>
          </cell>
          <cell r="DG115">
            <v>0</v>
          </cell>
          <cell r="DQ115">
            <v>0</v>
          </cell>
        </row>
        <row r="116">
          <cell r="U116">
            <v>0</v>
          </cell>
          <cell r="AE116">
            <v>0</v>
          </cell>
          <cell r="AO116">
            <v>0</v>
          </cell>
          <cell r="AY116">
            <v>0</v>
          </cell>
          <cell r="BI116">
            <v>0</v>
          </cell>
          <cell r="BS116">
            <v>0</v>
          </cell>
          <cell r="CC116">
            <v>0</v>
          </cell>
          <cell r="CM116">
            <v>0</v>
          </cell>
          <cell r="CW116">
            <v>0</v>
          </cell>
          <cell r="DG116">
            <v>0</v>
          </cell>
        </row>
        <row r="117">
          <cell r="U117">
            <v>0</v>
          </cell>
          <cell r="AE117">
            <v>0</v>
          </cell>
          <cell r="AO117">
            <v>0</v>
          </cell>
          <cell r="AY117">
            <v>0</v>
          </cell>
          <cell r="BI117">
            <v>0</v>
          </cell>
          <cell r="BS117">
            <v>0</v>
          </cell>
          <cell r="CC117">
            <v>0</v>
          </cell>
          <cell r="CM117">
            <v>0</v>
          </cell>
          <cell r="CW117">
            <v>0</v>
          </cell>
          <cell r="DG117">
            <v>0</v>
          </cell>
        </row>
        <row r="118">
          <cell r="U118">
            <v>0</v>
          </cell>
          <cell r="AE118">
            <v>0</v>
          </cell>
          <cell r="AO118">
            <v>0</v>
          </cell>
          <cell r="AY118">
            <v>0</v>
          </cell>
          <cell r="BI118">
            <v>0</v>
          </cell>
          <cell r="BS118">
            <v>0</v>
          </cell>
          <cell r="CC118">
            <v>0</v>
          </cell>
          <cell r="CM118">
            <v>0</v>
          </cell>
          <cell r="CW118">
            <v>0</v>
          </cell>
          <cell r="DG118">
            <v>0</v>
          </cell>
        </row>
        <row r="119">
          <cell r="U119">
            <v>0</v>
          </cell>
          <cell r="AE119">
            <v>0</v>
          </cell>
          <cell r="AO119">
            <v>0</v>
          </cell>
          <cell r="AY119">
            <v>0</v>
          </cell>
          <cell r="BI119">
            <v>0</v>
          </cell>
          <cell r="BS119">
            <v>0</v>
          </cell>
          <cell r="CC119">
            <v>0</v>
          </cell>
          <cell r="CM119">
            <v>0</v>
          </cell>
          <cell r="CW119">
            <v>0</v>
          </cell>
          <cell r="DG119">
            <v>0</v>
          </cell>
        </row>
        <row r="120">
          <cell r="U120">
            <v>0</v>
          </cell>
          <cell r="AE120">
            <v>0</v>
          </cell>
          <cell r="AO120">
            <v>0</v>
          </cell>
          <cell r="AY120">
            <v>0</v>
          </cell>
          <cell r="BI120">
            <v>0</v>
          </cell>
          <cell r="BS120">
            <v>0</v>
          </cell>
          <cell r="CC120">
            <v>0</v>
          </cell>
          <cell r="CM120">
            <v>0</v>
          </cell>
          <cell r="CW120">
            <v>0</v>
          </cell>
          <cell r="DG120">
            <v>0</v>
          </cell>
        </row>
        <row r="121">
          <cell r="U121">
            <v>0</v>
          </cell>
          <cell r="AE121">
            <v>0</v>
          </cell>
          <cell r="AO121">
            <v>0</v>
          </cell>
          <cell r="AY121">
            <v>0</v>
          </cell>
          <cell r="BI121">
            <v>0</v>
          </cell>
          <cell r="BS121">
            <v>0</v>
          </cell>
          <cell r="CC121">
            <v>0</v>
          </cell>
          <cell r="CM121">
            <v>0</v>
          </cell>
          <cell r="CW121">
            <v>0</v>
          </cell>
          <cell r="DG121">
            <v>0</v>
          </cell>
        </row>
        <row r="122">
          <cell r="U122">
            <v>0</v>
          </cell>
          <cell r="AE122">
            <v>0</v>
          </cell>
          <cell r="AO122">
            <v>0</v>
          </cell>
          <cell r="AY122">
            <v>0</v>
          </cell>
          <cell r="BI122">
            <v>0</v>
          </cell>
          <cell r="BS122">
            <v>0</v>
          </cell>
          <cell r="CC122">
            <v>0</v>
          </cell>
          <cell r="CM122">
            <v>0</v>
          </cell>
          <cell r="CW122">
            <v>0</v>
          </cell>
          <cell r="DG122">
            <v>0</v>
          </cell>
        </row>
        <row r="123">
          <cell r="U123">
            <v>0</v>
          </cell>
          <cell r="AE123">
            <v>0</v>
          </cell>
          <cell r="AO123">
            <v>0</v>
          </cell>
          <cell r="AY123">
            <v>0</v>
          </cell>
          <cell r="BI123">
            <v>0</v>
          </cell>
          <cell r="BS123">
            <v>0</v>
          </cell>
          <cell r="CC123">
            <v>0</v>
          </cell>
          <cell r="CM123">
            <v>0</v>
          </cell>
          <cell r="CW123">
            <v>0</v>
          </cell>
          <cell r="DG123">
            <v>0</v>
          </cell>
        </row>
        <row r="124">
          <cell r="U124">
            <v>0</v>
          </cell>
          <cell r="AE124">
            <v>0</v>
          </cell>
          <cell r="AO124">
            <v>0</v>
          </cell>
          <cell r="AY124">
            <v>0</v>
          </cell>
          <cell r="BI124">
            <v>0</v>
          </cell>
          <cell r="BS124">
            <v>0</v>
          </cell>
          <cell r="CC124">
            <v>0</v>
          </cell>
          <cell r="CM124">
            <v>0</v>
          </cell>
          <cell r="CW124">
            <v>0</v>
          </cell>
          <cell r="DG124">
            <v>0</v>
          </cell>
        </row>
        <row r="125">
          <cell r="U125">
            <v>0</v>
          </cell>
          <cell r="AE125">
            <v>0</v>
          </cell>
          <cell r="AO125">
            <v>0</v>
          </cell>
          <cell r="AY125">
            <v>0</v>
          </cell>
          <cell r="BI125">
            <v>0</v>
          </cell>
          <cell r="BS125">
            <v>0</v>
          </cell>
          <cell r="CC125">
            <v>0</v>
          </cell>
          <cell r="CM125">
            <v>0</v>
          </cell>
          <cell r="CW125">
            <v>0</v>
          </cell>
          <cell r="DG125">
            <v>0</v>
          </cell>
        </row>
        <row r="126">
          <cell r="U126">
            <v>0</v>
          </cell>
          <cell r="AE126">
            <v>0</v>
          </cell>
          <cell r="AO126">
            <v>0</v>
          </cell>
          <cell r="AY126">
            <v>0</v>
          </cell>
          <cell r="BI126">
            <v>0</v>
          </cell>
          <cell r="BS126">
            <v>0</v>
          </cell>
          <cell r="CC126">
            <v>0</v>
          </cell>
          <cell r="CM126">
            <v>0</v>
          </cell>
          <cell r="CW126">
            <v>0</v>
          </cell>
          <cell r="DG126">
            <v>0</v>
          </cell>
        </row>
        <row r="127">
          <cell r="U127">
            <v>0</v>
          </cell>
          <cell r="AE127">
            <v>0</v>
          </cell>
          <cell r="AO127">
            <v>0</v>
          </cell>
          <cell r="AY127">
            <v>0</v>
          </cell>
          <cell r="BI127">
            <v>0</v>
          </cell>
          <cell r="BS127">
            <v>0</v>
          </cell>
          <cell r="CC127">
            <v>0</v>
          </cell>
          <cell r="CM127">
            <v>0</v>
          </cell>
          <cell r="CW127">
            <v>0</v>
          </cell>
          <cell r="DG127">
            <v>0</v>
          </cell>
        </row>
        <row r="128">
          <cell r="U128">
            <v>0</v>
          </cell>
          <cell r="AE128">
            <v>0</v>
          </cell>
          <cell r="AO128">
            <v>0</v>
          </cell>
          <cell r="AY128">
            <v>0</v>
          </cell>
          <cell r="BI128">
            <v>0</v>
          </cell>
          <cell r="BS128">
            <v>0</v>
          </cell>
          <cell r="CC128">
            <v>0</v>
          </cell>
          <cell r="CM128">
            <v>0</v>
          </cell>
          <cell r="CW128">
            <v>0</v>
          </cell>
          <cell r="DG128">
            <v>0</v>
          </cell>
        </row>
        <row r="129">
          <cell r="U129">
            <v>0</v>
          </cell>
          <cell r="AE129">
            <v>0</v>
          </cell>
          <cell r="AO129">
            <v>0</v>
          </cell>
          <cell r="AY129">
            <v>0</v>
          </cell>
          <cell r="BI129">
            <v>0</v>
          </cell>
          <cell r="BS129">
            <v>0</v>
          </cell>
          <cell r="CC129">
            <v>0</v>
          </cell>
          <cell r="CM129">
            <v>0</v>
          </cell>
          <cell r="CW129">
            <v>0</v>
          </cell>
          <cell r="DG129">
            <v>0</v>
          </cell>
        </row>
        <row r="130">
          <cell r="U130">
            <v>0</v>
          </cell>
          <cell r="AE130">
            <v>0</v>
          </cell>
          <cell r="AO130">
            <v>0</v>
          </cell>
          <cell r="AY130">
            <v>0</v>
          </cell>
          <cell r="BI130">
            <v>0</v>
          </cell>
          <cell r="BS130">
            <v>0</v>
          </cell>
          <cell r="CC130">
            <v>0</v>
          </cell>
          <cell r="CM130">
            <v>0</v>
          </cell>
          <cell r="CW130">
            <v>0</v>
          </cell>
          <cell r="DG130">
            <v>0</v>
          </cell>
        </row>
        <row r="131">
          <cell r="U131">
            <v>0</v>
          </cell>
          <cell r="AE131">
            <v>0</v>
          </cell>
          <cell r="AO131">
            <v>0</v>
          </cell>
          <cell r="AY131">
            <v>0</v>
          </cell>
          <cell r="BI131">
            <v>0</v>
          </cell>
          <cell r="BS131">
            <v>0</v>
          </cell>
          <cell r="CC131">
            <v>0</v>
          </cell>
          <cell r="CM131">
            <v>0</v>
          </cell>
          <cell r="CW131">
            <v>0</v>
          </cell>
          <cell r="DG131">
            <v>0</v>
          </cell>
        </row>
        <row r="132">
          <cell r="K132">
            <v>0</v>
          </cell>
          <cell r="U132">
            <v>0</v>
          </cell>
          <cell r="AE132">
            <v>0</v>
          </cell>
          <cell r="AO132">
            <v>0</v>
          </cell>
          <cell r="AY132">
            <v>0</v>
          </cell>
          <cell r="BI132">
            <v>0</v>
          </cell>
          <cell r="BS132">
            <v>0</v>
          </cell>
          <cell r="CC132">
            <v>0</v>
          </cell>
          <cell r="CM132">
            <v>0</v>
          </cell>
          <cell r="CW132">
            <v>0</v>
          </cell>
          <cell r="DG132">
            <v>0</v>
          </cell>
          <cell r="DQ132">
            <v>0</v>
          </cell>
        </row>
        <row r="133">
          <cell r="U133">
            <v>0</v>
          </cell>
          <cell r="AE133">
            <v>0</v>
          </cell>
          <cell r="AO133">
            <v>0</v>
          </cell>
          <cell r="AY133">
            <v>0</v>
          </cell>
          <cell r="BI133">
            <v>0</v>
          </cell>
          <cell r="BS133">
            <v>0</v>
          </cell>
          <cell r="CC133">
            <v>0</v>
          </cell>
          <cell r="CM133">
            <v>0</v>
          </cell>
          <cell r="CW133">
            <v>0</v>
          </cell>
          <cell r="DG133">
            <v>0</v>
          </cell>
        </row>
        <row r="134">
          <cell r="K134">
            <v>0</v>
          </cell>
          <cell r="U134">
            <v>0</v>
          </cell>
          <cell r="AE134">
            <v>0</v>
          </cell>
          <cell r="AO134">
            <v>0</v>
          </cell>
          <cell r="AY134">
            <v>0</v>
          </cell>
          <cell r="BI134">
            <v>0</v>
          </cell>
          <cell r="BS134">
            <v>0</v>
          </cell>
          <cell r="CC134">
            <v>0</v>
          </cell>
          <cell r="CM134">
            <v>0</v>
          </cell>
          <cell r="CW134">
            <v>0</v>
          </cell>
          <cell r="DG134">
            <v>0</v>
          </cell>
          <cell r="DQ134">
            <v>0</v>
          </cell>
        </row>
        <row r="135">
          <cell r="K135">
            <v>0</v>
          </cell>
          <cell r="U135">
            <v>0</v>
          </cell>
          <cell r="AE135">
            <v>0</v>
          </cell>
          <cell r="AO135">
            <v>0</v>
          </cell>
          <cell r="AY135">
            <v>0</v>
          </cell>
          <cell r="BI135">
            <v>0</v>
          </cell>
          <cell r="BS135">
            <v>0</v>
          </cell>
          <cell r="CC135">
            <v>0</v>
          </cell>
          <cell r="CM135">
            <v>0</v>
          </cell>
          <cell r="CW135">
            <v>0</v>
          </cell>
          <cell r="DG135">
            <v>0</v>
          </cell>
          <cell r="DQ135">
            <v>0</v>
          </cell>
        </row>
        <row r="136">
          <cell r="K136">
            <v>64.2</v>
          </cell>
          <cell r="U136">
            <v>0</v>
          </cell>
          <cell r="AE136">
            <v>0</v>
          </cell>
          <cell r="AO136">
            <v>0</v>
          </cell>
          <cell r="AY136">
            <v>0</v>
          </cell>
          <cell r="BI136">
            <v>0</v>
          </cell>
          <cell r="BS136">
            <v>0</v>
          </cell>
          <cell r="CC136">
            <v>0</v>
          </cell>
          <cell r="CM136">
            <v>0</v>
          </cell>
          <cell r="CW136">
            <v>-72.731250000000003</v>
          </cell>
          <cell r="DG136">
            <v>0</v>
          </cell>
          <cell r="DQ136">
            <v>0</v>
          </cell>
        </row>
        <row r="137">
          <cell r="K137">
            <v>1</v>
          </cell>
          <cell r="U137">
            <v>0</v>
          </cell>
          <cell r="AE137">
            <v>0</v>
          </cell>
          <cell r="AO137">
            <v>0</v>
          </cell>
          <cell r="AY137">
            <v>0</v>
          </cell>
          <cell r="BI137">
            <v>0</v>
          </cell>
          <cell r="BS137">
            <v>0</v>
          </cell>
          <cell r="CC137">
            <v>0</v>
          </cell>
          <cell r="CM137">
            <v>0</v>
          </cell>
          <cell r="CW137">
            <v>1</v>
          </cell>
          <cell r="DG137">
            <v>0</v>
          </cell>
          <cell r="DQ137">
            <v>0</v>
          </cell>
        </row>
      </sheetData>
      <sheetData sheetId="7" refreshError="1">
        <row r="1">
          <cell r="A1" t="str">
            <v>AR$ '000</v>
          </cell>
        </row>
        <row r="5">
          <cell r="A5">
            <v>2</v>
          </cell>
        </row>
        <row r="6">
          <cell r="A6" t="str">
            <v>Año: 2005</v>
          </cell>
          <cell r="B6">
            <v>220</v>
          </cell>
          <cell r="C6">
            <v>450</v>
          </cell>
          <cell r="D6" t="str">
            <v xml:space="preserve"> 611+613</v>
          </cell>
          <cell r="Q6">
            <v>220</v>
          </cell>
          <cell r="R6">
            <v>450</v>
          </cell>
          <cell r="S6" t="str">
            <v xml:space="preserve"> 611+613</v>
          </cell>
          <cell r="T6" t="str">
            <v xml:space="preserve"> 611+613</v>
          </cell>
          <cell r="V6">
            <v>220</v>
          </cell>
          <cell r="W6">
            <v>450</v>
          </cell>
          <cell r="X6">
            <v>610</v>
          </cell>
          <cell r="AA6">
            <v>220</v>
          </cell>
          <cell r="AB6">
            <v>450</v>
          </cell>
          <cell r="AC6">
            <v>610</v>
          </cell>
        </row>
        <row r="7">
          <cell r="A7" t="str">
            <v>Detalle ILI</v>
          </cell>
        </row>
        <row r="8">
          <cell r="B8" t="str">
            <v>Enero</v>
          </cell>
          <cell r="G8" t="str">
            <v>Febrero</v>
          </cell>
          <cell r="L8" t="str">
            <v>Marzo</v>
          </cell>
          <cell r="Q8" t="str">
            <v>Abril</v>
          </cell>
          <cell r="V8" t="str">
            <v>Mayo</v>
          </cell>
          <cell r="AA8" t="str">
            <v>Junio</v>
          </cell>
        </row>
        <row r="9">
          <cell r="A9" t="str">
            <v>Descripción</v>
          </cell>
          <cell r="B9" t="str">
            <v>Cajones</v>
          </cell>
          <cell r="C9" t="str">
            <v>Repuestos</v>
          </cell>
          <cell r="D9" t="str">
            <v>Pacheco</v>
          </cell>
          <cell r="E9" t="str">
            <v>Garín</v>
          </cell>
          <cell r="F9" t="str">
            <v>Total</v>
          </cell>
          <cell r="G9" t="str">
            <v>Cajones</v>
          </cell>
          <cell r="H9" t="str">
            <v>Repuestos</v>
          </cell>
          <cell r="I9" t="str">
            <v>Pacheco</v>
          </cell>
          <cell r="J9" t="str">
            <v>Garin</v>
          </cell>
          <cell r="K9" t="str">
            <v>Total</v>
          </cell>
          <cell r="L9" t="str">
            <v>Cajones</v>
          </cell>
          <cell r="M9" t="str">
            <v>Repuestos</v>
          </cell>
          <cell r="N9" t="str">
            <v>Pacheco</v>
          </cell>
          <cell r="O9" t="str">
            <v>Garin</v>
          </cell>
          <cell r="P9" t="str">
            <v>Total</v>
          </cell>
          <cell r="Q9" t="str">
            <v>Cajones</v>
          </cell>
          <cell r="R9" t="str">
            <v>Repuestos</v>
          </cell>
          <cell r="S9" t="str">
            <v>Pacheco</v>
          </cell>
          <cell r="T9" t="str">
            <v>Garin</v>
          </cell>
          <cell r="U9" t="str">
            <v>Total</v>
          </cell>
          <cell r="V9" t="str">
            <v>Cajones</v>
          </cell>
          <cell r="W9" t="str">
            <v>Repuestos</v>
          </cell>
          <cell r="X9" t="str">
            <v>Pacheco</v>
          </cell>
          <cell r="Y9" t="str">
            <v>Garín</v>
          </cell>
          <cell r="Z9" t="str">
            <v>Total</v>
          </cell>
          <cell r="AA9" t="str">
            <v>Cajones</v>
          </cell>
          <cell r="AB9" t="str">
            <v>Repuestos</v>
          </cell>
          <cell r="AC9" t="str">
            <v>Pacheco</v>
          </cell>
          <cell r="AD9" t="str">
            <v>Garín</v>
          </cell>
          <cell r="AE9" t="str">
            <v>Total</v>
          </cell>
        </row>
        <row r="12">
          <cell r="A12" t="str">
            <v>Ventes Hors Groupe PSA</v>
          </cell>
          <cell r="B12">
            <v>126.82</v>
          </cell>
          <cell r="C12">
            <v>0</v>
          </cell>
          <cell r="D12">
            <v>141.71</v>
          </cell>
          <cell r="E12">
            <v>49.9</v>
          </cell>
          <cell r="F12">
            <v>318.42999999999995</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J12">
            <v>0</v>
          </cell>
          <cell r="AO12">
            <v>0</v>
          </cell>
          <cell r="AT12">
            <v>0</v>
          </cell>
          <cell r="AY12">
            <v>0</v>
          </cell>
          <cell r="BD12">
            <v>0</v>
          </cell>
          <cell r="BI12">
            <v>0</v>
          </cell>
        </row>
        <row r="13">
          <cell r="A13" t="str">
            <v>Ventes Horas Groupe KN</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J13">
            <v>0</v>
          </cell>
          <cell r="AO13">
            <v>0</v>
          </cell>
          <cell r="AT13">
            <v>0</v>
          </cell>
          <cell r="AY13">
            <v>0</v>
          </cell>
          <cell r="BD13">
            <v>0</v>
          </cell>
          <cell r="BI13">
            <v>0</v>
          </cell>
        </row>
        <row r="14">
          <cell r="A14" t="str">
            <v>Ventes Groupe Gefco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J14">
            <v>0</v>
          </cell>
          <cell r="AO14">
            <v>0</v>
          </cell>
          <cell r="AT14">
            <v>0</v>
          </cell>
          <cell r="AY14">
            <v>0</v>
          </cell>
          <cell r="BD14">
            <v>0</v>
          </cell>
          <cell r="BI14">
            <v>0</v>
          </cell>
        </row>
        <row r="15">
          <cell r="A15" t="str">
            <v>Ventes Groupe PSA Consolidé</v>
          </cell>
          <cell r="B15">
            <v>12.46</v>
          </cell>
          <cell r="C15">
            <v>108.84</v>
          </cell>
          <cell r="D15">
            <v>0</v>
          </cell>
          <cell r="E15">
            <v>0</v>
          </cell>
          <cell r="F15">
            <v>121.30000000000001</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J15">
            <v>0</v>
          </cell>
          <cell r="AO15">
            <v>0</v>
          </cell>
          <cell r="AT15">
            <v>0</v>
          </cell>
          <cell r="AY15">
            <v>0</v>
          </cell>
          <cell r="BD15">
            <v>0</v>
          </cell>
          <cell r="BI15">
            <v>0</v>
          </cell>
        </row>
        <row r="16">
          <cell r="A16" t="str">
            <v>Total Ventes Externes</v>
          </cell>
          <cell r="B16">
            <v>139.28</v>
          </cell>
          <cell r="C16">
            <v>108.84</v>
          </cell>
          <cell r="D16">
            <v>141.71</v>
          </cell>
          <cell r="E16">
            <v>49.9</v>
          </cell>
          <cell r="F16">
            <v>439.72999999999996</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J16">
            <v>0</v>
          </cell>
          <cell r="AO16">
            <v>0</v>
          </cell>
          <cell r="AT16">
            <v>0</v>
          </cell>
          <cell r="AY16">
            <v>0</v>
          </cell>
          <cell r="BD16">
            <v>0</v>
          </cell>
          <cell r="BI16">
            <v>0</v>
          </cell>
        </row>
        <row r="17">
          <cell r="A17" t="str">
            <v>Ventes Inter-Centres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J17">
            <v>0</v>
          </cell>
          <cell r="AO17">
            <v>0</v>
          </cell>
          <cell r="AT17">
            <v>0</v>
          </cell>
          <cell r="AY17">
            <v>0</v>
          </cell>
          <cell r="BD17">
            <v>0</v>
          </cell>
          <cell r="BI17">
            <v>0</v>
          </cell>
        </row>
        <row r="18">
          <cell r="A18" t="str">
            <v>Ventes Inter-Activités</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J18">
            <v>0</v>
          </cell>
          <cell r="AO18">
            <v>0</v>
          </cell>
          <cell r="AT18">
            <v>0</v>
          </cell>
          <cell r="AY18">
            <v>0</v>
          </cell>
          <cell r="BD18">
            <v>0</v>
          </cell>
          <cell r="BI18">
            <v>0</v>
          </cell>
        </row>
        <row r="19">
          <cell r="A19" t="str">
            <v>Ventes Internes Autres</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J19">
            <v>0</v>
          </cell>
          <cell r="AO19">
            <v>0</v>
          </cell>
          <cell r="AT19">
            <v>0</v>
          </cell>
          <cell r="AY19">
            <v>0</v>
          </cell>
          <cell r="BD19">
            <v>0</v>
          </cell>
          <cell r="BI19">
            <v>0</v>
          </cell>
        </row>
        <row r="20">
          <cell r="A20" t="str">
            <v>Total Ventes Internes</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J20">
            <v>0</v>
          </cell>
          <cell r="AO20">
            <v>0</v>
          </cell>
          <cell r="AT20">
            <v>0</v>
          </cell>
          <cell r="AY20">
            <v>0</v>
          </cell>
          <cell r="BD20">
            <v>0</v>
          </cell>
          <cell r="BI20">
            <v>0</v>
          </cell>
        </row>
        <row r="21">
          <cell r="A21" t="str">
            <v>Total Ventes</v>
          </cell>
          <cell r="B21">
            <v>139.28</v>
          </cell>
          <cell r="C21">
            <v>108.84</v>
          </cell>
          <cell r="D21">
            <v>141.71</v>
          </cell>
          <cell r="E21">
            <v>49.9</v>
          </cell>
          <cell r="F21">
            <v>439.72999999999996</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J21">
            <v>0</v>
          </cell>
          <cell r="AO21">
            <v>0</v>
          </cell>
          <cell r="AT21">
            <v>0</v>
          </cell>
          <cell r="AY21">
            <v>0</v>
          </cell>
          <cell r="BD21">
            <v>0</v>
          </cell>
          <cell r="BI21">
            <v>0</v>
          </cell>
        </row>
        <row r="22">
          <cell r="A22" t="str">
            <v>Achats Routes</v>
          </cell>
          <cell r="B22">
            <v>1.75</v>
          </cell>
          <cell r="C22">
            <v>0</v>
          </cell>
          <cell r="D22">
            <v>0</v>
          </cell>
          <cell r="E22">
            <v>0</v>
          </cell>
          <cell r="F22">
            <v>1.75</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J22">
            <v>0</v>
          </cell>
          <cell r="AO22">
            <v>0</v>
          </cell>
          <cell r="AT22">
            <v>0</v>
          </cell>
          <cell r="AY22">
            <v>0</v>
          </cell>
          <cell r="BD22">
            <v>0</v>
          </cell>
          <cell r="BI22">
            <v>0</v>
          </cell>
        </row>
        <row r="23">
          <cell r="A23" t="str">
            <v>Achats Fer</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J23">
            <v>0</v>
          </cell>
          <cell r="AO23">
            <v>0</v>
          </cell>
          <cell r="AT23">
            <v>0</v>
          </cell>
          <cell r="AY23">
            <v>0</v>
          </cell>
          <cell r="BD23">
            <v>0</v>
          </cell>
          <cell r="BI23">
            <v>0</v>
          </cell>
        </row>
        <row r="24">
          <cell r="A24" t="str">
            <v>Achats Mer</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J24">
            <v>0</v>
          </cell>
          <cell r="AO24">
            <v>0</v>
          </cell>
          <cell r="AT24">
            <v>0</v>
          </cell>
          <cell r="AY24">
            <v>0</v>
          </cell>
          <cell r="BD24">
            <v>0</v>
          </cell>
          <cell r="BI24">
            <v>0</v>
          </cell>
        </row>
        <row r="25">
          <cell r="A25" t="str">
            <v>Achats Aériens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J25">
            <v>0</v>
          </cell>
          <cell r="AO25">
            <v>0</v>
          </cell>
          <cell r="AT25">
            <v>0</v>
          </cell>
          <cell r="AY25">
            <v>0</v>
          </cell>
          <cell r="BD25">
            <v>0</v>
          </cell>
          <cell r="BI25">
            <v>0</v>
          </cell>
        </row>
        <row r="26">
          <cell r="A26" t="str">
            <v>Achats Fluviaux</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J26">
            <v>0</v>
          </cell>
          <cell r="AO26">
            <v>0</v>
          </cell>
          <cell r="AT26">
            <v>0</v>
          </cell>
          <cell r="AY26">
            <v>0</v>
          </cell>
          <cell r="BD26">
            <v>0</v>
          </cell>
          <cell r="BI26">
            <v>0</v>
          </cell>
        </row>
        <row r="27">
          <cell r="A27" t="str">
            <v>Achats Autres</v>
          </cell>
          <cell r="B27">
            <v>87.47</v>
          </cell>
          <cell r="C27">
            <v>0</v>
          </cell>
          <cell r="D27">
            <v>-7</v>
          </cell>
          <cell r="E27">
            <v>0</v>
          </cell>
          <cell r="F27">
            <v>80.47</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J27">
            <v>0</v>
          </cell>
          <cell r="AO27">
            <v>0</v>
          </cell>
          <cell r="AT27">
            <v>0</v>
          </cell>
          <cell r="AY27">
            <v>0</v>
          </cell>
          <cell r="BD27">
            <v>0</v>
          </cell>
          <cell r="BI27">
            <v>0</v>
          </cell>
        </row>
        <row r="28">
          <cell r="A28" t="str">
            <v>Total Achats Externes</v>
          </cell>
          <cell r="B28">
            <v>89.22</v>
          </cell>
          <cell r="C28">
            <v>0</v>
          </cell>
          <cell r="D28">
            <v>-7</v>
          </cell>
          <cell r="E28">
            <v>0</v>
          </cell>
          <cell r="F28">
            <v>82.22</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J28">
            <v>0</v>
          </cell>
          <cell r="AO28">
            <v>0</v>
          </cell>
          <cell r="AT28">
            <v>0</v>
          </cell>
          <cell r="AY28">
            <v>0</v>
          </cell>
          <cell r="BD28">
            <v>0</v>
          </cell>
          <cell r="BI28">
            <v>0</v>
          </cell>
        </row>
        <row r="29">
          <cell r="A29" t="str">
            <v>Total Achats Inter-Centres</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J29">
            <v>0</v>
          </cell>
          <cell r="AO29">
            <v>0</v>
          </cell>
          <cell r="AT29">
            <v>0</v>
          </cell>
          <cell r="AY29">
            <v>0</v>
          </cell>
          <cell r="BD29">
            <v>0</v>
          </cell>
          <cell r="BI29">
            <v>0</v>
          </cell>
        </row>
        <row r="30">
          <cell r="A30" t="str">
            <v>Achats Inter-Activités</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J30">
            <v>0</v>
          </cell>
          <cell r="AO30">
            <v>0</v>
          </cell>
          <cell r="AT30">
            <v>0</v>
          </cell>
          <cell r="AY30">
            <v>0</v>
          </cell>
          <cell r="BD30">
            <v>0</v>
          </cell>
          <cell r="BI30">
            <v>0</v>
          </cell>
        </row>
        <row r="31">
          <cell r="A31" t="str">
            <v>Achat Internes Autres</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J31">
            <v>0</v>
          </cell>
          <cell r="AO31">
            <v>0</v>
          </cell>
          <cell r="AT31">
            <v>0</v>
          </cell>
          <cell r="AY31">
            <v>0</v>
          </cell>
          <cell r="BD31">
            <v>0</v>
          </cell>
          <cell r="BI31">
            <v>0</v>
          </cell>
        </row>
        <row r="32">
          <cell r="A32" t="str">
            <v>Total Achat Internes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J32">
            <v>0</v>
          </cell>
          <cell r="AO32">
            <v>0</v>
          </cell>
          <cell r="AT32">
            <v>0</v>
          </cell>
          <cell r="AY32">
            <v>0</v>
          </cell>
          <cell r="BD32">
            <v>0</v>
          </cell>
          <cell r="BI32">
            <v>0</v>
          </cell>
        </row>
        <row r="33">
          <cell r="A33" t="str">
            <v>Achats</v>
          </cell>
          <cell r="B33">
            <v>89.22</v>
          </cell>
          <cell r="C33">
            <v>0</v>
          </cell>
          <cell r="D33">
            <v>-7</v>
          </cell>
          <cell r="E33">
            <v>0</v>
          </cell>
          <cell r="F33">
            <v>82.22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J33">
            <v>0</v>
          </cell>
          <cell r="AO33">
            <v>0</v>
          </cell>
          <cell r="AT33">
            <v>0</v>
          </cell>
          <cell r="AY33">
            <v>0</v>
          </cell>
          <cell r="BD33">
            <v>0</v>
          </cell>
          <cell r="BI33">
            <v>0</v>
          </cell>
        </row>
        <row r="34">
          <cell r="A34" t="str">
            <v>Marge Commerciale</v>
          </cell>
          <cell r="B34">
            <v>50.06</v>
          </cell>
          <cell r="C34">
            <v>108.84</v>
          </cell>
          <cell r="D34">
            <v>148.71</v>
          </cell>
          <cell r="E34">
            <v>49.9</v>
          </cell>
          <cell r="F34">
            <v>357.51</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J34">
            <v>0</v>
          </cell>
          <cell r="AO34">
            <v>0</v>
          </cell>
          <cell r="AT34">
            <v>0</v>
          </cell>
          <cell r="AY34">
            <v>0</v>
          </cell>
          <cell r="BD34">
            <v>0</v>
          </cell>
          <cell r="BI34">
            <v>0</v>
          </cell>
        </row>
        <row r="35">
          <cell r="A35" t="str">
            <v>% Mg. Com. - $</v>
          </cell>
          <cell r="B35">
            <v>0.35941987363584149</v>
          </cell>
          <cell r="C35">
            <v>1</v>
          </cell>
          <cell r="D35">
            <v>1.0493966551407805</v>
          </cell>
          <cell r="E35">
            <v>1</v>
          </cell>
          <cell r="F35">
            <v>0.81302162690742052</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J35">
            <v>0</v>
          </cell>
          <cell r="AO35">
            <v>0</v>
          </cell>
          <cell r="AT35">
            <v>0</v>
          </cell>
          <cell r="AY35">
            <v>0</v>
          </cell>
          <cell r="BD35">
            <v>0</v>
          </cell>
          <cell r="BI35">
            <v>0</v>
          </cell>
        </row>
        <row r="36">
          <cell r="A36" t="str">
            <v>Salaires et charges</v>
          </cell>
          <cell r="B36">
            <v>3.81</v>
          </cell>
          <cell r="C36">
            <v>50.48</v>
          </cell>
          <cell r="D36">
            <v>19.23</v>
          </cell>
          <cell r="E36">
            <v>13.28</v>
          </cell>
          <cell r="F36">
            <v>86.8</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J36">
            <v>0</v>
          </cell>
          <cell r="AO36">
            <v>0</v>
          </cell>
          <cell r="AT36">
            <v>0</v>
          </cell>
          <cell r="AY36">
            <v>0</v>
          </cell>
          <cell r="BD36">
            <v>0</v>
          </cell>
          <cell r="BI36">
            <v>0</v>
          </cell>
        </row>
        <row r="37">
          <cell r="A37" t="str">
            <v>Ind. diverses</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J37">
            <v>0</v>
          </cell>
          <cell r="AO37">
            <v>0</v>
          </cell>
          <cell r="AT37">
            <v>0</v>
          </cell>
          <cell r="AY37">
            <v>0</v>
          </cell>
          <cell r="BD37">
            <v>0</v>
          </cell>
          <cell r="BI37">
            <v>0</v>
          </cell>
        </row>
        <row r="38">
          <cell r="A38" t="str">
            <v>Prov. pour primes</v>
          </cell>
          <cell r="B38">
            <v>0.25</v>
          </cell>
          <cell r="C38">
            <v>3.08</v>
          </cell>
          <cell r="D38">
            <v>1.05</v>
          </cell>
          <cell r="E38">
            <v>0.81</v>
          </cell>
          <cell r="F38">
            <v>5.1899999999999995</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J38">
            <v>0</v>
          </cell>
          <cell r="AO38">
            <v>0</v>
          </cell>
          <cell r="AT38">
            <v>0</v>
          </cell>
          <cell r="AY38">
            <v>0</v>
          </cell>
          <cell r="BD38">
            <v>0</v>
          </cell>
          <cell r="BI38">
            <v>0</v>
          </cell>
        </row>
        <row r="39">
          <cell r="F39">
            <v>0.26999999999999996</v>
          </cell>
          <cell r="K39">
            <v>0</v>
          </cell>
          <cell r="P39">
            <v>0</v>
          </cell>
          <cell r="U39">
            <v>0</v>
          </cell>
          <cell r="Z39">
            <v>0</v>
          </cell>
          <cell r="AE39">
            <v>0</v>
          </cell>
          <cell r="AJ39">
            <v>0</v>
          </cell>
          <cell r="AO39">
            <v>0</v>
          </cell>
          <cell r="AT39">
            <v>0</v>
          </cell>
          <cell r="AY39">
            <v>0</v>
          </cell>
          <cell r="BD39">
            <v>0</v>
          </cell>
          <cell r="BI39">
            <v>0</v>
          </cell>
        </row>
        <row r="40">
          <cell r="F40">
            <v>49.1</v>
          </cell>
          <cell r="K40">
            <v>0</v>
          </cell>
          <cell r="P40">
            <v>0</v>
          </cell>
          <cell r="U40">
            <v>0</v>
          </cell>
          <cell r="Z40">
            <v>0</v>
          </cell>
          <cell r="AE40">
            <v>0</v>
          </cell>
          <cell r="AJ40">
            <v>0</v>
          </cell>
          <cell r="AO40">
            <v>0</v>
          </cell>
          <cell r="AT40">
            <v>0</v>
          </cell>
          <cell r="AY40">
            <v>0</v>
          </cell>
          <cell r="BD40">
            <v>0</v>
          </cell>
          <cell r="BI40">
            <v>0</v>
          </cell>
        </row>
        <row r="41">
          <cell r="F41">
            <v>0</v>
          </cell>
          <cell r="K41">
            <v>0</v>
          </cell>
          <cell r="P41">
            <v>0</v>
          </cell>
          <cell r="U41">
            <v>0</v>
          </cell>
          <cell r="Z41">
            <v>0</v>
          </cell>
          <cell r="AE41">
            <v>0</v>
          </cell>
          <cell r="AJ41">
            <v>0</v>
          </cell>
          <cell r="AO41">
            <v>0</v>
          </cell>
          <cell r="AT41">
            <v>0</v>
          </cell>
          <cell r="AY41">
            <v>0</v>
          </cell>
          <cell r="BD41">
            <v>0</v>
          </cell>
          <cell r="BI41">
            <v>0</v>
          </cell>
        </row>
        <row r="42">
          <cell r="F42">
            <v>-0.03</v>
          </cell>
          <cell r="K42">
            <v>0</v>
          </cell>
          <cell r="P42">
            <v>0</v>
          </cell>
          <cell r="U42">
            <v>0</v>
          </cell>
          <cell r="Z42">
            <v>0</v>
          </cell>
          <cell r="AE42">
            <v>0</v>
          </cell>
          <cell r="AJ42">
            <v>0</v>
          </cell>
          <cell r="AO42">
            <v>0</v>
          </cell>
          <cell r="AT42">
            <v>0</v>
          </cell>
          <cell r="AY42">
            <v>0</v>
          </cell>
          <cell r="BD42">
            <v>0</v>
          </cell>
          <cell r="BI42">
            <v>0</v>
          </cell>
        </row>
        <row r="43">
          <cell r="F43">
            <v>0</v>
          </cell>
          <cell r="K43">
            <v>0</v>
          </cell>
          <cell r="P43">
            <v>0</v>
          </cell>
          <cell r="U43">
            <v>0</v>
          </cell>
          <cell r="Z43">
            <v>0</v>
          </cell>
          <cell r="AE43">
            <v>0</v>
          </cell>
          <cell r="AJ43">
            <v>0</v>
          </cell>
          <cell r="AO43">
            <v>0</v>
          </cell>
          <cell r="AT43">
            <v>0</v>
          </cell>
          <cell r="AY43">
            <v>0</v>
          </cell>
          <cell r="BD43">
            <v>0</v>
          </cell>
          <cell r="BI43">
            <v>0</v>
          </cell>
        </row>
        <row r="44">
          <cell r="F44">
            <v>6.18</v>
          </cell>
          <cell r="K44">
            <v>0</v>
          </cell>
          <cell r="P44">
            <v>0</v>
          </cell>
          <cell r="U44">
            <v>0</v>
          </cell>
          <cell r="Z44">
            <v>0</v>
          </cell>
          <cell r="AE44">
            <v>0</v>
          </cell>
          <cell r="AJ44">
            <v>0</v>
          </cell>
          <cell r="AO44">
            <v>0</v>
          </cell>
          <cell r="AT44">
            <v>0</v>
          </cell>
          <cell r="AY44">
            <v>0</v>
          </cell>
          <cell r="BD44">
            <v>0</v>
          </cell>
          <cell r="BI44">
            <v>0</v>
          </cell>
        </row>
        <row r="45">
          <cell r="F45">
            <v>0</v>
          </cell>
          <cell r="K45">
            <v>0</v>
          </cell>
          <cell r="P45">
            <v>0</v>
          </cell>
          <cell r="U45">
            <v>0</v>
          </cell>
          <cell r="Z45">
            <v>0</v>
          </cell>
          <cell r="AE45">
            <v>0</v>
          </cell>
          <cell r="AJ45">
            <v>0</v>
          </cell>
          <cell r="AO45">
            <v>0</v>
          </cell>
          <cell r="AT45">
            <v>0</v>
          </cell>
          <cell r="AY45">
            <v>0</v>
          </cell>
          <cell r="BD45">
            <v>0</v>
          </cell>
          <cell r="BI45">
            <v>0</v>
          </cell>
        </row>
        <row r="46">
          <cell r="F46">
            <v>0</v>
          </cell>
          <cell r="K46">
            <v>0</v>
          </cell>
          <cell r="P46">
            <v>0</v>
          </cell>
          <cell r="U46">
            <v>0</v>
          </cell>
          <cell r="Z46">
            <v>0</v>
          </cell>
          <cell r="AE46">
            <v>0</v>
          </cell>
          <cell r="AJ46">
            <v>0</v>
          </cell>
          <cell r="AO46">
            <v>0</v>
          </cell>
          <cell r="AT46">
            <v>0</v>
          </cell>
          <cell r="AY46">
            <v>0</v>
          </cell>
          <cell r="BD46">
            <v>0</v>
          </cell>
          <cell r="BI46">
            <v>0</v>
          </cell>
        </row>
        <row r="47">
          <cell r="F47">
            <v>0</v>
          </cell>
          <cell r="K47">
            <v>0</v>
          </cell>
          <cell r="P47">
            <v>0</v>
          </cell>
          <cell r="U47">
            <v>0</v>
          </cell>
          <cell r="Z47">
            <v>0</v>
          </cell>
          <cell r="AE47">
            <v>0</v>
          </cell>
          <cell r="AJ47">
            <v>0</v>
          </cell>
          <cell r="AO47">
            <v>0</v>
          </cell>
          <cell r="AT47">
            <v>0</v>
          </cell>
          <cell r="AY47">
            <v>0</v>
          </cell>
          <cell r="BD47">
            <v>0</v>
          </cell>
          <cell r="BI47">
            <v>0</v>
          </cell>
        </row>
        <row r="48">
          <cell r="F48">
            <v>0</v>
          </cell>
          <cell r="K48">
            <v>0</v>
          </cell>
          <cell r="P48">
            <v>0</v>
          </cell>
          <cell r="U48">
            <v>0</v>
          </cell>
          <cell r="Z48">
            <v>0</v>
          </cell>
          <cell r="AE48">
            <v>0</v>
          </cell>
          <cell r="AJ48">
            <v>0</v>
          </cell>
          <cell r="AO48">
            <v>0</v>
          </cell>
          <cell r="AT48">
            <v>0</v>
          </cell>
          <cell r="AY48">
            <v>0</v>
          </cell>
          <cell r="BD48">
            <v>0</v>
          </cell>
          <cell r="BI48">
            <v>0</v>
          </cell>
        </row>
        <row r="49">
          <cell r="F49">
            <v>0</v>
          </cell>
          <cell r="K49">
            <v>0</v>
          </cell>
          <cell r="P49">
            <v>0</v>
          </cell>
          <cell r="U49">
            <v>0</v>
          </cell>
          <cell r="Z49">
            <v>0</v>
          </cell>
          <cell r="AE49">
            <v>0</v>
          </cell>
          <cell r="AJ49">
            <v>0</v>
          </cell>
          <cell r="AO49">
            <v>0</v>
          </cell>
          <cell r="AT49">
            <v>0</v>
          </cell>
          <cell r="AY49">
            <v>0</v>
          </cell>
          <cell r="BD49">
            <v>0</v>
          </cell>
          <cell r="BI49">
            <v>0</v>
          </cell>
        </row>
        <row r="50">
          <cell r="F50">
            <v>147.51</v>
          </cell>
          <cell r="K50">
            <v>0</v>
          </cell>
          <cell r="P50">
            <v>0</v>
          </cell>
          <cell r="U50">
            <v>0</v>
          </cell>
          <cell r="Z50">
            <v>0</v>
          </cell>
          <cell r="AE50">
            <v>0</v>
          </cell>
          <cell r="AJ50">
            <v>0</v>
          </cell>
          <cell r="AO50">
            <v>0</v>
          </cell>
          <cell r="AT50">
            <v>0</v>
          </cell>
          <cell r="AY50">
            <v>0</v>
          </cell>
          <cell r="BD50">
            <v>0</v>
          </cell>
          <cell r="BI50">
            <v>0</v>
          </cell>
        </row>
        <row r="51">
          <cell r="F51">
            <v>0</v>
          </cell>
          <cell r="K51">
            <v>0</v>
          </cell>
          <cell r="P51">
            <v>0</v>
          </cell>
          <cell r="U51">
            <v>0</v>
          </cell>
          <cell r="Z51">
            <v>0</v>
          </cell>
          <cell r="AE51">
            <v>0</v>
          </cell>
          <cell r="AJ51">
            <v>0</v>
          </cell>
          <cell r="AO51">
            <v>0</v>
          </cell>
          <cell r="AT51">
            <v>0</v>
          </cell>
          <cell r="AY51">
            <v>0</v>
          </cell>
          <cell r="BD51">
            <v>0</v>
          </cell>
          <cell r="BI51">
            <v>0</v>
          </cell>
        </row>
        <row r="52">
          <cell r="F52">
            <v>4.3</v>
          </cell>
          <cell r="K52">
            <v>0</v>
          </cell>
          <cell r="P52">
            <v>0</v>
          </cell>
          <cell r="U52">
            <v>0</v>
          </cell>
          <cell r="Z52">
            <v>0</v>
          </cell>
          <cell r="AE52">
            <v>0</v>
          </cell>
          <cell r="AJ52">
            <v>0</v>
          </cell>
          <cell r="AO52">
            <v>0</v>
          </cell>
          <cell r="AT52">
            <v>0</v>
          </cell>
          <cell r="AY52">
            <v>0</v>
          </cell>
          <cell r="BD52">
            <v>0</v>
          </cell>
          <cell r="BI52">
            <v>0</v>
          </cell>
        </row>
        <row r="53">
          <cell r="F53">
            <v>0</v>
          </cell>
          <cell r="K53">
            <v>0</v>
          </cell>
          <cell r="P53">
            <v>0</v>
          </cell>
          <cell r="U53">
            <v>0</v>
          </cell>
          <cell r="Z53">
            <v>0</v>
          </cell>
          <cell r="AE53">
            <v>0</v>
          </cell>
          <cell r="AJ53">
            <v>0</v>
          </cell>
          <cell r="AO53">
            <v>0</v>
          </cell>
          <cell r="AT53">
            <v>0</v>
          </cell>
          <cell r="AY53">
            <v>0</v>
          </cell>
          <cell r="BD53">
            <v>0</v>
          </cell>
          <cell r="BI53">
            <v>0</v>
          </cell>
        </row>
        <row r="54">
          <cell r="F54">
            <v>0</v>
          </cell>
          <cell r="K54">
            <v>0</v>
          </cell>
          <cell r="P54">
            <v>0</v>
          </cell>
          <cell r="U54">
            <v>0</v>
          </cell>
          <cell r="Z54">
            <v>0</v>
          </cell>
          <cell r="AE54">
            <v>0</v>
          </cell>
          <cell r="AJ54">
            <v>0</v>
          </cell>
          <cell r="AO54">
            <v>0</v>
          </cell>
          <cell r="AT54">
            <v>0</v>
          </cell>
          <cell r="AY54">
            <v>0</v>
          </cell>
          <cell r="BD54">
            <v>0</v>
          </cell>
          <cell r="BI54">
            <v>0</v>
          </cell>
        </row>
        <row r="55">
          <cell r="F55">
            <v>0</v>
          </cell>
          <cell r="K55">
            <v>0</v>
          </cell>
          <cell r="P55">
            <v>0</v>
          </cell>
          <cell r="U55">
            <v>0</v>
          </cell>
          <cell r="Z55">
            <v>0</v>
          </cell>
          <cell r="AE55">
            <v>0</v>
          </cell>
          <cell r="AJ55">
            <v>0</v>
          </cell>
          <cell r="AO55">
            <v>0</v>
          </cell>
          <cell r="AT55">
            <v>0</v>
          </cell>
          <cell r="AY55">
            <v>0</v>
          </cell>
          <cell r="BD55">
            <v>0</v>
          </cell>
          <cell r="BI55">
            <v>0</v>
          </cell>
        </row>
        <row r="56">
          <cell r="F56">
            <v>4.3</v>
          </cell>
          <cell r="K56">
            <v>0</v>
          </cell>
          <cell r="P56">
            <v>0</v>
          </cell>
          <cell r="U56">
            <v>0</v>
          </cell>
          <cell r="Z56">
            <v>0</v>
          </cell>
          <cell r="AE56">
            <v>0</v>
          </cell>
          <cell r="AJ56">
            <v>0</v>
          </cell>
          <cell r="AO56">
            <v>0</v>
          </cell>
          <cell r="AT56">
            <v>0</v>
          </cell>
          <cell r="AY56">
            <v>0</v>
          </cell>
          <cell r="BD56">
            <v>0</v>
          </cell>
          <cell r="BI56">
            <v>0</v>
          </cell>
        </row>
        <row r="57">
          <cell r="F57">
            <v>1.29</v>
          </cell>
          <cell r="K57">
            <v>0</v>
          </cell>
          <cell r="P57">
            <v>0</v>
          </cell>
          <cell r="U57">
            <v>0</v>
          </cell>
          <cell r="Z57">
            <v>0</v>
          </cell>
          <cell r="AE57">
            <v>0</v>
          </cell>
          <cell r="AJ57">
            <v>0</v>
          </cell>
          <cell r="AO57">
            <v>0</v>
          </cell>
          <cell r="AT57">
            <v>0</v>
          </cell>
          <cell r="AY57">
            <v>0</v>
          </cell>
          <cell r="BD57">
            <v>0</v>
          </cell>
          <cell r="BI57">
            <v>0</v>
          </cell>
        </row>
        <row r="58">
          <cell r="F58">
            <v>0</v>
          </cell>
          <cell r="K58">
            <v>0</v>
          </cell>
          <cell r="P58">
            <v>0</v>
          </cell>
          <cell r="U58">
            <v>0</v>
          </cell>
          <cell r="Z58">
            <v>0</v>
          </cell>
          <cell r="AE58">
            <v>0</v>
          </cell>
          <cell r="AJ58">
            <v>0</v>
          </cell>
          <cell r="AO58">
            <v>0</v>
          </cell>
          <cell r="AT58">
            <v>0</v>
          </cell>
          <cell r="AY58">
            <v>0</v>
          </cell>
          <cell r="BD58">
            <v>0</v>
          </cell>
          <cell r="BI58">
            <v>0</v>
          </cell>
        </row>
        <row r="59">
          <cell r="F59">
            <v>0</v>
          </cell>
          <cell r="K59">
            <v>0</v>
          </cell>
          <cell r="P59">
            <v>0</v>
          </cell>
          <cell r="U59">
            <v>0</v>
          </cell>
          <cell r="Z59">
            <v>0</v>
          </cell>
          <cell r="AE59">
            <v>0</v>
          </cell>
          <cell r="AJ59">
            <v>0</v>
          </cell>
          <cell r="AO59">
            <v>0</v>
          </cell>
          <cell r="AT59">
            <v>0</v>
          </cell>
          <cell r="AY59">
            <v>0</v>
          </cell>
          <cell r="BD59">
            <v>0</v>
          </cell>
          <cell r="BI59">
            <v>0</v>
          </cell>
        </row>
        <row r="60">
          <cell r="F60">
            <v>0</v>
          </cell>
          <cell r="K60">
            <v>0</v>
          </cell>
          <cell r="P60">
            <v>0</v>
          </cell>
          <cell r="U60">
            <v>0</v>
          </cell>
          <cell r="Z60">
            <v>0</v>
          </cell>
          <cell r="AE60">
            <v>0</v>
          </cell>
          <cell r="AJ60">
            <v>0</v>
          </cell>
          <cell r="AO60">
            <v>0</v>
          </cell>
          <cell r="AT60">
            <v>0</v>
          </cell>
          <cell r="AY60">
            <v>0</v>
          </cell>
          <cell r="BD60">
            <v>0</v>
          </cell>
          <cell r="BI60">
            <v>0</v>
          </cell>
        </row>
        <row r="61">
          <cell r="F61">
            <v>6.32</v>
          </cell>
          <cell r="K61">
            <v>0</v>
          </cell>
          <cell r="P61">
            <v>0</v>
          </cell>
          <cell r="U61">
            <v>0</v>
          </cell>
          <cell r="Z61">
            <v>0</v>
          </cell>
          <cell r="AE61">
            <v>0</v>
          </cell>
          <cell r="AJ61">
            <v>0</v>
          </cell>
          <cell r="AO61">
            <v>0</v>
          </cell>
          <cell r="AT61">
            <v>0</v>
          </cell>
          <cell r="AY61">
            <v>0</v>
          </cell>
          <cell r="BD61">
            <v>0</v>
          </cell>
          <cell r="BI61">
            <v>0</v>
          </cell>
        </row>
        <row r="62">
          <cell r="F62">
            <v>0</v>
          </cell>
          <cell r="K62">
            <v>0</v>
          </cell>
          <cell r="P62">
            <v>0</v>
          </cell>
          <cell r="U62">
            <v>0</v>
          </cell>
          <cell r="Z62">
            <v>0</v>
          </cell>
          <cell r="AE62">
            <v>0</v>
          </cell>
          <cell r="AJ62">
            <v>0</v>
          </cell>
          <cell r="AO62">
            <v>0</v>
          </cell>
          <cell r="AT62">
            <v>0</v>
          </cell>
          <cell r="AY62">
            <v>0</v>
          </cell>
          <cell r="BD62">
            <v>0</v>
          </cell>
          <cell r="BI62">
            <v>0</v>
          </cell>
        </row>
        <row r="63">
          <cell r="F63">
            <v>0</v>
          </cell>
          <cell r="K63">
            <v>0</v>
          </cell>
          <cell r="P63">
            <v>0</v>
          </cell>
          <cell r="U63">
            <v>0</v>
          </cell>
          <cell r="Z63">
            <v>0</v>
          </cell>
          <cell r="AE63">
            <v>0</v>
          </cell>
          <cell r="AJ63">
            <v>0</v>
          </cell>
          <cell r="AO63">
            <v>0</v>
          </cell>
          <cell r="AT63">
            <v>0</v>
          </cell>
          <cell r="AY63">
            <v>0</v>
          </cell>
          <cell r="BD63">
            <v>0</v>
          </cell>
          <cell r="BI63">
            <v>0</v>
          </cell>
        </row>
        <row r="64">
          <cell r="F64">
            <v>0</v>
          </cell>
          <cell r="K64">
            <v>0</v>
          </cell>
          <cell r="P64">
            <v>0</v>
          </cell>
          <cell r="U64">
            <v>0</v>
          </cell>
          <cell r="Z64">
            <v>0</v>
          </cell>
          <cell r="AE64">
            <v>0</v>
          </cell>
          <cell r="AJ64">
            <v>0</v>
          </cell>
          <cell r="AO64">
            <v>0</v>
          </cell>
          <cell r="AT64">
            <v>0</v>
          </cell>
          <cell r="AY64">
            <v>0</v>
          </cell>
          <cell r="BD64">
            <v>0</v>
          </cell>
          <cell r="BI64">
            <v>0</v>
          </cell>
        </row>
        <row r="65">
          <cell r="F65">
            <v>6.32</v>
          </cell>
          <cell r="K65">
            <v>0</v>
          </cell>
          <cell r="P65">
            <v>0</v>
          </cell>
          <cell r="U65">
            <v>0</v>
          </cell>
          <cell r="Z65">
            <v>0</v>
          </cell>
          <cell r="AE65">
            <v>0</v>
          </cell>
          <cell r="AJ65">
            <v>0</v>
          </cell>
          <cell r="AO65">
            <v>0</v>
          </cell>
          <cell r="AT65">
            <v>0</v>
          </cell>
          <cell r="AY65">
            <v>0</v>
          </cell>
          <cell r="BD65">
            <v>0</v>
          </cell>
          <cell r="BI65">
            <v>0</v>
          </cell>
        </row>
        <row r="66">
          <cell r="F66">
            <v>0.25</v>
          </cell>
          <cell r="K66">
            <v>0</v>
          </cell>
          <cell r="P66">
            <v>0</v>
          </cell>
          <cell r="U66">
            <v>0</v>
          </cell>
          <cell r="Z66">
            <v>0</v>
          </cell>
          <cell r="AE66">
            <v>0</v>
          </cell>
          <cell r="AJ66">
            <v>0</v>
          </cell>
          <cell r="AO66">
            <v>0</v>
          </cell>
          <cell r="AT66">
            <v>0</v>
          </cell>
          <cell r="AY66">
            <v>0</v>
          </cell>
          <cell r="BD66">
            <v>0</v>
          </cell>
          <cell r="BI66">
            <v>0</v>
          </cell>
        </row>
        <row r="67">
          <cell r="F67">
            <v>0</v>
          </cell>
          <cell r="K67">
            <v>0</v>
          </cell>
          <cell r="P67">
            <v>0</v>
          </cell>
          <cell r="U67">
            <v>0</v>
          </cell>
          <cell r="Z67">
            <v>0</v>
          </cell>
          <cell r="AE67">
            <v>0</v>
          </cell>
          <cell r="AJ67">
            <v>0</v>
          </cell>
          <cell r="AO67">
            <v>0</v>
          </cell>
          <cell r="AT67">
            <v>0</v>
          </cell>
          <cell r="AY67">
            <v>0</v>
          </cell>
          <cell r="BD67">
            <v>0</v>
          </cell>
          <cell r="BI67">
            <v>0</v>
          </cell>
        </row>
        <row r="68">
          <cell r="F68">
            <v>2.3199999999999998</v>
          </cell>
          <cell r="K68">
            <v>0</v>
          </cell>
          <cell r="P68">
            <v>0</v>
          </cell>
          <cell r="U68">
            <v>0</v>
          </cell>
          <cell r="Z68">
            <v>0</v>
          </cell>
          <cell r="AE68">
            <v>0</v>
          </cell>
          <cell r="AJ68">
            <v>0</v>
          </cell>
          <cell r="AO68">
            <v>0</v>
          </cell>
          <cell r="AT68">
            <v>0</v>
          </cell>
          <cell r="AY68">
            <v>0</v>
          </cell>
          <cell r="BD68">
            <v>0</v>
          </cell>
          <cell r="BI68">
            <v>0</v>
          </cell>
        </row>
        <row r="69">
          <cell r="F69">
            <v>0</v>
          </cell>
          <cell r="K69">
            <v>0</v>
          </cell>
          <cell r="P69">
            <v>0</v>
          </cell>
          <cell r="U69">
            <v>0</v>
          </cell>
          <cell r="Z69">
            <v>0</v>
          </cell>
          <cell r="AE69">
            <v>0</v>
          </cell>
          <cell r="AJ69">
            <v>0</v>
          </cell>
          <cell r="AO69">
            <v>0</v>
          </cell>
          <cell r="AT69">
            <v>0</v>
          </cell>
          <cell r="AY69">
            <v>0</v>
          </cell>
          <cell r="BD69">
            <v>0</v>
          </cell>
          <cell r="BI69">
            <v>0</v>
          </cell>
        </row>
        <row r="70">
          <cell r="F70">
            <v>0</v>
          </cell>
          <cell r="K70">
            <v>0</v>
          </cell>
          <cell r="P70">
            <v>0</v>
          </cell>
          <cell r="U70">
            <v>0</v>
          </cell>
          <cell r="Z70">
            <v>0</v>
          </cell>
          <cell r="AE70">
            <v>0</v>
          </cell>
          <cell r="AJ70">
            <v>0</v>
          </cell>
          <cell r="AO70">
            <v>0</v>
          </cell>
          <cell r="AT70">
            <v>0</v>
          </cell>
          <cell r="AY70">
            <v>0</v>
          </cell>
          <cell r="BD70">
            <v>0</v>
          </cell>
          <cell r="BI70">
            <v>0</v>
          </cell>
        </row>
        <row r="71">
          <cell r="F71">
            <v>0</v>
          </cell>
          <cell r="K71">
            <v>0</v>
          </cell>
          <cell r="P71">
            <v>0</v>
          </cell>
          <cell r="U71">
            <v>0</v>
          </cell>
          <cell r="Z71">
            <v>0</v>
          </cell>
          <cell r="AE71">
            <v>0</v>
          </cell>
          <cell r="AJ71">
            <v>0</v>
          </cell>
          <cell r="AO71">
            <v>0</v>
          </cell>
          <cell r="AT71">
            <v>0</v>
          </cell>
          <cell r="AY71">
            <v>0</v>
          </cell>
          <cell r="BD71">
            <v>0</v>
          </cell>
          <cell r="BI71">
            <v>0</v>
          </cell>
        </row>
        <row r="72">
          <cell r="F72">
            <v>2.92</v>
          </cell>
          <cell r="K72">
            <v>0</v>
          </cell>
          <cell r="P72">
            <v>0</v>
          </cell>
          <cell r="U72">
            <v>0</v>
          </cell>
          <cell r="Z72">
            <v>0</v>
          </cell>
          <cell r="AE72">
            <v>0</v>
          </cell>
          <cell r="AJ72">
            <v>0</v>
          </cell>
          <cell r="AO72">
            <v>0</v>
          </cell>
          <cell r="AT72">
            <v>0</v>
          </cell>
          <cell r="AY72">
            <v>0</v>
          </cell>
          <cell r="BD72">
            <v>0</v>
          </cell>
          <cell r="BI72">
            <v>0</v>
          </cell>
        </row>
        <row r="73">
          <cell r="F73">
            <v>0</v>
          </cell>
          <cell r="K73">
            <v>0</v>
          </cell>
          <cell r="P73">
            <v>0</v>
          </cell>
          <cell r="U73">
            <v>0</v>
          </cell>
          <cell r="Z73">
            <v>0</v>
          </cell>
          <cell r="AE73">
            <v>0</v>
          </cell>
          <cell r="AJ73">
            <v>0</v>
          </cell>
          <cell r="AO73">
            <v>0</v>
          </cell>
          <cell r="AT73">
            <v>0</v>
          </cell>
          <cell r="AY73">
            <v>0</v>
          </cell>
          <cell r="BD73">
            <v>0</v>
          </cell>
          <cell r="BI73">
            <v>0</v>
          </cell>
        </row>
        <row r="74">
          <cell r="F74">
            <v>0</v>
          </cell>
          <cell r="K74">
            <v>0</v>
          </cell>
          <cell r="P74">
            <v>0</v>
          </cell>
          <cell r="U74">
            <v>0</v>
          </cell>
          <cell r="Z74">
            <v>0</v>
          </cell>
          <cell r="AE74">
            <v>0</v>
          </cell>
          <cell r="AJ74">
            <v>0</v>
          </cell>
          <cell r="AO74">
            <v>0</v>
          </cell>
          <cell r="AT74">
            <v>0</v>
          </cell>
          <cell r="AY74">
            <v>0</v>
          </cell>
          <cell r="BD74">
            <v>0</v>
          </cell>
          <cell r="BI74">
            <v>0</v>
          </cell>
        </row>
        <row r="75">
          <cell r="F75">
            <v>0</v>
          </cell>
          <cell r="K75">
            <v>0</v>
          </cell>
          <cell r="P75">
            <v>0</v>
          </cell>
          <cell r="U75">
            <v>0</v>
          </cell>
          <cell r="Z75">
            <v>0</v>
          </cell>
          <cell r="AE75">
            <v>0</v>
          </cell>
          <cell r="AJ75">
            <v>0</v>
          </cell>
          <cell r="AO75">
            <v>0</v>
          </cell>
          <cell r="AT75">
            <v>0</v>
          </cell>
          <cell r="AY75">
            <v>0</v>
          </cell>
          <cell r="BD75">
            <v>0</v>
          </cell>
          <cell r="BI75">
            <v>0</v>
          </cell>
        </row>
        <row r="76">
          <cell r="F76">
            <v>0</v>
          </cell>
          <cell r="K76">
            <v>0</v>
          </cell>
          <cell r="P76">
            <v>0</v>
          </cell>
          <cell r="U76">
            <v>0</v>
          </cell>
          <cell r="Z76">
            <v>0</v>
          </cell>
          <cell r="AE76">
            <v>0</v>
          </cell>
          <cell r="AJ76">
            <v>0</v>
          </cell>
          <cell r="AO76">
            <v>0</v>
          </cell>
          <cell r="AT76">
            <v>0</v>
          </cell>
          <cell r="AY76">
            <v>0</v>
          </cell>
          <cell r="BD76">
            <v>0</v>
          </cell>
          <cell r="BI76">
            <v>0</v>
          </cell>
        </row>
        <row r="77">
          <cell r="F77">
            <v>10.84</v>
          </cell>
          <cell r="K77">
            <v>0</v>
          </cell>
          <cell r="P77">
            <v>0</v>
          </cell>
          <cell r="U77">
            <v>0</v>
          </cell>
          <cell r="Z77">
            <v>0</v>
          </cell>
          <cell r="AE77">
            <v>0</v>
          </cell>
          <cell r="AJ77">
            <v>0</v>
          </cell>
          <cell r="AO77">
            <v>0</v>
          </cell>
          <cell r="AT77">
            <v>0</v>
          </cell>
          <cell r="AY77">
            <v>0</v>
          </cell>
          <cell r="BD77">
            <v>0</v>
          </cell>
          <cell r="BI77">
            <v>0</v>
          </cell>
        </row>
        <row r="78">
          <cell r="F78">
            <v>3.24</v>
          </cell>
          <cell r="K78">
            <v>0</v>
          </cell>
          <cell r="P78">
            <v>0</v>
          </cell>
          <cell r="U78">
            <v>0</v>
          </cell>
          <cell r="Z78">
            <v>0</v>
          </cell>
          <cell r="AE78">
            <v>0</v>
          </cell>
          <cell r="AJ78">
            <v>0</v>
          </cell>
          <cell r="AO78">
            <v>0</v>
          </cell>
          <cell r="AT78">
            <v>0</v>
          </cell>
          <cell r="AY78">
            <v>0</v>
          </cell>
          <cell r="BD78">
            <v>0</v>
          </cell>
          <cell r="BI78">
            <v>0</v>
          </cell>
        </row>
        <row r="79">
          <cell r="F79">
            <v>0.85</v>
          </cell>
          <cell r="K79">
            <v>0</v>
          </cell>
          <cell r="P79">
            <v>0</v>
          </cell>
          <cell r="U79">
            <v>0</v>
          </cell>
          <cell r="Z79">
            <v>0</v>
          </cell>
          <cell r="AE79">
            <v>0</v>
          </cell>
          <cell r="AJ79">
            <v>0</v>
          </cell>
          <cell r="AO79">
            <v>0</v>
          </cell>
          <cell r="AT79">
            <v>0</v>
          </cell>
          <cell r="AY79">
            <v>0</v>
          </cell>
          <cell r="BD79">
            <v>0</v>
          </cell>
          <cell r="BI79">
            <v>0</v>
          </cell>
        </row>
        <row r="80">
          <cell r="F80">
            <v>6.61</v>
          </cell>
          <cell r="K80">
            <v>0</v>
          </cell>
          <cell r="P80">
            <v>0</v>
          </cell>
          <cell r="U80">
            <v>0</v>
          </cell>
          <cell r="Z80">
            <v>0</v>
          </cell>
          <cell r="AE80">
            <v>0</v>
          </cell>
          <cell r="AJ80">
            <v>0</v>
          </cell>
          <cell r="AO80">
            <v>0</v>
          </cell>
          <cell r="AT80">
            <v>0</v>
          </cell>
          <cell r="AY80">
            <v>0</v>
          </cell>
          <cell r="BD80">
            <v>0</v>
          </cell>
          <cell r="BI80">
            <v>0</v>
          </cell>
        </row>
        <row r="81">
          <cell r="F81">
            <v>0</v>
          </cell>
          <cell r="K81">
            <v>0</v>
          </cell>
          <cell r="P81">
            <v>0</v>
          </cell>
          <cell r="U81">
            <v>0</v>
          </cell>
          <cell r="Z81">
            <v>0</v>
          </cell>
          <cell r="AE81">
            <v>0</v>
          </cell>
          <cell r="AJ81">
            <v>0</v>
          </cell>
          <cell r="AO81">
            <v>0</v>
          </cell>
          <cell r="AT81">
            <v>0</v>
          </cell>
          <cell r="AY81">
            <v>0</v>
          </cell>
          <cell r="BD81">
            <v>0</v>
          </cell>
          <cell r="BI81">
            <v>0</v>
          </cell>
        </row>
        <row r="82">
          <cell r="F82">
            <v>0</v>
          </cell>
          <cell r="K82">
            <v>0</v>
          </cell>
          <cell r="P82">
            <v>0</v>
          </cell>
          <cell r="U82">
            <v>0</v>
          </cell>
          <cell r="Z82">
            <v>0</v>
          </cell>
          <cell r="AE82">
            <v>0</v>
          </cell>
          <cell r="AJ82">
            <v>0</v>
          </cell>
          <cell r="AO82">
            <v>0</v>
          </cell>
          <cell r="AT82">
            <v>0</v>
          </cell>
          <cell r="AY82">
            <v>0</v>
          </cell>
          <cell r="BD82">
            <v>0</v>
          </cell>
          <cell r="BI82">
            <v>0</v>
          </cell>
        </row>
        <row r="83">
          <cell r="F83">
            <v>0</v>
          </cell>
          <cell r="K83">
            <v>0</v>
          </cell>
          <cell r="P83">
            <v>0</v>
          </cell>
          <cell r="U83">
            <v>0</v>
          </cell>
          <cell r="Z83">
            <v>0</v>
          </cell>
          <cell r="AE83">
            <v>0</v>
          </cell>
          <cell r="AJ83">
            <v>0</v>
          </cell>
          <cell r="AO83">
            <v>0</v>
          </cell>
          <cell r="AT83">
            <v>0</v>
          </cell>
          <cell r="AY83">
            <v>0</v>
          </cell>
          <cell r="BD83">
            <v>0</v>
          </cell>
          <cell r="BI83">
            <v>0</v>
          </cell>
        </row>
        <row r="84">
          <cell r="F84">
            <v>0</v>
          </cell>
          <cell r="K84">
            <v>0</v>
          </cell>
          <cell r="P84">
            <v>0</v>
          </cell>
          <cell r="U84">
            <v>0</v>
          </cell>
          <cell r="Z84">
            <v>0</v>
          </cell>
          <cell r="AE84">
            <v>0</v>
          </cell>
          <cell r="AJ84">
            <v>0</v>
          </cell>
          <cell r="AO84">
            <v>0</v>
          </cell>
          <cell r="AT84">
            <v>0</v>
          </cell>
          <cell r="AY84">
            <v>0</v>
          </cell>
          <cell r="BD84">
            <v>0</v>
          </cell>
          <cell r="BI84">
            <v>0</v>
          </cell>
        </row>
        <row r="85">
          <cell r="F85">
            <v>0</v>
          </cell>
          <cell r="K85">
            <v>0</v>
          </cell>
          <cell r="P85">
            <v>0</v>
          </cell>
          <cell r="U85">
            <v>0</v>
          </cell>
          <cell r="Z85">
            <v>0</v>
          </cell>
          <cell r="AE85">
            <v>0</v>
          </cell>
          <cell r="AJ85">
            <v>0</v>
          </cell>
          <cell r="AO85">
            <v>0</v>
          </cell>
          <cell r="AT85">
            <v>0</v>
          </cell>
          <cell r="AY85">
            <v>0</v>
          </cell>
          <cell r="BD85">
            <v>0</v>
          </cell>
          <cell r="BI85">
            <v>0</v>
          </cell>
        </row>
        <row r="86">
          <cell r="F86">
            <v>0</v>
          </cell>
          <cell r="K86">
            <v>0</v>
          </cell>
          <cell r="P86">
            <v>0</v>
          </cell>
          <cell r="U86">
            <v>0</v>
          </cell>
          <cell r="Z86">
            <v>0</v>
          </cell>
          <cell r="AE86">
            <v>0</v>
          </cell>
          <cell r="AJ86">
            <v>0</v>
          </cell>
          <cell r="AO86">
            <v>0</v>
          </cell>
          <cell r="AT86">
            <v>0</v>
          </cell>
          <cell r="AY86">
            <v>0</v>
          </cell>
          <cell r="BD86">
            <v>0</v>
          </cell>
          <cell r="BI86">
            <v>0</v>
          </cell>
        </row>
        <row r="87">
          <cell r="F87">
            <v>0</v>
          </cell>
          <cell r="K87">
            <v>0</v>
          </cell>
          <cell r="P87">
            <v>0</v>
          </cell>
          <cell r="U87">
            <v>0</v>
          </cell>
          <cell r="Z87">
            <v>0</v>
          </cell>
          <cell r="AE87">
            <v>0</v>
          </cell>
          <cell r="AJ87">
            <v>0</v>
          </cell>
          <cell r="AO87">
            <v>0</v>
          </cell>
          <cell r="AT87">
            <v>0</v>
          </cell>
          <cell r="AY87">
            <v>0</v>
          </cell>
          <cell r="BD87">
            <v>0</v>
          </cell>
          <cell r="BI87">
            <v>0</v>
          </cell>
        </row>
        <row r="88">
          <cell r="F88">
            <v>26.78</v>
          </cell>
          <cell r="K88">
            <v>0</v>
          </cell>
          <cell r="P88">
            <v>0</v>
          </cell>
          <cell r="U88">
            <v>0</v>
          </cell>
          <cell r="Z88">
            <v>0</v>
          </cell>
          <cell r="AE88">
            <v>0</v>
          </cell>
          <cell r="AJ88">
            <v>0</v>
          </cell>
          <cell r="AO88">
            <v>0</v>
          </cell>
          <cell r="AT88">
            <v>0</v>
          </cell>
          <cell r="AY88">
            <v>0</v>
          </cell>
          <cell r="BD88">
            <v>0</v>
          </cell>
          <cell r="BI88">
            <v>0</v>
          </cell>
        </row>
        <row r="89">
          <cell r="F89">
            <v>34.64</v>
          </cell>
          <cell r="K89">
            <v>0</v>
          </cell>
          <cell r="P89">
            <v>0</v>
          </cell>
          <cell r="U89">
            <v>0</v>
          </cell>
          <cell r="Z89">
            <v>0</v>
          </cell>
          <cell r="AE89">
            <v>0</v>
          </cell>
          <cell r="AJ89">
            <v>0</v>
          </cell>
          <cell r="AO89">
            <v>0</v>
          </cell>
          <cell r="AT89">
            <v>0</v>
          </cell>
          <cell r="AY89">
            <v>0</v>
          </cell>
          <cell r="BD89">
            <v>0</v>
          </cell>
          <cell r="BI89">
            <v>0</v>
          </cell>
        </row>
        <row r="90">
          <cell r="F90">
            <v>0</v>
          </cell>
          <cell r="K90">
            <v>0</v>
          </cell>
          <cell r="P90">
            <v>0</v>
          </cell>
          <cell r="U90">
            <v>0</v>
          </cell>
          <cell r="Z90">
            <v>0</v>
          </cell>
          <cell r="AE90">
            <v>0</v>
          </cell>
          <cell r="AJ90">
            <v>0</v>
          </cell>
          <cell r="AO90">
            <v>0</v>
          </cell>
          <cell r="AT90">
            <v>0</v>
          </cell>
          <cell r="AY90">
            <v>0</v>
          </cell>
          <cell r="BD90">
            <v>0</v>
          </cell>
          <cell r="BI90">
            <v>0</v>
          </cell>
        </row>
        <row r="91">
          <cell r="F91">
            <v>0</v>
          </cell>
          <cell r="K91">
            <v>0</v>
          </cell>
          <cell r="P91">
            <v>0</v>
          </cell>
          <cell r="U91">
            <v>0</v>
          </cell>
          <cell r="Z91">
            <v>0</v>
          </cell>
          <cell r="AE91">
            <v>0</v>
          </cell>
          <cell r="AJ91">
            <v>0</v>
          </cell>
          <cell r="AO91">
            <v>0</v>
          </cell>
          <cell r="AT91">
            <v>0</v>
          </cell>
          <cell r="AY91">
            <v>0</v>
          </cell>
          <cell r="BD91">
            <v>0</v>
          </cell>
          <cell r="BI91">
            <v>0</v>
          </cell>
        </row>
        <row r="92">
          <cell r="F92">
            <v>0</v>
          </cell>
          <cell r="K92">
            <v>0</v>
          </cell>
          <cell r="P92">
            <v>0</v>
          </cell>
          <cell r="U92">
            <v>0</v>
          </cell>
          <cell r="Z92">
            <v>0</v>
          </cell>
          <cell r="AE92">
            <v>0</v>
          </cell>
          <cell r="AJ92">
            <v>0</v>
          </cell>
          <cell r="AO92">
            <v>0</v>
          </cell>
          <cell r="AT92">
            <v>0</v>
          </cell>
          <cell r="AY92">
            <v>0</v>
          </cell>
          <cell r="BD92">
            <v>0</v>
          </cell>
          <cell r="BI92">
            <v>0</v>
          </cell>
        </row>
        <row r="93">
          <cell r="F93">
            <v>186.45</v>
          </cell>
          <cell r="K93">
            <v>0</v>
          </cell>
          <cell r="P93">
            <v>0</v>
          </cell>
          <cell r="U93">
            <v>0</v>
          </cell>
          <cell r="Z93">
            <v>0</v>
          </cell>
          <cell r="AE93">
            <v>0</v>
          </cell>
          <cell r="AJ93">
            <v>0</v>
          </cell>
          <cell r="AO93">
            <v>0</v>
          </cell>
          <cell r="AT93">
            <v>0</v>
          </cell>
          <cell r="AY93">
            <v>0</v>
          </cell>
          <cell r="BD93">
            <v>0</v>
          </cell>
          <cell r="BI93">
            <v>0</v>
          </cell>
        </row>
        <row r="94">
          <cell r="F94">
            <v>0</v>
          </cell>
          <cell r="K94">
            <v>0</v>
          </cell>
          <cell r="P94">
            <v>0</v>
          </cell>
          <cell r="U94">
            <v>0</v>
          </cell>
          <cell r="Z94">
            <v>0</v>
          </cell>
          <cell r="AE94">
            <v>0</v>
          </cell>
          <cell r="AJ94">
            <v>0</v>
          </cell>
          <cell r="AO94">
            <v>0</v>
          </cell>
          <cell r="AT94">
            <v>0</v>
          </cell>
          <cell r="AY94">
            <v>0</v>
          </cell>
          <cell r="BD94">
            <v>0</v>
          </cell>
          <cell r="BI94">
            <v>0</v>
          </cell>
        </row>
        <row r="95">
          <cell r="F95">
            <v>0.96</v>
          </cell>
          <cell r="K95">
            <v>0</v>
          </cell>
          <cell r="P95">
            <v>0</v>
          </cell>
          <cell r="U95">
            <v>0</v>
          </cell>
          <cell r="Z95">
            <v>0</v>
          </cell>
          <cell r="AE95">
            <v>0</v>
          </cell>
          <cell r="AJ95">
            <v>0</v>
          </cell>
          <cell r="AO95">
            <v>0</v>
          </cell>
          <cell r="AT95">
            <v>0</v>
          </cell>
          <cell r="AY95">
            <v>0</v>
          </cell>
          <cell r="BD95">
            <v>0</v>
          </cell>
          <cell r="BI95">
            <v>0</v>
          </cell>
        </row>
        <row r="96">
          <cell r="F96">
            <v>0.96</v>
          </cell>
          <cell r="K96">
            <v>0</v>
          </cell>
          <cell r="P96">
            <v>0</v>
          </cell>
          <cell r="U96">
            <v>0</v>
          </cell>
          <cell r="Z96">
            <v>0</v>
          </cell>
          <cell r="AE96">
            <v>0</v>
          </cell>
          <cell r="AJ96">
            <v>0</v>
          </cell>
          <cell r="AO96">
            <v>0</v>
          </cell>
          <cell r="AT96">
            <v>0</v>
          </cell>
          <cell r="AY96">
            <v>0</v>
          </cell>
          <cell r="BD96">
            <v>0</v>
          </cell>
          <cell r="BI96">
            <v>0</v>
          </cell>
        </row>
        <row r="97">
          <cell r="F97">
            <v>6.12</v>
          </cell>
          <cell r="K97">
            <v>0</v>
          </cell>
          <cell r="P97">
            <v>0</v>
          </cell>
          <cell r="U97">
            <v>0</v>
          </cell>
          <cell r="Z97">
            <v>0</v>
          </cell>
          <cell r="AE97">
            <v>0</v>
          </cell>
          <cell r="AJ97">
            <v>0</v>
          </cell>
          <cell r="AO97">
            <v>0</v>
          </cell>
          <cell r="AT97">
            <v>0</v>
          </cell>
          <cell r="AY97">
            <v>0</v>
          </cell>
          <cell r="BD97">
            <v>0</v>
          </cell>
          <cell r="BI97">
            <v>0</v>
          </cell>
        </row>
        <row r="98">
          <cell r="F98">
            <v>11.39</v>
          </cell>
          <cell r="K98">
            <v>0</v>
          </cell>
          <cell r="P98">
            <v>0</v>
          </cell>
          <cell r="U98">
            <v>0</v>
          </cell>
          <cell r="Z98">
            <v>0</v>
          </cell>
          <cell r="AE98">
            <v>0</v>
          </cell>
          <cell r="AJ98">
            <v>0</v>
          </cell>
          <cell r="AO98">
            <v>0</v>
          </cell>
          <cell r="AT98">
            <v>0</v>
          </cell>
          <cell r="AY98">
            <v>0</v>
          </cell>
          <cell r="BD98">
            <v>0</v>
          </cell>
          <cell r="BI98">
            <v>0</v>
          </cell>
        </row>
        <row r="99">
          <cell r="F99">
            <v>9.2899999999999991</v>
          </cell>
          <cell r="K99">
            <v>0</v>
          </cell>
          <cell r="P99">
            <v>0</v>
          </cell>
          <cell r="U99">
            <v>0</v>
          </cell>
          <cell r="Z99">
            <v>0</v>
          </cell>
          <cell r="AE99">
            <v>0</v>
          </cell>
          <cell r="AJ99">
            <v>0</v>
          </cell>
          <cell r="AO99">
            <v>0</v>
          </cell>
          <cell r="AT99">
            <v>0</v>
          </cell>
          <cell r="AY99">
            <v>0</v>
          </cell>
          <cell r="BD99">
            <v>0</v>
          </cell>
          <cell r="BI99">
            <v>0</v>
          </cell>
        </row>
        <row r="100">
          <cell r="F100">
            <v>45.85</v>
          </cell>
          <cell r="K100">
            <v>0</v>
          </cell>
          <cell r="P100">
            <v>0</v>
          </cell>
          <cell r="U100">
            <v>0</v>
          </cell>
          <cell r="Z100">
            <v>0</v>
          </cell>
          <cell r="AE100">
            <v>0</v>
          </cell>
          <cell r="AJ100">
            <v>0</v>
          </cell>
          <cell r="AO100">
            <v>0</v>
          </cell>
          <cell r="AT100">
            <v>0</v>
          </cell>
          <cell r="AY100">
            <v>0</v>
          </cell>
          <cell r="BD100">
            <v>-16</v>
          </cell>
          <cell r="BI100">
            <v>0</v>
          </cell>
        </row>
        <row r="101">
          <cell r="F101">
            <v>0</v>
          </cell>
          <cell r="K101">
            <v>0</v>
          </cell>
          <cell r="P101">
            <v>0</v>
          </cell>
          <cell r="U101">
            <v>0</v>
          </cell>
          <cell r="Z101">
            <v>0</v>
          </cell>
          <cell r="AE101">
            <v>0</v>
          </cell>
          <cell r="AJ101">
            <v>0</v>
          </cell>
          <cell r="AO101">
            <v>0</v>
          </cell>
          <cell r="AT101">
            <v>0</v>
          </cell>
          <cell r="AY101">
            <v>0</v>
          </cell>
          <cell r="BD101">
            <v>0</v>
          </cell>
          <cell r="BI101">
            <v>0</v>
          </cell>
        </row>
        <row r="102">
          <cell r="F102">
            <v>66.53</v>
          </cell>
          <cell r="K102">
            <v>0</v>
          </cell>
          <cell r="P102">
            <v>0</v>
          </cell>
          <cell r="U102">
            <v>0</v>
          </cell>
          <cell r="Z102">
            <v>0</v>
          </cell>
          <cell r="AE102">
            <v>0</v>
          </cell>
          <cell r="AJ102">
            <v>0</v>
          </cell>
          <cell r="AO102">
            <v>0</v>
          </cell>
          <cell r="AT102">
            <v>0</v>
          </cell>
          <cell r="AY102">
            <v>0</v>
          </cell>
          <cell r="BD102">
            <v>-16</v>
          </cell>
          <cell r="BI102">
            <v>0</v>
          </cell>
        </row>
        <row r="103">
          <cell r="F103">
            <v>0.89</v>
          </cell>
          <cell r="K103">
            <v>0</v>
          </cell>
          <cell r="P103">
            <v>0</v>
          </cell>
          <cell r="U103">
            <v>0</v>
          </cell>
          <cell r="Z103">
            <v>0</v>
          </cell>
          <cell r="AE103">
            <v>0</v>
          </cell>
          <cell r="AJ103">
            <v>0</v>
          </cell>
          <cell r="AO103">
            <v>0</v>
          </cell>
          <cell r="AT103">
            <v>0</v>
          </cell>
          <cell r="AY103">
            <v>0</v>
          </cell>
          <cell r="BD103">
            <v>0</v>
          </cell>
          <cell r="BI103">
            <v>0</v>
          </cell>
        </row>
        <row r="104">
          <cell r="F104">
            <v>0.03</v>
          </cell>
          <cell r="K104">
            <v>0</v>
          </cell>
          <cell r="P104">
            <v>0</v>
          </cell>
          <cell r="U104">
            <v>0</v>
          </cell>
          <cell r="Z104">
            <v>0</v>
          </cell>
          <cell r="AE104">
            <v>0</v>
          </cell>
          <cell r="AJ104">
            <v>0</v>
          </cell>
          <cell r="AO104">
            <v>0</v>
          </cell>
          <cell r="AT104">
            <v>0</v>
          </cell>
          <cell r="AY104">
            <v>0</v>
          </cell>
          <cell r="BD104">
            <v>0</v>
          </cell>
          <cell r="BI104">
            <v>0</v>
          </cell>
        </row>
        <row r="105">
          <cell r="F105">
            <v>0</v>
          </cell>
          <cell r="K105">
            <v>0</v>
          </cell>
          <cell r="P105">
            <v>0</v>
          </cell>
          <cell r="U105">
            <v>0</v>
          </cell>
          <cell r="Z105">
            <v>0</v>
          </cell>
          <cell r="AE105">
            <v>0</v>
          </cell>
          <cell r="AJ105">
            <v>0</v>
          </cell>
          <cell r="AO105">
            <v>0</v>
          </cell>
          <cell r="AT105">
            <v>0</v>
          </cell>
          <cell r="AY105">
            <v>0</v>
          </cell>
          <cell r="BD105">
            <v>0</v>
          </cell>
          <cell r="BI105">
            <v>0</v>
          </cell>
        </row>
        <row r="106">
          <cell r="F106">
            <v>0</v>
          </cell>
          <cell r="K106">
            <v>0</v>
          </cell>
          <cell r="P106">
            <v>0</v>
          </cell>
          <cell r="U106">
            <v>0</v>
          </cell>
          <cell r="Z106">
            <v>0</v>
          </cell>
          <cell r="AE106">
            <v>0</v>
          </cell>
          <cell r="AJ106">
            <v>0</v>
          </cell>
          <cell r="AO106">
            <v>0</v>
          </cell>
          <cell r="AT106">
            <v>0</v>
          </cell>
          <cell r="AY106">
            <v>0</v>
          </cell>
          <cell r="BD106">
            <v>0</v>
          </cell>
          <cell r="BI106">
            <v>0</v>
          </cell>
        </row>
        <row r="107">
          <cell r="F107">
            <v>0</v>
          </cell>
          <cell r="K107">
            <v>0</v>
          </cell>
          <cell r="P107">
            <v>0</v>
          </cell>
          <cell r="U107">
            <v>0</v>
          </cell>
          <cell r="Z107">
            <v>0</v>
          </cell>
          <cell r="AE107">
            <v>0</v>
          </cell>
          <cell r="AJ107">
            <v>0</v>
          </cell>
          <cell r="AO107">
            <v>0</v>
          </cell>
          <cell r="AT107">
            <v>0</v>
          </cell>
          <cell r="AY107">
            <v>0</v>
          </cell>
          <cell r="BD107">
            <v>0</v>
          </cell>
          <cell r="BI107">
            <v>0</v>
          </cell>
        </row>
        <row r="108">
          <cell r="F108">
            <v>0</v>
          </cell>
          <cell r="K108">
            <v>0</v>
          </cell>
          <cell r="P108">
            <v>0</v>
          </cell>
          <cell r="U108">
            <v>0</v>
          </cell>
          <cell r="Z108">
            <v>0</v>
          </cell>
          <cell r="AE108">
            <v>0</v>
          </cell>
          <cell r="AJ108">
            <v>0</v>
          </cell>
          <cell r="AO108">
            <v>0</v>
          </cell>
          <cell r="AT108">
            <v>0</v>
          </cell>
          <cell r="AY108">
            <v>0</v>
          </cell>
          <cell r="BD108">
            <v>0</v>
          </cell>
          <cell r="BI108">
            <v>0</v>
          </cell>
        </row>
        <row r="109">
          <cell r="F109">
            <v>0</v>
          </cell>
          <cell r="K109">
            <v>0</v>
          </cell>
          <cell r="P109">
            <v>0</v>
          </cell>
          <cell r="U109">
            <v>0</v>
          </cell>
          <cell r="Z109">
            <v>0</v>
          </cell>
          <cell r="AE109">
            <v>0</v>
          </cell>
          <cell r="AJ109">
            <v>0</v>
          </cell>
          <cell r="AO109">
            <v>0</v>
          </cell>
          <cell r="AT109">
            <v>0</v>
          </cell>
          <cell r="AY109">
            <v>0</v>
          </cell>
          <cell r="BD109">
            <v>0</v>
          </cell>
          <cell r="BI109">
            <v>0</v>
          </cell>
        </row>
        <row r="110">
          <cell r="F110">
            <v>0</v>
          </cell>
          <cell r="K110">
            <v>0</v>
          </cell>
          <cell r="P110">
            <v>0</v>
          </cell>
          <cell r="U110">
            <v>0</v>
          </cell>
          <cell r="Z110">
            <v>0</v>
          </cell>
          <cell r="AE110">
            <v>0</v>
          </cell>
          <cell r="AJ110">
            <v>0</v>
          </cell>
          <cell r="AO110">
            <v>0</v>
          </cell>
          <cell r="AT110">
            <v>0</v>
          </cell>
          <cell r="AY110">
            <v>0</v>
          </cell>
          <cell r="BD110">
            <v>0</v>
          </cell>
          <cell r="BI110">
            <v>0</v>
          </cell>
        </row>
        <row r="111">
          <cell r="F111">
            <v>0</v>
          </cell>
          <cell r="K111">
            <v>0</v>
          </cell>
          <cell r="P111">
            <v>0</v>
          </cell>
          <cell r="U111">
            <v>0</v>
          </cell>
          <cell r="Z111">
            <v>0</v>
          </cell>
          <cell r="AE111">
            <v>0</v>
          </cell>
          <cell r="AJ111">
            <v>0</v>
          </cell>
          <cell r="AO111">
            <v>0</v>
          </cell>
          <cell r="AT111">
            <v>0</v>
          </cell>
          <cell r="AY111">
            <v>0</v>
          </cell>
          <cell r="BD111">
            <v>0</v>
          </cell>
          <cell r="BI111">
            <v>0</v>
          </cell>
        </row>
        <row r="112">
          <cell r="F112">
            <v>0</v>
          </cell>
          <cell r="K112">
            <v>0</v>
          </cell>
          <cell r="P112">
            <v>0</v>
          </cell>
          <cell r="U112">
            <v>0</v>
          </cell>
          <cell r="Z112">
            <v>0</v>
          </cell>
          <cell r="AE112">
            <v>0</v>
          </cell>
          <cell r="AJ112">
            <v>0</v>
          </cell>
          <cell r="AO112">
            <v>0</v>
          </cell>
          <cell r="AT112">
            <v>0</v>
          </cell>
          <cell r="AY112">
            <v>0</v>
          </cell>
          <cell r="BD112">
            <v>0</v>
          </cell>
          <cell r="BI112">
            <v>0</v>
          </cell>
        </row>
        <row r="113">
          <cell r="F113">
            <v>1.19</v>
          </cell>
          <cell r="K113">
            <v>0</v>
          </cell>
          <cell r="P113">
            <v>0</v>
          </cell>
          <cell r="U113">
            <v>0</v>
          </cell>
          <cell r="Z113">
            <v>0</v>
          </cell>
          <cell r="AE113">
            <v>0</v>
          </cell>
          <cell r="AJ113">
            <v>0</v>
          </cell>
          <cell r="AO113">
            <v>0</v>
          </cell>
          <cell r="AT113">
            <v>0</v>
          </cell>
          <cell r="AY113">
            <v>0</v>
          </cell>
          <cell r="BD113">
            <v>0</v>
          </cell>
          <cell r="BI113">
            <v>0</v>
          </cell>
        </row>
        <row r="114">
          <cell r="F114">
            <v>2.1100000000000003</v>
          </cell>
          <cell r="K114">
            <v>0</v>
          </cell>
          <cell r="P114">
            <v>0</v>
          </cell>
          <cell r="U114">
            <v>0</v>
          </cell>
          <cell r="Z114">
            <v>0</v>
          </cell>
          <cell r="AE114">
            <v>0</v>
          </cell>
          <cell r="AJ114">
            <v>0</v>
          </cell>
          <cell r="AO114">
            <v>0</v>
          </cell>
          <cell r="AT114">
            <v>0</v>
          </cell>
          <cell r="AY114">
            <v>0</v>
          </cell>
          <cell r="BD114">
            <v>0</v>
          </cell>
          <cell r="BI114">
            <v>0</v>
          </cell>
        </row>
        <row r="115">
          <cell r="F115">
            <v>75.72</v>
          </cell>
          <cell r="K115">
            <v>0</v>
          </cell>
          <cell r="P115">
            <v>0</v>
          </cell>
          <cell r="U115">
            <v>0</v>
          </cell>
          <cell r="Z115">
            <v>0</v>
          </cell>
          <cell r="AE115">
            <v>0</v>
          </cell>
          <cell r="AJ115">
            <v>0</v>
          </cell>
          <cell r="AO115">
            <v>0</v>
          </cell>
          <cell r="AT115">
            <v>0</v>
          </cell>
          <cell r="AY115">
            <v>0</v>
          </cell>
          <cell r="BD115">
            <v>-16</v>
          </cell>
          <cell r="BI115">
            <v>0</v>
          </cell>
        </row>
        <row r="116">
          <cell r="F116">
            <v>0</v>
          </cell>
          <cell r="K116">
            <v>0</v>
          </cell>
          <cell r="P116">
            <v>0</v>
          </cell>
          <cell r="U116">
            <v>0</v>
          </cell>
          <cell r="Z116">
            <v>0</v>
          </cell>
          <cell r="AE116">
            <v>0</v>
          </cell>
          <cell r="AJ116">
            <v>0</v>
          </cell>
          <cell r="AO116">
            <v>0</v>
          </cell>
          <cell r="AT116">
            <v>0</v>
          </cell>
          <cell r="AY116">
            <v>0</v>
          </cell>
          <cell r="BD116">
            <v>0</v>
          </cell>
          <cell r="BI116">
            <v>0</v>
          </cell>
        </row>
        <row r="117">
          <cell r="F117">
            <v>-0.26</v>
          </cell>
          <cell r="K117">
            <v>0</v>
          </cell>
          <cell r="P117">
            <v>0</v>
          </cell>
          <cell r="U117">
            <v>0</v>
          </cell>
          <cell r="Z117">
            <v>0</v>
          </cell>
          <cell r="AE117">
            <v>0</v>
          </cell>
          <cell r="AJ117">
            <v>0</v>
          </cell>
          <cell r="AO117">
            <v>0</v>
          </cell>
          <cell r="AT117">
            <v>0</v>
          </cell>
          <cell r="AY117">
            <v>0</v>
          </cell>
          <cell r="BD117">
            <v>0</v>
          </cell>
          <cell r="BI117">
            <v>0</v>
          </cell>
        </row>
        <row r="118">
          <cell r="F118">
            <v>0</v>
          </cell>
          <cell r="K118">
            <v>0</v>
          </cell>
          <cell r="P118">
            <v>0</v>
          </cell>
          <cell r="U118">
            <v>0</v>
          </cell>
          <cell r="Z118">
            <v>0</v>
          </cell>
          <cell r="AE118">
            <v>0</v>
          </cell>
          <cell r="AJ118">
            <v>0</v>
          </cell>
          <cell r="AO118">
            <v>0</v>
          </cell>
          <cell r="AT118">
            <v>0</v>
          </cell>
          <cell r="AY118">
            <v>0</v>
          </cell>
          <cell r="BD118">
            <v>0</v>
          </cell>
          <cell r="BI118">
            <v>0</v>
          </cell>
        </row>
        <row r="119">
          <cell r="F119">
            <v>0</v>
          </cell>
          <cell r="K119">
            <v>0</v>
          </cell>
          <cell r="P119">
            <v>0</v>
          </cell>
          <cell r="U119">
            <v>0</v>
          </cell>
          <cell r="Z119">
            <v>0</v>
          </cell>
          <cell r="AE119">
            <v>0</v>
          </cell>
          <cell r="AJ119">
            <v>0</v>
          </cell>
          <cell r="AO119">
            <v>0</v>
          </cell>
          <cell r="AT119">
            <v>0</v>
          </cell>
          <cell r="AY119">
            <v>0</v>
          </cell>
          <cell r="BD119">
            <v>0</v>
          </cell>
          <cell r="BI119">
            <v>0</v>
          </cell>
        </row>
        <row r="120">
          <cell r="F120">
            <v>0</v>
          </cell>
          <cell r="K120">
            <v>0</v>
          </cell>
          <cell r="P120">
            <v>0</v>
          </cell>
          <cell r="U120">
            <v>0</v>
          </cell>
          <cell r="Z120">
            <v>0</v>
          </cell>
          <cell r="AE120">
            <v>0</v>
          </cell>
          <cell r="AJ120">
            <v>0</v>
          </cell>
          <cell r="AO120">
            <v>0</v>
          </cell>
          <cell r="AT120">
            <v>0</v>
          </cell>
          <cell r="AY120">
            <v>0</v>
          </cell>
          <cell r="BD120">
            <v>0</v>
          </cell>
          <cell r="BI120">
            <v>0</v>
          </cell>
        </row>
        <row r="121">
          <cell r="F121">
            <v>0</v>
          </cell>
          <cell r="K121">
            <v>0</v>
          </cell>
          <cell r="P121">
            <v>0</v>
          </cell>
          <cell r="U121">
            <v>0</v>
          </cell>
          <cell r="Z121">
            <v>0</v>
          </cell>
          <cell r="AE121">
            <v>0</v>
          </cell>
          <cell r="AJ121">
            <v>0</v>
          </cell>
          <cell r="AO121">
            <v>0</v>
          </cell>
          <cell r="AT121">
            <v>0</v>
          </cell>
          <cell r="AY121">
            <v>0</v>
          </cell>
          <cell r="BD121">
            <v>0</v>
          </cell>
          <cell r="BI121">
            <v>0</v>
          </cell>
        </row>
        <row r="122">
          <cell r="F122">
            <v>0</v>
          </cell>
          <cell r="K122">
            <v>0</v>
          </cell>
          <cell r="P122">
            <v>0</v>
          </cell>
          <cell r="U122">
            <v>0</v>
          </cell>
          <cell r="Z122">
            <v>0</v>
          </cell>
          <cell r="AE122">
            <v>0</v>
          </cell>
          <cell r="AJ122">
            <v>0</v>
          </cell>
          <cell r="AO122">
            <v>0</v>
          </cell>
          <cell r="AT122">
            <v>0</v>
          </cell>
          <cell r="AY122">
            <v>0</v>
          </cell>
          <cell r="BD122">
            <v>0</v>
          </cell>
          <cell r="BI122">
            <v>0</v>
          </cell>
        </row>
        <row r="123">
          <cell r="F123">
            <v>0</v>
          </cell>
          <cell r="K123">
            <v>0</v>
          </cell>
          <cell r="P123">
            <v>0</v>
          </cell>
          <cell r="U123">
            <v>0</v>
          </cell>
          <cell r="Z123">
            <v>0</v>
          </cell>
          <cell r="AE123">
            <v>0</v>
          </cell>
          <cell r="AJ123">
            <v>0</v>
          </cell>
          <cell r="AO123">
            <v>0</v>
          </cell>
          <cell r="AT123">
            <v>0</v>
          </cell>
          <cell r="AY123">
            <v>0</v>
          </cell>
          <cell r="BD123">
            <v>0</v>
          </cell>
          <cell r="BI123">
            <v>0</v>
          </cell>
        </row>
        <row r="124">
          <cell r="F124">
            <v>0</v>
          </cell>
          <cell r="K124">
            <v>0</v>
          </cell>
          <cell r="P124">
            <v>0</v>
          </cell>
          <cell r="U124">
            <v>0</v>
          </cell>
          <cell r="Z124">
            <v>0</v>
          </cell>
          <cell r="AE124">
            <v>0</v>
          </cell>
          <cell r="AJ124">
            <v>0</v>
          </cell>
          <cell r="AO124">
            <v>0</v>
          </cell>
          <cell r="AT124">
            <v>0</v>
          </cell>
          <cell r="AY124">
            <v>0</v>
          </cell>
          <cell r="BD124">
            <v>0</v>
          </cell>
          <cell r="BI124">
            <v>0</v>
          </cell>
        </row>
        <row r="125">
          <cell r="F125">
            <v>0</v>
          </cell>
          <cell r="K125">
            <v>0</v>
          </cell>
          <cell r="P125">
            <v>0</v>
          </cell>
          <cell r="U125">
            <v>0</v>
          </cell>
          <cell r="Z125">
            <v>0</v>
          </cell>
          <cell r="AE125">
            <v>0</v>
          </cell>
          <cell r="AJ125">
            <v>0</v>
          </cell>
          <cell r="AO125">
            <v>0</v>
          </cell>
          <cell r="AT125">
            <v>0</v>
          </cell>
          <cell r="AY125">
            <v>0</v>
          </cell>
          <cell r="BD125">
            <v>0</v>
          </cell>
          <cell r="BI125">
            <v>0</v>
          </cell>
        </row>
        <row r="126">
          <cell r="F126">
            <v>0</v>
          </cell>
          <cell r="K126">
            <v>0</v>
          </cell>
          <cell r="P126">
            <v>0</v>
          </cell>
          <cell r="U126">
            <v>0</v>
          </cell>
          <cell r="Z126">
            <v>0</v>
          </cell>
          <cell r="AE126">
            <v>0</v>
          </cell>
          <cell r="AJ126">
            <v>0</v>
          </cell>
          <cell r="AO126">
            <v>0</v>
          </cell>
          <cell r="AT126">
            <v>0</v>
          </cell>
          <cell r="AY126">
            <v>0</v>
          </cell>
          <cell r="BD126">
            <v>0</v>
          </cell>
          <cell r="BI126">
            <v>0</v>
          </cell>
        </row>
        <row r="127">
          <cell r="F127">
            <v>0</v>
          </cell>
          <cell r="K127">
            <v>0</v>
          </cell>
          <cell r="P127">
            <v>0</v>
          </cell>
          <cell r="U127">
            <v>0</v>
          </cell>
          <cell r="Z127">
            <v>0</v>
          </cell>
          <cell r="AE127">
            <v>0</v>
          </cell>
          <cell r="AJ127">
            <v>0</v>
          </cell>
          <cell r="AO127">
            <v>0</v>
          </cell>
          <cell r="AT127">
            <v>0</v>
          </cell>
          <cell r="AY127">
            <v>0</v>
          </cell>
          <cell r="BD127">
            <v>0</v>
          </cell>
          <cell r="BI127">
            <v>0</v>
          </cell>
        </row>
        <row r="128">
          <cell r="F128">
            <v>0</v>
          </cell>
          <cell r="K128">
            <v>0</v>
          </cell>
          <cell r="P128">
            <v>0</v>
          </cell>
          <cell r="U128">
            <v>0</v>
          </cell>
          <cell r="Z128">
            <v>0</v>
          </cell>
          <cell r="AE128">
            <v>0</v>
          </cell>
          <cell r="AJ128">
            <v>0</v>
          </cell>
          <cell r="AO128">
            <v>0</v>
          </cell>
          <cell r="AT128">
            <v>0</v>
          </cell>
          <cell r="AY128">
            <v>0</v>
          </cell>
          <cell r="BD128">
            <v>0</v>
          </cell>
          <cell r="BI128">
            <v>0</v>
          </cell>
        </row>
        <row r="129">
          <cell r="F129">
            <v>0</v>
          </cell>
          <cell r="K129">
            <v>0</v>
          </cell>
          <cell r="P129">
            <v>0</v>
          </cell>
          <cell r="U129">
            <v>0</v>
          </cell>
          <cell r="Z129">
            <v>0</v>
          </cell>
          <cell r="AE129">
            <v>0</v>
          </cell>
          <cell r="AJ129">
            <v>0</v>
          </cell>
          <cell r="AO129">
            <v>0</v>
          </cell>
          <cell r="AT129">
            <v>0</v>
          </cell>
          <cell r="AY129">
            <v>0</v>
          </cell>
          <cell r="BD129">
            <v>0</v>
          </cell>
          <cell r="BI129">
            <v>0</v>
          </cell>
        </row>
        <row r="130">
          <cell r="F130">
            <v>0</v>
          </cell>
          <cell r="K130">
            <v>0</v>
          </cell>
          <cell r="P130">
            <v>0</v>
          </cell>
          <cell r="U130">
            <v>0</v>
          </cell>
          <cell r="Z130">
            <v>0</v>
          </cell>
          <cell r="AE130">
            <v>0</v>
          </cell>
          <cell r="AJ130">
            <v>0</v>
          </cell>
          <cell r="AO130">
            <v>0</v>
          </cell>
          <cell r="AT130">
            <v>0</v>
          </cell>
          <cell r="AY130">
            <v>0</v>
          </cell>
          <cell r="BD130">
            <v>0</v>
          </cell>
          <cell r="BI130">
            <v>0</v>
          </cell>
        </row>
        <row r="131">
          <cell r="F131">
            <v>0</v>
          </cell>
          <cell r="K131">
            <v>0</v>
          </cell>
          <cell r="P131">
            <v>0</v>
          </cell>
          <cell r="U131">
            <v>0</v>
          </cell>
          <cell r="Z131">
            <v>0</v>
          </cell>
          <cell r="AE131">
            <v>0</v>
          </cell>
          <cell r="AJ131">
            <v>0</v>
          </cell>
          <cell r="AO131">
            <v>0</v>
          </cell>
          <cell r="AT131">
            <v>0</v>
          </cell>
          <cell r="AY131">
            <v>0</v>
          </cell>
          <cell r="BD131">
            <v>0</v>
          </cell>
          <cell r="BI131">
            <v>0</v>
          </cell>
        </row>
        <row r="132">
          <cell r="F132">
            <v>-0.26</v>
          </cell>
          <cell r="K132">
            <v>0</v>
          </cell>
          <cell r="P132">
            <v>0</v>
          </cell>
          <cell r="U132">
            <v>0</v>
          </cell>
          <cell r="Z132">
            <v>0</v>
          </cell>
          <cell r="AE132">
            <v>0</v>
          </cell>
          <cell r="AJ132">
            <v>0</v>
          </cell>
          <cell r="AO132">
            <v>0</v>
          </cell>
          <cell r="AT132">
            <v>0</v>
          </cell>
          <cell r="AY132">
            <v>0</v>
          </cell>
          <cell r="BD132">
            <v>0</v>
          </cell>
          <cell r="BI132">
            <v>0</v>
          </cell>
        </row>
        <row r="133">
          <cell r="F133">
            <v>0</v>
          </cell>
          <cell r="K133">
            <v>0</v>
          </cell>
          <cell r="P133">
            <v>0</v>
          </cell>
          <cell r="U133">
            <v>0</v>
          </cell>
          <cell r="Z133">
            <v>0</v>
          </cell>
          <cell r="AE133">
            <v>0</v>
          </cell>
          <cell r="AJ133">
            <v>0</v>
          </cell>
          <cell r="AO133">
            <v>0</v>
          </cell>
          <cell r="AT133">
            <v>0</v>
          </cell>
          <cell r="AY133">
            <v>0</v>
          </cell>
          <cell r="BD133">
            <v>0</v>
          </cell>
          <cell r="BI133">
            <v>0</v>
          </cell>
        </row>
        <row r="134">
          <cell r="F134">
            <v>-0.26</v>
          </cell>
          <cell r="K134">
            <v>0</v>
          </cell>
          <cell r="P134">
            <v>0</v>
          </cell>
          <cell r="U134">
            <v>0</v>
          </cell>
          <cell r="Z134">
            <v>0</v>
          </cell>
          <cell r="AE134">
            <v>0</v>
          </cell>
          <cell r="AJ134">
            <v>0</v>
          </cell>
          <cell r="AO134">
            <v>0</v>
          </cell>
          <cell r="AT134">
            <v>0</v>
          </cell>
          <cell r="AY134">
            <v>0</v>
          </cell>
          <cell r="BD134">
            <v>0</v>
          </cell>
          <cell r="BI134">
            <v>0</v>
          </cell>
        </row>
        <row r="135">
          <cell r="F135">
            <v>261.90999999999997</v>
          </cell>
          <cell r="K135">
            <v>0</v>
          </cell>
          <cell r="P135">
            <v>0</v>
          </cell>
          <cell r="U135">
            <v>0</v>
          </cell>
          <cell r="Z135">
            <v>0</v>
          </cell>
          <cell r="AE135">
            <v>0</v>
          </cell>
          <cell r="AJ135">
            <v>0</v>
          </cell>
          <cell r="AO135">
            <v>0</v>
          </cell>
          <cell r="AT135">
            <v>0</v>
          </cell>
          <cell r="AY135">
            <v>0</v>
          </cell>
          <cell r="BD135">
            <v>-16</v>
          </cell>
          <cell r="BI135">
            <v>0</v>
          </cell>
        </row>
        <row r="136">
          <cell r="F136">
            <v>95.600000000000023</v>
          </cell>
          <cell r="K136">
            <v>0</v>
          </cell>
          <cell r="P136">
            <v>0</v>
          </cell>
          <cell r="U136">
            <v>0</v>
          </cell>
          <cell r="Z136">
            <v>0</v>
          </cell>
          <cell r="AE136">
            <v>0</v>
          </cell>
          <cell r="AJ136">
            <v>0</v>
          </cell>
          <cell r="AO136">
            <v>0</v>
          </cell>
          <cell r="AT136">
            <v>0</v>
          </cell>
          <cell r="AY136">
            <v>0</v>
          </cell>
          <cell r="BD136">
            <v>16</v>
          </cell>
          <cell r="BI136">
            <v>0</v>
          </cell>
        </row>
        <row r="137">
          <cell r="F137">
            <v>0.21740613558319885</v>
          </cell>
          <cell r="K137">
            <v>0</v>
          </cell>
          <cell r="P137">
            <v>0</v>
          </cell>
          <cell r="U137">
            <v>0</v>
          </cell>
          <cell r="Z137">
            <v>0</v>
          </cell>
          <cell r="AE137">
            <v>0</v>
          </cell>
          <cell r="AJ137">
            <v>0</v>
          </cell>
          <cell r="AO137">
            <v>0</v>
          </cell>
          <cell r="AT137">
            <v>0</v>
          </cell>
          <cell r="AY137">
            <v>0</v>
          </cell>
          <cell r="BD137">
            <v>0</v>
          </cell>
          <cell r="BI137">
            <v>0</v>
          </cell>
        </row>
      </sheetData>
      <sheetData sheetId="8" refreshError="1">
        <row r="1">
          <cell r="A1" t="str">
            <v>AR$ '000</v>
          </cell>
        </row>
        <row r="5">
          <cell r="A5">
            <v>2</v>
          </cell>
        </row>
        <row r="6">
          <cell r="A6" t="str">
            <v>Año: 2005</v>
          </cell>
        </row>
        <row r="7">
          <cell r="A7" t="str">
            <v>Detalle RMA</v>
          </cell>
        </row>
        <row r="8">
          <cell r="A8" t="str">
            <v>$ '000</v>
          </cell>
          <cell r="B8" t="str">
            <v>Enero</v>
          </cell>
          <cell r="J8" t="str">
            <v>Febrero</v>
          </cell>
          <cell r="R8" t="str">
            <v>Marzo</v>
          </cell>
          <cell r="Z8" t="str">
            <v>Abril</v>
          </cell>
          <cell r="AH8" t="str">
            <v>Mayo</v>
          </cell>
          <cell r="AP8" t="str">
            <v>Junio</v>
          </cell>
        </row>
        <row r="9">
          <cell r="A9" t="str">
            <v>Descripción</v>
          </cell>
          <cell r="B9" t="str">
            <v>Madero</v>
          </cell>
          <cell r="C9" t="str">
            <v>Palomar</v>
          </cell>
          <cell r="D9" t="str">
            <v>Aduana</v>
          </cell>
          <cell r="E9" t="str">
            <v>Rosario</v>
          </cell>
          <cell r="F9" t="str">
            <v>Pacheco</v>
          </cell>
          <cell r="G9" t="str">
            <v>Córdoba</v>
          </cell>
          <cell r="I9" t="str">
            <v>Total</v>
          </cell>
          <cell r="J9" t="str">
            <v>Madero</v>
          </cell>
          <cell r="K9" t="str">
            <v>Palomar</v>
          </cell>
          <cell r="L9" t="str">
            <v>Aduana</v>
          </cell>
          <cell r="M9" t="str">
            <v>Rosario</v>
          </cell>
          <cell r="N9" t="str">
            <v>Pacheco</v>
          </cell>
          <cell r="O9" t="str">
            <v>Córdoba</v>
          </cell>
          <cell r="Q9" t="str">
            <v>Total</v>
          </cell>
          <cell r="R9" t="str">
            <v>Madero</v>
          </cell>
          <cell r="S9" t="str">
            <v>Palomar</v>
          </cell>
          <cell r="T9" t="str">
            <v>Aduana</v>
          </cell>
          <cell r="U9" t="str">
            <v>Rosario</v>
          </cell>
          <cell r="V9" t="str">
            <v>Pacheco</v>
          </cell>
          <cell r="W9" t="str">
            <v>Córdoba</v>
          </cell>
          <cell r="Y9" t="str">
            <v>Total</v>
          </cell>
          <cell r="Z9" t="str">
            <v>Madero</v>
          </cell>
          <cell r="AA9" t="str">
            <v>Palomar</v>
          </cell>
          <cell r="AB9" t="str">
            <v>Aduana</v>
          </cell>
          <cell r="AC9" t="str">
            <v>Rosario</v>
          </cell>
          <cell r="AD9" t="str">
            <v>Pacheco</v>
          </cell>
          <cell r="AE9" t="str">
            <v>Córdoba</v>
          </cell>
          <cell r="AG9" t="str">
            <v>Total</v>
          </cell>
          <cell r="AH9" t="str">
            <v>Madero</v>
          </cell>
          <cell r="AI9" t="str">
            <v>Palomar</v>
          </cell>
          <cell r="AJ9" t="str">
            <v>Aduana</v>
          </cell>
          <cell r="AK9" t="str">
            <v>Rosario</v>
          </cell>
          <cell r="AL9" t="str">
            <v>Pacheco</v>
          </cell>
          <cell r="AM9" t="str">
            <v>Córdoba</v>
          </cell>
          <cell r="AO9" t="str">
            <v>Total</v>
          </cell>
          <cell r="AP9" t="str">
            <v>Madero</v>
          </cell>
          <cell r="AQ9" t="str">
            <v>Palomar</v>
          </cell>
          <cell r="AR9" t="str">
            <v>Aduana</v>
          </cell>
          <cell r="AS9" t="str">
            <v>Rosario</v>
          </cell>
          <cell r="AT9" t="str">
            <v>Pacheco</v>
          </cell>
          <cell r="AU9" t="str">
            <v>Córdoba</v>
          </cell>
          <cell r="AW9" t="str">
            <v>Total</v>
          </cell>
        </row>
        <row r="12">
          <cell r="A12" t="str">
            <v>Ventes Hors Groupe PSA</v>
          </cell>
          <cell r="B12">
            <v>921.71</v>
          </cell>
          <cell r="C12">
            <v>20.16</v>
          </cell>
          <cell r="D12">
            <v>0</v>
          </cell>
          <cell r="E12">
            <v>254.99</v>
          </cell>
          <cell r="F12">
            <v>8.34</v>
          </cell>
          <cell r="G12">
            <v>392.1</v>
          </cell>
          <cell r="I12">
            <v>1597.3000000000002</v>
          </cell>
          <cell r="J12">
            <v>0</v>
          </cell>
          <cell r="K12">
            <v>0</v>
          </cell>
          <cell r="L12">
            <v>0</v>
          </cell>
          <cell r="M12">
            <v>0</v>
          </cell>
          <cell r="N12">
            <v>0</v>
          </cell>
          <cell r="O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G12">
            <v>0</v>
          </cell>
          <cell r="AH12">
            <v>0</v>
          </cell>
          <cell r="AI12">
            <v>0</v>
          </cell>
          <cell r="AJ12">
            <v>0</v>
          </cell>
          <cell r="AK12">
            <v>0</v>
          </cell>
          <cell r="AL12">
            <v>0</v>
          </cell>
          <cell r="AM12">
            <v>0</v>
          </cell>
          <cell r="AO12">
            <v>0</v>
          </cell>
          <cell r="AP12">
            <v>0</v>
          </cell>
          <cell r="AQ12">
            <v>0</v>
          </cell>
          <cell r="AR12">
            <v>0</v>
          </cell>
          <cell r="AS12">
            <v>0</v>
          </cell>
          <cell r="AT12">
            <v>0</v>
          </cell>
          <cell r="AU12">
            <v>0</v>
          </cell>
          <cell r="AW12">
            <v>0</v>
          </cell>
          <cell r="BE12">
            <v>0</v>
          </cell>
          <cell r="BM12">
            <v>0</v>
          </cell>
          <cell r="BU12">
            <v>0</v>
          </cell>
          <cell r="CD12">
            <v>0</v>
          </cell>
          <cell r="CL12">
            <v>0</v>
          </cell>
          <cell r="CT12">
            <v>0</v>
          </cell>
        </row>
        <row r="13">
          <cell r="A13" t="str">
            <v>Ventes Horas Groupe KN</v>
          </cell>
          <cell r="B13">
            <v>0</v>
          </cell>
          <cell r="C13">
            <v>0</v>
          </cell>
          <cell r="D13">
            <v>0</v>
          </cell>
          <cell r="E13">
            <v>0</v>
          </cell>
          <cell r="F13">
            <v>0</v>
          </cell>
          <cell r="G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G13">
            <v>0</v>
          </cell>
          <cell r="AH13">
            <v>0</v>
          </cell>
          <cell r="AI13">
            <v>0</v>
          </cell>
          <cell r="AJ13">
            <v>0</v>
          </cell>
          <cell r="AK13">
            <v>0</v>
          </cell>
          <cell r="AL13">
            <v>0</v>
          </cell>
          <cell r="AM13">
            <v>0</v>
          </cell>
          <cell r="AO13">
            <v>0</v>
          </cell>
          <cell r="AP13">
            <v>0</v>
          </cell>
          <cell r="AQ13">
            <v>0</v>
          </cell>
          <cell r="AR13">
            <v>0</v>
          </cell>
          <cell r="AS13">
            <v>0</v>
          </cell>
          <cell r="AT13">
            <v>0</v>
          </cell>
          <cell r="AU13">
            <v>0</v>
          </cell>
          <cell r="AW13">
            <v>0</v>
          </cell>
          <cell r="BE13">
            <v>0</v>
          </cell>
          <cell r="BM13">
            <v>0</v>
          </cell>
          <cell r="BU13">
            <v>0</v>
          </cell>
          <cell r="CD13">
            <v>0</v>
          </cell>
          <cell r="CL13">
            <v>0</v>
          </cell>
          <cell r="CT13">
            <v>0</v>
          </cell>
        </row>
        <row r="14">
          <cell r="A14" t="str">
            <v>Ventes Groupe Gefco</v>
          </cell>
          <cell r="B14">
            <v>14.78</v>
          </cell>
          <cell r="C14">
            <v>0.87</v>
          </cell>
          <cell r="D14">
            <v>0</v>
          </cell>
          <cell r="E14">
            <v>0</v>
          </cell>
          <cell r="F14">
            <v>0</v>
          </cell>
          <cell r="G14">
            <v>-0.03</v>
          </cell>
          <cell r="I14">
            <v>15.62</v>
          </cell>
          <cell r="J14">
            <v>0</v>
          </cell>
          <cell r="K14">
            <v>0</v>
          </cell>
          <cell r="L14">
            <v>0</v>
          </cell>
          <cell r="M14">
            <v>0</v>
          </cell>
          <cell r="N14">
            <v>0</v>
          </cell>
          <cell r="O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G14">
            <v>0</v>
          </cell>
          <cell r="AH14">
            <v>0</v>
          </cell>
          <cell r="AI14">
            <v>0</v>
          </cell>
          <cell r="AJ14">
            <v>0</v>
          </cell>
          <cell r="AK14">
            <v>0</v>
          </cell>
          <cell r="AL14">
            <v>0</v>
          </cell>
          <cell r="AM14">
            <v>0</v>
          </cell>
          <cell r="AO14">
            <v>0</v>
          </cell>
          <cell r="AP14">
            <v>0</v>
          </cell>
          <cell r="AQ14">
            <v>0</v>
          </cell>
          <cell r="AR14">
            <v>0</v>
          </cell>
          <cell r="AS14">
            <v>0</v>
          </cell>
          <cell r="AT14">
            <v>0</v>
          </cell>
          <cell r="AU14">
            <v>0</v>
          </cell>
          <cell r="AW14">
            <v>0</v>
          </cell>
          <cell r="BE14">
            <v>0</v>
          </cell>
          <cell r="BM14">
            <v>0</v>
          </cell>
          <cell r="BU14">
            <v>0</v>
          </cell>
          <cell r="CD14">
            <v>0</v>
          </cell>
          <cell r="CL14">
            <v>0</v>
          </cell>
          <cell r="CT14">
            <v>0</v>
          </cell>
        </row>
        <row r="15">
          <cell r="A15" t="str">
            <v>Ventes Groupe PSA Consolidé</v>
          </cell>
          <cell r="B15">
            <v>209.87</v>
          </cell>
          <cell r="C15">
            <v>904.59</v>
          </cell>
          <cell r="D15">
            <v>402.99</v>
          </cell>
          <cell r="E15">
            <v>0</v>
          </cell>
          <cell r="F15">
            <v>0</v>
          </cell>
          <cell r="G15">
            <v>0</v>
          </cell>
          <cell r="I15">
            <v>1517.45</v>
          </cell>
          <cell r="J15">
            <v>0</v>
          </cell>
          <cell r="K15">
            <v>0</v>
          </cell>
          <cell r="L15">
            <v>0</v>
          </cell>
          <cell r="M15">
            <v>0</v>
          </cell>
          <cell r="N15">
            <v>0</v>
          </cell>
          <cell r="O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G15">
            <v>0</v>
          </cell>
          <cell r="AH15">
            <v>0</v>
          </cell>
          <cell r="AI15">
            <v>0</v>
          </cell>
          <cell r="AJ15">
            <v>0</v>
          </cell>
          <cell r="AK15">
            <v>0</v>
          </cell>
          <cell r="AL15">
            <v>0</v>
          </cell>
          <cell r="AM15">
            <v>0</v>
          </cell>
          <cell r="AO15">
            <v>0</v>
          </cell>
          <cell r="AP15">
            <v>0</v>
          </cell>
          <cell r="AQ15">
            <v>0</v>
          </cell>
          <cell r="AR15">
            <v>0</v>
          </cell>
          <cell r="AS15">
            <v>0</v>
          </cell>
          <cell r="AT15">
            <v>0</v>
          </cell>
          <cell r="AU15">
            <v>0</v>
          </cell>
          <cell r="AW15">
            <v>0</v>
          </cell>
          <cell r="BE15">
            <v>0</v>
          </cell>
          <cell r="BM15">
            <v>0</v>
          </cell>
          <cell r="BU15">
            <v>0</v>
          </cell>
          <cell r="CD15">
            <v>0</v>
          </cell>
          <cell r="CL15">
            <v>0</v>
          </cell>
          <cell r="CT15">
            <v>0</v>
          </cell>
        </row>
        <row r="16">
          <cell r="A16" t="str">
            <v>Total Ventes Externes</v>
          </cell>
          <cell r="B16">
            <v>1146.3600000000001</v>
          </cell>
          <cell r="C16">
            <v>925.62</v>
          </cell>
          <cell r="D16">
            <v>402.99</v>
          </cell>
          <cell r="E16">
            <v>254.99</v>
          </cell>
          <cell r="F16">
            <v>8.34</v>
          </cell>
          <cell r="G16">
            <v>392.07000000000005</v>
          </cell>
          <cell r="I16">
            <v>3130.37</v>
          </cell>
          <cell r="J16">
            <v>0</v>
          </cell>
          <cell r="K16">
            <v>0</v>
          </cell>
          <cell r="L16">
            <v>0</v>
          </cell>
          <cell r="M16">
            <v>0</v>
          </cell>
          <cell r="N16">
            <v>0</v>
          </cell>
          <cell r="O16">
            <v>0</v>
          </cell>
          <cell r="Q16">
            <v>0</v>
          </cell>
          <cell r="R16">
            <v>0</v>
          </cell>
          <cell r="S16">
            <v>0</v>
          </cell>
          <cell r="T16">
            <v>0</v>
          </cell>
          <cell r="U16">
            <v>0</v>
          </cell>
          <cell r="V16">
            <v>0</v>
          </cell>
          <cell r="W16">
            <v>0</v>
          </cell>
          <cell r="Y16">
            <v>0</v>
          </cell>
          <cell r="Z16">
            <v>0</v>
          </cell>
          <cell r="AA16">
            <v>0</v>
          </cell>
          <cell r="AB16">
            <v>0</v>
          </cell>
          <cell r="AC16">
            <v>0</v>
          </cell>
          <cell r="AD16">
            <v>0</v>
          </cell>
          <cell r="AE16">
            <v>0</v>
          </cell>
          <cell r="AG16">
            <v>0</v>
          </cell>
          <cell r="AH16">
            <v>0</v>
          </cell>
          <cell r="AI16">
            <v>0</v>
          </cell>
          <cell r="AJ16">
            <v>0</v>
          </cell>
          <cell r="AK16">
            <v>0</v>
          </cell>
          <cell r="AL16">
            <v>0</v>
          </cell>
          <cell r="AM16">
            <v>0</v>
          </cell>
          <cell r="AO16">
            <v>0</v>
          </cell>
          <cell r="AP16">
            <v>0</v>
          </cell>
          <cell r="AQ16">
            <v>0</v>
          </cell>
          <cell r="AR16">
            <v>0</v>
          </cell>
          <cell r="AS16">
            <v>0</v>
          </cell>
          <cell r="AT16">
            <v>0</v>
          </cell>
          <cell r="AU16">
            <v>0</v>
          </cell>
          <cell r="AW16">
            <v>0</v>
          </cell>
          <cell r="BE16">
            <v>0</v>
          </cell>
          <cell r="BM16">
            <v>0</v>
          </cell>
          <cell r="BU16">
            <v>0</v>
          </cell>
          <cell r="CD16">
            <v>0</v>
          </cell>
          <cell r="CL16">
            <v>0</v>
          </cell>
          <cell r="CT16">
            <v>0</v>
          </cell>
        </row>
        <row r="17">
          <cell r="A17" t="str">
            <v>Ventes Inter-Centres</v>
          </cell>
          <cell r="B17">
            <v>0</v>
          </cell>
          <cell r="C17">
            <v>0</v>
          </cell>
          <cell r="D17">
            <v>0</v>
          </cell>
          <cell r="E17">
            <v>0</v>
          </cell>
          <cell r="F17">
            <v>6.14</v>
          </cell>
          <cell r="G17">
            <v>0</v>
          </cell>
          <cell r="I17">
            <v>6.14</v>
          </cell>
          <cell r="J17">
            <v>0</v>
          </cell>
          <cell r="K17">
            <v>0</v>
          </cell>
          <cell r="L17">
            <v>0</v>
          </cell>
          <cell r="M17">
            <v>0</v>
          </cell>
          <cell r="N17">
            <v>0</v>
          </cell>
          <cell r="O17">
            <v>0</v>
          </cell>
          <cell r="Q17">
            <v>0</v>
          </cell>
          <cell r="R17">
            <v>0</v>
          </cell>
          <cell r="S17">
            <v>0</v>
          </cell>
          <cell r="T17">
            <v>0</v>
          </cell>
          <cell r="U17">
            <v>0</v>
          </cell>
          <cell r="V17">
            <v>0</v>
          </cell>
          <cell r="W17">
            <v>0</v>
          </cell>
          <cell r="Y17">
            <v>0</v>
          </cell>
          <cell r="Z17">
            <v>0</v>
          </cell>
          <cell r="AA17">
            <v>0</v>
          </cell>
          <cell r="AB17">
            <v>0</v>
          </cell>
          <cell r="AC17">
            <v>0</v>
          </cell>
          <cell r="AD17">
            <v>0</v>
          </cell>
          <cell r="AE17">
            <v>0</v>
          </cell>
          <cell r="AG17">
            <v>0</v>
          </cell>
          <cell r="AH17">
            <v>0</v>
          </cell>
          <cell r="AI17">
            <v>0</v>
          </cell>
          <cell r="AJ17">
            <v>0</v>
          </cell>
          <cell r="AK17">
            <v>0</v>
          </cell>
          <cell r="AL17">
            <v>0</v>
          </cell>
          <cell r="AM17">
            <v>0</v>
          </cell>
          <cell r="AO17">
            <v>0</v>
          </cell>
          <cell r="AP17">
            <v>0</v>
          </cell>
          <cell r="AQ17">
            <v>0</v>
          </cell>
          <cell r="AR17">
            <v>0</v>
          </cell>
          <cell r="AS17">
            <v>0</v>
          </cell>
          <cell r="AT17">
            <v>0</v>
          </cell>
          <cell r="AU17">
            <v>0</v>
          </cell>
          <cell r="AW17">
            <v>0</v>
          </cell>
          <cell r="BE17">
            <v>0</v>
          </cell>
          <cell r="BM17">
            <v>0</v>
          </cell>
          <cell r="BU17">
            <v>0</v>
          </cell>
          <cell r="CD17">
            <v>0</v>
          </cell>
          <cell r="CL17">
            <v>0</v>
          </cell>
          <cell r="CT17">
            <v>0</v>
          </cell>
        </row>
        <row r="18">
          <cell r="A18" t="str">
            <v>Ventes Inter-Activités</v>
          </cell>
          <cell r="B18">
            <v>0</v>
          </cell>
          <cell r="C18">
            <v>0</v>
          </cell>
          <cell r="D18">
            <v>0</v>
          </cell>
          <cell r="E18">
            <v>0</v>
          </cell>
          <cell r="F18">
            <v>0</v>
          </cell>
          <cell r="G18">
            <v>0</v>
          </cell>
          <cell r="I18">
            <v>0</v>
          </cell>
          <cell r="J18">
            <v>0</v>
          </cell>
          <cell r="K18">
            <v>0</v>
          </cell>
          <cell r="L18">
            <v>0</v>
          </cell>
          <cell r="M18">
            <v>0</v>
          </cell>
          <cell r="N18">
            <v>0</v>
          </cell>
          <cell r="O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G18">
            <v>0</v>
          </cell>
          <cell r="AH18">
            <v>0</v>
          </cell>
          <cell r="AI18">
            <v>0</v>
          </cell>
          <cell r="AJ18">
            <v>0</v>
          </cell>
          <cell r="AK18">
            <v>0</v>
          </cell>
          <cell r="AL18">
            <v>0</v>
          </cell>
          <cell r="AM18">
            <v>0</v>
          </cell>
          <cell r="AO18">
            <v>0</v>
          </cell>
          <cell r="AP18">
            <v>0</v>
          </cell>
          <cell r="AQ18">
            <v>0</v>
          </cell>
          <cell r="AR18">
            <v>0</v>
          </cell>
          <cell r="AS18">
            <v>0</v>
          </cell>
          <cell r="AT18">
            <v>0</v>
          </cell>
          <cell r="AU18">
            <v>0</v>
          </cell>
          <cell r="AW18">
            <v>0</v>
          </cell>
          <cell r="BE18">
            <v>0</v>
          </cell>
          <cell r="BM18">
            <v>0</v>
          </cell>
          <cell r="BU18">
            <v>0</v>
          </cell>
          <cell r="CD18">
            <v>0</v>
          </cell>
          <cell r="CL18">
            <v>0</v>
          </cell>
          <cell r="CT18">
            <v>0</v>
          </cell>
        </row>
        <row r="19">
          <cell r="A19" t="str">
            <v>Ventes Internes Autres</v>
          </cell>
          <cell r="B19">
            <v>0</v>
          </cell>
          <cell r="C19">
            <v>0</v>
          </cell>
          <cell r="D19">
            <v>0</v>
          </cell>
          <cell r="E19">
            <v>0</v>
          </cell>
          <cell r="F19">
            <v>0</v>
          </cell>
          <cell r="G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G19">
            <v>0</v>
          </cell>
          <cell r="AH19">
            <v>0</v>
          </cell>
          <cell r="AI19">
            <v>0</v>
          </cell>
          <cell r="AJ19">
            <v>0</v>
          </cell>
          <cell r="AK19">
            <v>0</v>
          </cell>
          <cell r="AL19">
            <v>0</v>
          </cell>
          <cell r="AM19">
            <v>0</v>
          </cell>
          <cell r="AO19">
            <v>0</v>
          </cell>
          <cell r="AP19">
            <v>0</v>
          </cell>
          <cell r="AQ19">
            <v>0</v>
          </cell>
          <cell r="AR19">
            <v>0</v>
          </cell>
          <cell r="AS19">
            <v>0</v>
          </cell>
          <cell r="AT19">
            <v>0</v>
          </cell>
          <cell r="AU19">
            <v>0</v>
          </cell>
          <cell r="AW19">
            <v>0</v>
          </cell>
          <cell r="BE19">
            <v>0</v>
          </cell>
          <cell r="BM19">
            <v>0</v>
          </cell>
          <cell r="BU19">
            <v>0</v>
          </cell>
          <cell r="CD19">
            <v>0</v>
          </cell>
          <cell r="CL19">
            <v>0</v>
          </cell>
          <cell r="CT19">
            <v>0</v>
          </cell>
        </row>
        <row r="20">
          <cell r="A20" t="str">
            <v>Total Ventes Internes</v>
          </cell>
          <cell r="B20">
            <v>0</v>
          </cell>
          <cell r="C20">
            <v>0</v>
          </cell>
          <cell r="D20">
            <v>0</v>
          </cell>
          <cell r="E20">
            <v>0</v>
          </cell>
          <cell r="F20">
            <v>6.14</v>
          </cell>
          <cell r="G20">
            <v>0</v>
          </cell>
          <cell r="I20">
            <v>6.14</v>
          </cell>
          <cell r="J20">
            <v>0</v>
          </cell>
          <cell r="K20">
            <v>0</v>
          </cell>
          <cell r="L20">
            <v>0</v>
          </cell>
          <cell r="M20">
            <v>0</v>
          </cell>
          <cell r="N20">
            <v>0</v>
          </cell>
          <cell r="O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O20">
            <v>0</v>
          </cell>
          <cell r="AP20">
            <v>0</v>
          </cell>
          <cell r="AQ20">
            <v>0</v>
          </cell>
          <cell r="AR20">
            <v>0</v>
          </cell>
          <cell r="AS20">
            <v>0</v>
          </cell>
          <cell r="AT20">
            <v>0</v>
          </cell>
          <cell r="AU20">
            <v>0</v>
          </cell>
          <cell r="AW20">
            <v>0</v>
          </cell>
          <cell r="BE20">
            <v>0</v>
          </cell>
          <cell r="BM20">
            <v>0</v>
          </cell>
          <cell r="BU20">
            <v>0</v>
          </cell>
          <cell r="CD20">
            <v>0</v>
          </cell>
          <cell r="CL20">
            <v>0</v>
          </cell>
          <cell r="CT20">
            <v>0</v>
          </cell>
        </row>
        <row r="21">
          <cell r="A21" t="str">
            <v>Total Ventes</v>
          </cell>
          <cell r="B21">
            <v>1146.3600000000001</v>
          </cell>
          <cell r="C21">
            <v>925.62</v>
          </cell>
          <cell r="D21">
            <v>402.99</v>
          </cell>
          <cell r="E21">
            <v>254.99</v>
          </cell>
          <cell r="F21">
            <v>14.48</v>
          </cell>
          <cell r="G21">
            <v>392.07000000000005</v>
          </cell>
          <cell r="I21">
            <v>3136.5099999999998</v>
          </cell>
          <cell r="J21">
            <v>0</v>
          </cell>
          <cell r="K21">
            <v>0</v>
          </cell>
          <cell r="L21">
            <v>0</v>
          </cell>
          <cell r="M21">
            <v>0</v>
          </cell>
          <cell r="N21">
            <v>0</v>
          </cell>
          <cell r="O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G21">
            <v>0</v>
          </cell>
          <cell r="AH21">
            <v>0</v>
          </cell>
          <cell r="AI21">
            <v>0</v>
          </cell>
          <cell r="AJ21">
            <v>0</v>
          </cell>
          <cell r="AK21">
            <v>0</v>
          </cell>
          <cell r="AL21">
            <v>0</v>
          </cell>
          <cell r="AM21">
            <v>0</v>
          </cell>
          <cell r="AO21">
            <v>0</v>
          </cell>
          <cell r="AP21">
            <v>0</v>
          </cell>
          <cell r="AQ21">
            <v>0</v>
          </cell>
          <cell r="AR21">
            <v>0</v>
          </cell>
          <cell r="AS21">
            <v>0</v>
          </cell>
          <cell r="AT21">
            <v>0</v>
          </cell>
          <cell r="AU21">
            <v>0</v>
          </cell>
          <cell r="AW21">
            <v>0</v>
          </cell>
          <cell r="BE21">
            <v>0</v>
          </cell>
          <cell r="BM21">
            <v>0</v>
          </cell>
          <cell r="BU21">
            <v>0</v>
          </cell>
          <cell r="CD21">
            <v>0</v>
          </cell>
          <cell r="CL21">
            <v>0</v>
          </cell>
          <cell r="CT21">
            <v>0</v>
          </cell>
        </row>
        <row r="22">
          <cell r="A22" t="str">
            <v>Achats Routes</v>
          </cell>
          <cell r="B22">
            <v>-341.81</v>
          </cell>
          <cell r="C22">
            <v>154.71</v>
          </cell>
          <cell r="D22">
            <v>0.11</v>
          </cell>
          <cell r="E22">
            <v>-159.74</v>
          </cell>
          <cell r="F22">
            <v>8.3800000000000008</v>
          </cell>
          <cell r="G22">
            <v>23.09</v>
          </cell>
          <cell r="I22">
            <v>-315.26000000000005</v>
          </cell>
          <cell r="J22">
            <v>0</v>
          </cell>
          <cell r="K22">
            <v>0</v>
          </cell>
          <cell r="L22">
            <v>0</v>
          </cell>
          <cell r="M22">
            <v>0</v>
          </cell>
          <cell r="N22">
            <v>0</v>
          </cell>
          <cell r="O22">
            <v>0</v>
          </cell>
          <cell r="Q22">
            <v>0</v>
          </cell>
          <cell r="R22">
            <v>0</v>
          </cell>
          <cell r="S22">
            <v>0</v>
          </cell>
          <cell r="T22">
            <v>0</v>
          </cell>
          <cell r="U22">
            <v>0</v>
          </cell>
          <cell r="V22">
            <v>0</v>
          </cell>
          <cell r="W22">
            <v>0</v>
          </cell>
          <cell r="Y22">
            <v>0</v>
          </cell>
          <cell r="Z22">
            <v>0</v>
          </cell>
          <cell r="AA22">
            <v>0</v>
          </cell>
          <cell r="AB22">
            <v>0</v>
          </cell>
          <cell r="AC22">
            <v>0</v>
          </cell>
          <cell r="AD22">
            <v>0</v>
          </cell>
          <cell r="AE22">
            <v>0</v>
          </cell>
          <cell r="AG22">
            <v>0</v>
          </cell>
          <cell r="AH22">
            <v>0</v>
          </cell>
          <cell r="AI22">
            <v>0</v>
          </cell>
          <cell r="AJ22">
            <v>0</v>
          </cell>
          <cell r="AK22">
            <v>0</v>
          </cell>
          <cell r="AL22">
            <v>0</v>
          </cell>
          <cell r="AM22">
            <v>0</v>
          </cell>
          <cell r="AO22">
            <v>0</v>
          </cell>
          <cell r="AP22">
            <v>0</v>
          </cell>
          <cell r="AQ22">
            <v>0</v>
          </cell>
          <cell r="AR22">
            <v>0</v>
          </cell>
          <cell r="AS22">
            <v>0</v>
          </cell>
          <cell r="AT22">
            <v>0</v>
          </cell>
          <cell r="AU22">
            <v>0</v>
          </cell>
          <cell r="AW22">
            <v>0</v>
          </cell>
          <cell r="BE22">
            <v>0</v>
          </cell>
          <cell r="BM22">
            <v>0</v>
          </cell>
          <cell r="BU22">
            <v>0</v>
          </cell>
          <cell r="CD22">
            <v>0</v>
          </cell>
          <cell r="CL22">
            <v>0</v>
          </cell>
          <cell r="CT22">
            <v>0</v>
          </cell>
        </row>
        <row r="23">
          <cell r="A23" t="str">
            <v>Achats Fer</v>
          </cell>
          <cell r="B23">
            <v>0</v>
          </cell>
          <cell r="C23">
            <v>0</v>
          </cell>
          <cell r="D23">
            <v>0</v>
          </cell>
          <cell r="E23">
            <v>0</v>
          </cell>
          <cell r="F23">
            <v>0</v>
          </cell>
          <cell r="G23">
            <v>0</v>
          </cell>
          <cell r="I23">
            <v>0</v>
          </cell>
          <cell r="J23">
            <v>0</v>
          </cell>
          <cell r="K23">
            <v>0</v>
          </cell>
          <cell r="L23">
            <v>0</v>
          </cell>
          <cell r="M23">
            <v>0</v>
          </cell>
          <cell r="N23">
            <v>0</v>
          </cell>
          <cell r="O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O23">
            <v>0</v>
          </cell>
          <cell r="AP23">
            <v>0</v>
          </cell>
          <cell r="AQ23">
            <v>0</v>
          </cell>
          <cell r="AR23">
            <v>0</v>
          </cell>
          <cell r="AS23">
            <v>0</v>
          </cell>
          <cell r="AT23">
            <v>0</v>
          </cell>
          <cell r="AU23">
            <v>0</v>
          </cell>
          <cell r="AW23">
            <v>0</v>
          </cell>
          <cell r="BE23">
            <v>0</v>
          </cell>
          <cell r="BM23">
            <v>0</v>
          </cell>
          <cell r="BU23">
            <v>0</v>
          </cell>
          <cell r="CD23">
            <v>0</v>
          </cell>
        </row>
        <row r="24">
          <cell r="A24" t="str">
            <v>Achats Mer</v>
          </cell>
          <cell r="B24">
            <v>823.02</v>
          </cell>
          <cell r="C24">
            <v>0</v>
          </cell>
          <cell r="D24">
            <v>0.6</v>
          </cell>
          <cell r="E24">
            <v>361.67</v>
          </cell>
          <cell r="F24">
            <v>0.34</v>
          </cell>
          <cell r="G24">
            <v>286.27</v>
          </cell>
          <cell r="I24">
            <v>1471.8999999999999</v>
          </cell>
          <cell r="J24">
            <v>0</v>
          </cell>
          <cell r="K24">
            <v>0</v>
          </cell>
          <cell r="L24">
            <v>0</v>
          </cell>
          <cell r="M24">
            <v>0</v>
          </cell>
          <cell r="N24">
            <v>0</v>
          </cell>
          <cell r="O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G24">
            <v>0</v>
          </cell>
          <cell r="AH24">
            <v>0</v>
          </cell>
          <cell r="AI24">
            <v>0</v>
          </cell>
          <cell r="AJ24">
            <v>0</v>
          </cell>
          <cell r="AK24">
            <v>0</v>
          </cell>
          <cell r="AL24">
            <v>0</v>
          </cell>
          <cell r="AM24">
            <v>0</v>
          </cell>
          <cell r="AO24">
            <v>0</v>
          </cell>
          <cell r="AP24">
            <v>0</v>
          </cell>
          <cell r="AQ24">
            <v>0</v>
          </cell>
          <cell r="AR24">
            <v>0</v>
          </cell>
          <cell r="AS24">
            <v>0</v>
          </cell>
          <cell r="AT24">
            <v>0</v>
          </cell>
          <cell r="AU24">
            <v>0</v>
          </cell>
          <cell r="AW24">
            <v>0</v>
          </cell>
          <cell r="BE24">
            <v>0</v>
          </cell>
          <cell r="BM24">
            <v>0</v>
          </cell>
          <cell r="BU24">
            <v>0</v>
          </cell>
          <cell r="CD24">
            <v>-40.900000000000006</v>
          </cell>
        </row>
        <row r="25">
          <cell r="A25" t="str">
            <v>Achats Aériens</v>
          </cell>
          <cell r="B25">
            <v>416.78</v>
          </cell>
          <cell r="C25">
            <v>0</v>
          </cell>
          <cell r="D25">
            <v>1.4</v>
          </cell>
          <cell r="E25">
            <v>1.07</v>
          </cell>
          <cell r="F25">
            <v>-0.35</v>
          </cell>
          <cell r="G25">
            <v>29.95</v>
          </cell>
          <cell r="I25">
            <v>448.84999999999991</v>
          </cell>
          <cell r="J25">
            <v>0</v>
          </cell>
          <cell r="K25">
            <v>0</v>
          </cell>
          <cell r="L25">
            <v>0</v>
          </cell>
          <cell r="M25">
            <v>0</v>
          </cell>
          <cell r="N25">
            <v>0</v>
          </cell>
          <cell r="O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G25">
            <v>0</v>
          </cell>
          <cell r="AH25">
            <v>0</v>
          </cell>
          <cell r="AI25">
            <v>0</v>
          </cell>
          <cell r="AJ25">
            <v>0</v>
          </cell>
          <cell r="AK25">
            <v>0</v>
          </cell>
          <cell r="AL25">
            <v>0</v>
          </cell>
          <cell r="AM25">
            <v>0</v>
          </cell>
          <cell r="AO25">
            <v>0</v>
          </cell>
          <cell r="AP25">
            <v>0</v>
          </cell>
          <cell r="AQ25">
            <v>0</v>
          </cell>
          <cell r="AR25">
            <v>0</v>
          </cell>
          <cell r="AS25">
            <v>0</v>
          </cell>
          <cell r="AT25">
            <v>0</v>
          </cell>
          <cell r="AU25">
            <v>0</v>
          </cell>
          <cell r="AW25">
            <v>0</v>
          </cell>
          <cell r="BE25">
            <v>0</v>
          </cell>
          <cell r="BM25">
            <v>0</v>
          </cell>
          <cell r="BU25">
            <v>0</v>
          </cell>
          <cell r="CD25">
            <v>-45.53</v>
          </cell>
        </row>
        <row r="26">
          <cell r="A26" t="str">
            <v>Achats Fluviaux</v>
          </cell>
          <cell r="B26">
            <v>0</v>
          </cell>
          <cell r="C26">
            <v>0</v>
          </cell>
          <cell r="D26">
            <v>0</v>
          </cell>
          <cell r="E26">
            <v>0</v>
          </cell>
          <cell r="F26">
            <v>0</v>
          </cell>
          <cell r="G26">
            <v>0</v>
          </cell>
          <cell r="I26">
            <v>0</v>
          </cell>
          <cell r="J26">
            <v>0</v>
          </cell>
          <cell r="K26">
            <v>0</v>
          </cell>
          <cell r="L26">
            <v>0</v>
          </cell>
          <cell r="M26">
            <v>0</v>
          </cell>
          <cell r="N26">
            <v>0</v>
          </cell>
          <cell r="O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G26">
            <v>0</v>
          </cell>
          <cell r="AH26">
            <v>0</v>
          </cell>
          <cell r="AI26">
            <v>0</v>
          </cell>
          <cell r="AJ26">
            <v>0</v>
          </cell>
          <cell r="AK26">
            <v>0</v>
          </cell>
          <cell r="AL26">
            <v>0</v>
          </cell>
          <cell r="AM26">
            <v>0</v>
          </cell>
          <cell r="AO26">
            <v>0</v>
          </cell>
          <cell r="AP26">
            <v>0</v>
          </cell>
          <cell r="AQ26">
            <v>0</v>
          </cell>
          <cell r="AR26">
            <v>0</v>
          </cell>
          <cell r="AS26">
            <v>0</v>
          </cell>
          <cell r="AT26">
            <v>0</v>
          </cell>
          <cell r="AU26">
            <v>0</v>
          </cell>
          <cell r="AW26">
            <v>0</v>
          </cell>
          <cell r="BE26">
            <v>0</v>
          </cell>
          <cell r="BM26">
            <v>0</v>
          </cell>
          <cell r="BU26">
            <v>0</v>
          </cell>
          <cell r="CD26">
            <v>0</v>
          </cell>
        </row>
        <row r="27">
          <cell r="A27" t="str">
            <v>Achats Autres</v>
          </cell>
          <cell r="B27">
            <v>0.14000000000000001</v>
          </cell>
          <cell r="C27">
            <v>610.12</v>
          </cell>
          <cell r="D27">
            <v>140.58000000000001</v>
          </cell>
          <cell r="E27">
            <v>22.01</v>
          </cell>
          <cell r="F27">
            <v>0</v>
          </cell>
          <cell r="G27">
            <v>2.17</v>
          </cell>
          <cell r="I27">
            <v>775.02</v>
          </cell>
          <cell r="J27">
            <v>0</v>
          </cell>
          <cell r="K27">
            <v>0</v>
          </cell>
          <cell r="L27">
            <v>0</v>
          </cell>
          <cell r="M27">
            <v>0</v>
          </cell>
          <cell r="N27">
            <v>0</v>
          </cell>
          <cell r="O27">
            <v>0</v>
          </cell>
          <cell r="Q27">
            <v>0</v>
          </cell>
          <cell r="R27">
            <v>0</v>
          </cell>
          <cell r="S27">
            <v>0</v>
          </cell>
          <cell r="T27">
            <v>0</v>
          </cell>
          <cell r="U27">
            <v>0</v>
          </cell>
          <cell r="V27">
            <v>0</v>
          </cell>
          <cell r="W27">
            <v>0</v>
          </cell>
          <cell r="Y27">
            <v>0</v>
          </cell>
          <cell r="Z27">
            <v>0</v>
          </cell>
          <cell r="AA27">
            <v>0</v>
          </cell>
          <cell r="AB27">
            <v>0</v>
          </cell>
          <cell r="AC27">
            <v>0</v>
          </cell>
          <cell r="AD27">
            <v>0</v>
          </cell>
          <cell r="AE27">
            <v>0</v>
          </cell>
          <cell r="AG27">
            <v>0</v>
          </cell>
          <cell r="AH27">
            <v>0</v>
          </cell>
          <cell r="AI27">
            <v>0</v>
          </cell>
          <cell r="AJ27">
            <v>0</v>
          </cell>
          <cell r="AK27">
            <v>0</v>
          </cell>
          <cell r="AL27">
            <v>0</v>
          </cell>
          <cell r="AM27">
            <v>0</v>
          </cell>
          <cell r="AO27">
            <v>0</v>
          </cell>
          <cell r="AP27">
            <v>0</v>
          </cell>
          <cell r="AQ27">
            <v>0</v>
          </cell>
          <cell r="AR27">
            <v>0</v>
          </cell>
          <cell r="AS27">
            <v>0</v>
          </cell>
          <cell r="AT27">
            <v>0</v>
          </cell>
          <cell r="AU27">
            <v>0</v>
          </cell>
          <cell r="AW27">
            <v>0</v>
          </cell>
          <cell r="BE27">
            <v>0</v>
          </cell>
          <cell r="BM27">
            <v>0</v>
          </cell>
          <cell r="BU27">
            <v>0</v>
          </cell>
          <cell r="CD27">
            <v>0</v>
          </cell>
          <cell r="CL27">
            <v>0</v>
          </cell>
          <cell r="CT27">
            <v>0</v>
          </cell>
        </row>
        <row r="28">
          <cell r="A28" t="str">
            <v>Total Achats Externes</v>
          </cell>
          <cell r="B28">
            <v>898.13</v>
          </cell>
          <cell r="C28">
            <v>764.83</v>
          </cell>
          <cell r="D28">
            <v>142.69000000000003</v>
          </cell>
          <cell r="E28">
            <v>225.01</v>
          </cell>
          <cell r="F28">
            <v>8.370000000000001</v>
          </cell>
          <cell r="G28">
            <v>341.47999999999996</v>
          </cell>
          <cell r="I28">
            <v>2380.5099999999998</v>
          </cell>
          <cell r="J28">
            <v>0</v>
          </cell>
          <cell r="K28">
            <v>0</v>
          </cell>
          <cell r="L28">
            <v>0</v>
          </cell>
          <cell r="M28">
            <v>0</v>
          </cell>
          <cell r="N28">
            <v>0</v>
          </cell>
          <cell r="O28">
            <v>0</v>
          </cell>
          <cell r="Q28">
            <v>0</v>
          </cell>
          <cell r="R28">
            <v>0</v>
          </cell>
          <cell r="S28">
            <v>0</v>
          </cell>
          <cell r="T28">
            <v>0</v>
          </cell>
          <cell r="U28">
            <v>0</v>
          </cell>
          <cell r="V28">
            <v>0</v>
          </cell>
          <cell r="W28">
            <v>0</v>
          </cell>
          <cell r="Y28">
            <v>0</v>
          </cell>
          <cell r="Z28">
            <v>0</v>
          </cell>
          <cell r="AA28">
            <v>0</v>
          </cell>
          <cell r="AB28">
            <v>0</v>
          </cell>
          <cell r="AC28">
            <v>0</v>
          </cell>
          <cell r="AD28">
            <v>0</v>
          </cell>
          <cell r="AE28">
            <v>0</v>
          </cell>
          <cell r="AG28">
            <v>0</v>
          </cell>
          <cell r="AH28">
            <v>0</v>
          </cell>
          <cell r="AI28">
            <v>0</v>
          </cell>
          <cell r="AJ28">
            <v>0</v>
          </cell>
          <cell r="AK28">
            <v>0</v>
          </cell>
          <cell r="AL28">
            <v>0</v>
          </cell>
          <cell r="AM28">
            <v>0</v>
          </cell>
          <cell r="AO28">
            <v>0</v>
          </cell>
          <cell r="AP28">
            <v>0</v>
          </cell>
          <cell r="AQ28">
            <v>0</v>
          </cell>
          <cell r="AR28">
            <v>0</v>
          </cell>
          <cell r="AS28">
            <v>0</v>
          </cell>
          <cell r="AT28">
            <v>0</v>
          </cell>
          <cell r="AU28">
            <v>0</v>
          </cell>
          <cell r="AW28">
            <v>0</v>
          </cell>
          <cell r="BE28">
            <v>0</v>
          </cell>
          <cell r="BM28">
            <v>0</v>
          </cell>
          <cell r="BU28">
            <v>0</v>
          </cell>
          <cell r="CD28">
            <v>-86.43</v>
          </cell>
          <cell r="CL28">
            <v>0</v>
          </cell>
          <cell r="CT28">
            <v>0</v>
          </cell>
        </row>
        <row r="29">
          <cell r="A29" t="str">
            <v>Total Achats Inter-Centres</v>
          </cell>
          <cell r="B29">
            <v>0</v>
          </cell>
          <cell r="C29">
            <v>0</v>
          </cell>
          <cell r="D29">
            <v>0</v>
          </cell>
          <cell r="E29">
            <v>0</v>
          </cell>
          <cell r="F29">
            <v>0</v>
          </cell>
          <cell r="G29">
            <v>0</v>
          </cell>
          <cell r="I29">
            <v>0</v>
          </cell>
          <cell r="J29">
            <v>0</v>
          </cell>
          <cell r="K29">
            <v>0</v>
          </cell>
          <cell r="L29">
            <v>0</v>
          </cell>
          <cell r="M29">
            <v>0</v>
          </cell>
          <cell r="N29">
            <v>0</v>
          </cell>
          <cell r="O29">
            <v>0</v>
          </cell>
          <cell r="Q29">
            <v>0</v>
          </cell>
          <cell r="R29">
            <v>0</v>
          </cell>
          <cell r="S29">
            <v>0</v>
          </cell>
          <cell r="T29">
            <v>0</v>
          </cell>
          <cell r="U29">
            <v>0</v>
          </cell>
          <cell r="V29">
            <v>0</v>
          </cell>
          <cell r="W29">
            <v>0</v>
          </cell>
          <cell r="Y29">
            <v>0</v>
          </cell>
          <cell r="Z29">
            <v>0</v>
          </cell>
          <cell r="AA29">
            <v>0</v>
          </cell>
          <cell r="AB29">
            <v>0</v>
          </cell>
          <cell r="AC29">
            <v>0</v>
          </cell>
          <cell r="AD29">
            <v>0</v>
          </cell>
          <cell r="AE29">
            <v>0</v>
          </cell>
          <cell r="AG29">
            <v>0</v>
          </cell>
          <cell r="AH29">
            <v>0</v>
          </cell>
          <cell r="AI29">
            <v>0</v>
          </cell>
          <cell r="AJ29">
            <v>0</v>
          </cell>
          <cell r="AK29">
            <v>0</v>
          </cell>
          <cell r="AL29">
            <v>0</v>
          </cell>
          <cell r="AM29">
            <v>0</v>
          </cell>
          <cell r="AO29">
            <v>0</v>
          </cell>
          <cell r="AP29">
            <v>0</v>
          </cell>
          <cell r="AQ29">
            <v>0</v>
          </cell>
          <cell r="AR29">
            <v>0</v>
          </cell>
          <cell r="AS29">
            <v>0</v>
          </cell>
          <cell r="AT29">
            <v>0</v>
          </cell>
          <cell r="AU29">
            <v>0</v>
          </cell>
          <cell r="AW29">
            <v>0</v>
          </cell>
          <cell r="BE29">
            <v>0</v>
          </cell>
          <cell r="BM29">
            <v>0</v>
          </cell>
          <cell r="BU29">
            <v>0</v>
          </cell>
          <cell r="CD29">
            <v>0</v>
          </cell>
          <cell r="CL29">
            <v>0</v>
          </cell>
          <cell r="CT29">
            <v>0</v>
          </cell>
        </row>
        <row r="30">
          <cell r="A30" t="str">
            <v>Achats Inter-Activités</v>
          </cell>
          <cell r="B30">
            <v>0.64</v>
          </cell>
          <cell r="C30">
            <v>5.46</v>
          </cell>
          <cell r="D30">
            <v>0</v>
          </cell>
          <cell r="E30">
            <v>0</v>
          </cell>
          <cell r="F30">
            <v>0</v>
          </cell>
          <cell r="G30">
            <v>5.9</v>
          </cell>
          <cell r="I30">
            <v>12</v>
          </cell>
          <cell r="J30">
            <v>0</v>
          </cell>
          <cell r="K30">
            <v>0</v>
          </cell>
          <cell r="L30">
            <v>0</v>
          </cell>
          <cell r="M30">
            <v>0</v>
          </cell>
          <cell r="N30">
            <v>0</v>
          </cell>
          <cell r="O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O30">
            <v>0</v>
          </cell>
          <cell r="AP30">
            <v>0</v>
          </cell>
          <cell r="AQ30">
            <v>0</v>
          </cell>
          <cell r="AR30">
            <v>0</v>
          </cell>
          <cell r="AS30">
            <v>0</v>
          </cell>
          <cell r="AT30">
            <v>0</v>
          </cell>
          <cell r="AU30">
            <v>0</v>
          </cell>
          <cell r="AW30">
            <v>0</v>
          </cell>
          <cell r="BE30">
            <v>0</v>
          </cell>
          <cell r="BM30">
            <v>0</v>
          </cell>
          <cell r="BU30">
            <v>0</v>
          </cell>
          <cell r="CD30">
            <v>0</v>
          </cell>
          <cell r="CL30">
            <v>0</v>
          </cell>
          <cell r="CT30">
            <v>0</v>
          </cell>
        </row>
        <row r="31">
          <cell r="A31" t="str">
            <v>Achat Internes Autres</v>
          </cell>
          <cell r="B31">
            <v>0</v>
          </cell>
          <cell r="C31">
            <v>0</v>
          </cell>
          <cell r="D31">
            <v>0</v>
          </cell>
          <cell r="E31">
            <v>0</v>
          </cell>
          <cell r="F31">
            <v>0</v>
          </cell>
          <cell r="G31">
            <v>0</v>
          </cell>
          <cell r="I31">
            <v>0</v>
          </cell>
          <cell r="J31">
            <v>0</v>
          </cell>
          <cell r="K31">
            <v>0</v>
          </cell>
          <cell r="L31">
            <v>0</v>
          </cell>
          <cell r="M31">
            <v>0</v>
          </cell>
          <cell r="N31">
            <v>0</v>
          </cell>
          <cell r="O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G31">
            <v>0</v>
          </cell>
          <cell r="AH31">
            <v>0</v>
          </cell>
          <cell r="AI31">
            <v>0</v>
          </cell>
          <cell r="AJ31">
            <v>0</v>
          </cell>
          <cell r="AK31">
            <v>0</v>
          </cell>
          <cell r="AL31">
            <v>0</v>
          </cell>
          <cell r="AM31">
            <v>0</v>
          </cell>
          <cell r="AO31">
            <v>0</v>
          </cell>
          <cell r="AP31">
            <v>0</v>
          </cell>
          <cell r="AQ31">
            <v>0</v>
          </cell>
          <cell r="AR31">
            <v>0</v>
          </cell>
          <cell r="AS31">
            <v>0</v>
          </cell>
          <cell r="AT31">
            <v>0</v>
          </cell>
          <cell r="AU31">
            <v>0</v>
          </cell>
          <cell r="AW31">
            <v>0</v>
          </cell>
          <cell r="BE31">
            <v>0</v>
          </cell>
          <cell r="BM31">
            <v>0</v>
          </cell>
          <cell r="BU31">
            <v>0</v>
          </cell>
          <cell r="CD31">
            <v>0</v>
          </cell>
          <cell r="CL31">
            <v>0</v>
          </cell>
          <cell r="CT31">
            <v>0</v>
          </cell>
        </row>
        <row r="32">
          <cell r="A32" t="str">
            <v>Total Achat Internes</v>
          </cell>
          <cell r="B32">
            <v>0.64</v>
          </cell>
          <cell r="C32">
            <v>5.46</v>
          </cell>
          <cell r="D32">
            <v>0</v>
          </cell>
          <cell r="E32">
            <v>0</v>
          </cell>
          <cell r="F32">
            <v>0</v>
          </cell>
          <cell r="G32">
            <v>5.9</v>
          </cell>
          <cell r="I32">
            <v>12</v>
          </cell>
          <cell r="J32">
            <v>0</v>
          </cell>
          <cell r="K32">
            <v>0</v>
          </cell>
          <cell r="L32">
            <v>0</v>
          </cell>
          <cell r="M32">
            <v>0</v>
          </cell>
          <cell r="N32">
            <v>0</v>
          </cell>
          <cell r="O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O32">
            <v>0</v>
          </cell>
          <cell r="AP32">
            <v>0</v>
          </cell>
          <cell r="AQ32">
            <v>0</v>
          </cell>
          <cell r="AR32">
            <v>0</v>
          </cell>
          <cell r="AS32">
            <v>0</v>
          </cell>
          <cell r="AT32">
            <v>0</v>
          </cell>
          <cell r="AU32">
            <v>0</v>
          </cell>
          <cell r="AW32">
            <v>0</v>
          </cell>
          <cell r="BE32">
            <v>0</v>
          </cell>
          <cell r="BM32">
            <v>0</v>
          </cell>
          <cell r="BU32">
            <v>0</v>
          </cell>
          <cell r="CD32">
            <v>0</v>
          </cell>
          <cell r="CL32">
            <v>0</v>
          </cell>
          <cell r="CT32">
            <v>0</v>
          </cell>
        </row>
        <row r="33">
          <cell r="A33" t="str">
            <v>Achats</v>
          </cell>
          <cell r="B33">
            <v>898.77</v>
          </cell>
          <cell r="C33">
            <v>770.29000000000008</v>
          </cell>
          <cell r="D33">
            <v>142.69000000000003</v>
          </cell>
          <cell r="E33">
            <v>225.01</v>
          </cell>
          <cell r="F33">
            <v>8.370000000000001</v>
          </cell>
          <cell r="G33">
            <v>347.37999999999994</v>
          </cell>
          <cell r="I33">
            <v>2392.5099999999998</v>
          </cell>
          <cell r="J33">
            <v>0</v>
          </cell>
          <cell r="K33">
            <v>0</v>
          </cell>
          <cell r="L33">
            <v>0</v>
          </cell>
          <cell r="M33">
            <v>0</v>
          </cell>
          <cell r="N33">
            <v>0</v>
          </cell>
          <cell r="O33">
            <v>0</v>
          </cell>
          <cell r="Q33">
            <v>0</v>
          </cell>
          <cell r="R33">
            <v>0</v>
          </cell>
          <cell r="S33">
            <v>0</v>
          </cell>
          <cell r="T33">
            <v>0</v>
          </cell>
          <cell r="U33">
            <v>0</v>
          </cell>
          <cell r="V33">
            <v>0</v>
          </cell>
          <cell r="W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O33">
            <v>0</v>
          </cell>
          <cell r="AP33">
            <v>0</v>
          </cell>
          <cell r="AQ33">
            <v>0</v>
          </cell>
          <cell r="AR33">
            <v>0</v>
          </cell>
          <cell r="AS33">
            <v>0</v>
          </cell>
          <cell r="AT33">
            <v>0</v>
          </cell>
          <cell r="AU33">
            <v>0</v>
          </cell>
          <cell r="AW33">
            <v>0</v>
          </cell>
          <cell r="BE33">
            <v>0</v>
          </cell>
          <cell r="BM33">
            <v>0</v>
          </cell>
          <cell r="BU33">
            <v>0</v>
          </cell>
          <cell r="CD33">
            <v>-86.43</v>
          </cell>
          <cell r="CL33">
            <v>0</v>
          </cell>
          <cell r="CT33">
            <v>0</v>
          </cell>
        </row>
        <row r="34">
          <cell r="A34" t="str">
            <v>Marge Commerciale</v>
          </cell>
          <cell r="B34">
            <v>247.59000000000015</v>
          </cell>
          <cell r="C34">
            <v>155.32999999999993</v>
          </cell>
          <cell r="D34">
            <v>260.29999999999995</v>
          </cell>
          <cell r="E34">
            <v>29.980000000000018</v>
          </cell>
          <cell r="F34">
            <v>6.1099999999999994</v>
          </cell>
          <cell r="G34">
            <v>44.690000000000111</v>
          </cell>
          <cell r="I34">
            <v>744</v>
          </cell>
          <cell r="J34">
            <v>0</v>
          </cell>
          <cell r="K34">
            <v>0</v>
          </cell>
          <cell r="L34">
            <v>0</v>
          </cell>
          <cell r="M34">
            <v>0</v>
          </cell>
          <cell r="N34">
            <v>0</v>
          </cell>
          <cell r="O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G34">
            <v>0</v>
          </cell>
          <cell r="AH34">
            <v>0</v>
          </cell>
          <cell r="AI34">
            <v>0</v>
          </cell>
          <cell r="AJ34">
            <v>0</v>
          </cell>
          <cell r="AK34">
            <v>0</v>
          </cell>
          <cell r="AL34">
            <v>0</v>
          </cell>
          <cell r="AM34">
            <v>0</v>
          </cell>
          <cell r="AO34">
            <v>0</v>
          </cell>
          <cell r="AP34">
            <v>0</v>
          </cell>
          <cell r="AQ34">
            <v>0</v>
          </cell>
          <cell r="AR34">
            <v>0</v>
          </cell>
          <cell r="AS34">
            <v>0</v>
          </cell>
          <cell r="AT34">
            <v>0</v>
          </cell>
          <cell r="AU34">
            <v>0</v>
          </cell>
          <cell r="AW34">
            <v>0</v>
          </cell>
          <cell r="BE34">
            <v>0</v>
          </cell>
          <cell r="BM34">
            <v>0</v>
          </cell>
          <cell r="BU34">
            <v>0</v>
          </cell>
          <cell r="CD34">
            <v>86.43</v>
          </cell>
          <cell r="CL34">
            <v>0</v>
          </cell>
          <cell r="CT34">
            <v>0</v>
          </cell>
        </row>
        <row r="35">
          <cell r="A35" t="str">
            <v>% Mg. Com. - $</v>
          </cell>
          <cell r="B35">
            <v>0.21597927352664095</v>
          </cell>
          <cell r="C35">
            <v>0.16781184503359903</v>
          </cell>
          <cell r="D35">
            <v>0.64592173503064576</v>
          </cell>
          <cell r="E35">
            <v>0.11757323816620266</v>
          </cell>
          <cell r="F35">
            <v>0.42196132596685076</v>
          </cell>
          <cell r="G35">
            <v>0.11398474762159845</v>
          </cell>
          <cell r="I35">
            <v>0.23720632167600297</v>
          </cell>
          <cell r="J35">
            <v>0</v>
          </cell>
          <cell r="K35">
            <v>0</v>
          </cell>
          <cell r="L35">
            <v>0</v>
          </cell>
          <cell r="M35">
            <v>0</v>
          </cell>
          <cell r="N35">
            <v>0</v>
          </cell>
          <cell r="O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O35">
            <v>0</v>
          </cell>
          <cell r="AP35">
            <v>0</v>
          </cell>
          <cell r="AQ35">
            <v>0</v>
          </cell>
          <cell r="AR35">
            <v>0</v>
          </cell>
          <cell r="AS35">
            <v>0</v>
          </cell>
          <cell r="AT35">
            <v>0</v>
          </cell>
          <cell r="AU35">
            <v>0</v>
          </cell>
          <cell r="AW35">
            <v>0</v>
          </cell>
          <cell r="BE35">
            <v>0</v>
          </cell>
          <cell r="BM35">
            <v>0</v>
          </cell>
          <cell r="BU35">
            <v>0</v>
          </cell>
          <cell r="CD35">
            <v>0</v>
          </cell>
          <cell r="CL35">
            <v>0</v>
          </cell>
        </row>
        <row r="36">
          <cell r="I36">
            <v>109.36000000000001</v>
          </cell>
          <cell r="Q36">
            <v>0</v>
          </cell>
          <cell r="Y36">
            <v>0</v>
          </cell>
          <cell r="AG36">
            <v>0</v>
          </cell>
          <cell r="AO36">
            <v>0</v>
          </cell>
          <cell r="AW36">
            <v>0</v>
          </cell>
          <cell r="BE36">
            <v>0</v>
          </cell>
          <cell r="BM36">
            <v>0</v>
          </cell>
          <cell r="BU36">
            <v>0</v>
          </cell>
          <cell r="CD36">
            <v>0</v>
          </cell>
          <cell r="CL36">
            <v>0</v>
          </cell>
        </row>
        <row r="37">
          <cell r="I37">
            <v>0</v>
          </cell>
          <cell r="Q37">
            <v>0</v>
          </cell>
          <cell r="Y37">
            <v>0</v>
          </cell>
          <cell r="AG37">
            <v>0</v>
          </cell>
          <cell r="AO37">
            <v>0</v>
          </cell>
          <cell r="AW37">
            <v>0</v>
          </cell>
          <cell r="BE37">
            <v>0</v>
          </cell>
          <cell r="BM37">
            <v>0</v>
          </cell>
          <cell r="BU37">
            <v>0</v>
          </cell>
          <cell r="CD37">
            <v>0</v>
          </cell>
          <cell r="CL37">
            <v>0</v>
          </cell>
        </row>
        <row r="38">
          <cell r="I38">
            <v>6.5799999999999992</v>
          </cell>
          <cell r="Q38">
            <v>0</v>
          </cell>
          <cell r="Y38">
            <v>0</v>
          </cell>
          <cell r="AG38">
            <v>0</v>
          </cell>
          <cell r="AO38">
            <v>0</v>
          </cell>
          <cell r="AW38">
            <v>0</v>
          </cell>
          <cell r="BE38">
            <v>0</v>
          </cell>
          <cell r="BM38">
            <v>0</v>
          </cell>
          <cell r="BU38">
            <v>0</v>
          </cell>
          <cell r="CD38">
            <v>0</v>
          </cell>
          <cell r="CL38">
            <v>0</v>
          </cell>
        </row>
        <row r="39">
          <cell r="I39">
            <v>0.65000000000000013</v>
          </cell>
          <cell r="Q39">
            <v>0</v>
          </cell>
          <cell r="Y39">
            <v>0</v>
          </cell>
          <cell r="AG39">
            <v>0</v>
          </cell>
          <cell r="AO39">
            <v>0</v>
          </cell>
          <cell r="AW39">
            <v>0</v>
          </cell>
          <cell r="BE39">
            <v>0</v>
          </cell>
          <cell r="BM39">
            <v>0</v>
          </cell>
          <cell r="BU39">
            <v>0</v>
          </cell>
          <cell r="CD39">
            <v>0</v>
          </cell>
          <cell r="CL39">
            <v>0</v>
          </cell>
        </row>
        <row r="40">
          <cell r="I40">
            <v>21.71</v>
          </cell>
          <cell r="Q40">
            <v>0</v>
          </cell>
          <cell r="Y40">
            <v>0</v>
          </cell>
          <cell r="AG40">
            <v>0</v>
          </cell>
          <cell r="AO40">
            <v>0</v>
          </cell>
          <cell r="AW40">
            <v>0</v>
          </cell>
          <cell r="BE40">
            <v>0</v>
          </cell>
          <cell r="BM40">
            <v>0</v>
          </cell>
          <cell r="BU40">
            <v>0</v>
          </cell>
          <cell r="CD40">
            <v>0</v>
          </cell>
          <cell r="CL40">
            <v>0</v>
          </cell>
        </row>
        <row r="41">
          <cell r="I41">
            <v>0</v>
          </cell>
          <cell r="Q41">
            <v>0</v>
          </cell>
          <cell r="Y41">
            <v>0</v>
          </cell>
          <cell r="AG41">
            <v>0</v>
          </cell>
          <cell r="AO41">
            <v>0</v>
          </cell>
          <cell r="AW41">
            <v>0</v>
          </cell>
          <cell r="BE41">
            <v>0</v>
          </cell>
          <cell r="BM41">
            <v>0</v>
          </cell>
          <cell r="BU41">
            <v>0</v>
          </cell>
          <cell r="CD41">
            <v>0</v>
          </cell>
          <cell r="CL41">
            <v>0</v>
          </cell>
        </row>
        <row r="42">
          <cell r="I42">
            <v>0.17</v>
          </cell>
          <cell r="Q42">
            <v>0</v>
          </cell>
          <cell r="Y42">
            <v>0</v>
          </cell>
          <cell r="AG42">
            <v>0</v>
          </cell>
          <cell r="AO42">
            <v>0</v>
          </cell>
          <cell r="AW42">
            <v>0</v>
          </cell>
          <cell r="BE42">
            <v>0</v>
          </cell>
          <cell r="BM42">
            <v>0</v>
          </cell>
          <cell r="BU42">
            <v>0</v>
          </cell>
          <cell r="CD42">
            <v>0</v>
          </cell>
          <cell r="CL42">
            <v>0</v>
          </cell>
        </row>
        <row r="43">
          <cell r="I43">
            <v>0</v>
          </cell>
          <cell r="Q43">
            <v>0</v>
          </cell>
          <cell r="Y43">
            <v>0</v>
          </cell>
          <cell r="AG43">
            <v>0</v>
          </cell>
          <cell r="AO43">
            <v>0</v>
          </cell>
          <cell r="AW43">
            <v>0</v>
          </cell>
          <cell r="BE43">
            <v>0</v>
          </cell>
          <cell r="BM43">
            <v>0</v>
          </cell>
          <cell r="BU43">
            <v>0</v>
          </cell>
          <cell r="CD43">
            <v>0</v>
          </cell>
          <cell r="CL43">
            <v>0</v>
          </cell>
        </row>
        <row r="44">
          <cell r="I44">
            <v>2.92</v>
          </cell>
          <cell r="Q44">
            <v>0</v>
          </cell>
          <cell r="Y44">
            <v>0</v>
          </cell>
          <cell r="AG44">
            <v>0</v>
          </cell>
          <cell r="AO44">
            <v>0</v>
          </cell>
          <cell r="AW44">
            <v>0</v>
          </cell>
          <cell r="BE44">
            <v>0</v>
          </cell>
          <cell r="BM44">
            <v>0</v>
          </cell>
          <cell r="BU44">
            <v>0</v>
          </cell>
          <cell r="CD44">
            <v>0</v>
          </cell>
          <cell r="CL44">
            <v>0</v>
          </cell>
        </row>
        <row r="45">
          <cell r="I45">
            <v>0</v>
          </cell>
          <cell r="Q45">
            <v>0</v>
          </cell>
          <cell r="Y45">
            <v>0</v>
          </cell>
          <cell r="AG45">
            <v>0</v>
          </cell>
          <cell r="AO45">
            <v>0</v>
          </cell>
          <cell r="AW45">
            <v>0</v>
          </cell>
          <cell r="BE45">
            <v>0</v>
          </cell>
          <cell r="BM45">
            <v>0</v>
          </cell>
          <cell r="BU45">
            <v>0</v>
          </cell>
          <cell r="CD45">
            <v>0</v>
          </cell>
          <cell r="CL45">
            <v>0</v>
          </cell>
        </row>
        <row r="46">
          <cell r="I46">
            <v>0</v>
          </cell>
          <cell r="Q46">
            <v>0</v>
          </cell>
          <cell r="Y46">
            <v>0</v>
          </cell>
          <cell r="AG46">
            <v>0</v>
          </cell>
          <cell r="AO46">
            <v>0</v>
          </cell>
          <cell r="AW46">
            <v>0</v>
          </cell>
          <cell r="BE46">
            <v>0</v>
          </cell>
          <cell r="BM46">
            <v>0</v>
          </cell>
          <cell r="BU46">
            <v>0</v>
          </cell>
          <cell r="CD46">
            <v>0</v>
          </cell>
          <cell r="CL46">
            <v>0</v>
          </cell>
        </row>
        <row r="47">
          <cell r="I47">
            <v>0</v>
          </cell>
          <cell r="Q47">
            <v>0</v>
          </cell>
          <cell r="Y47">
            <v>0</v>
          </cell>
          <cell r="AG47">
            <v>0</v>
          </cell>
          <cell r="AO47">
            <v>0</v>
          </cell>
          <cell r="AW47">
            <v>0</v>
          </cell>
          <cell r="BE47">
            <v>0</v>
          </cell>
          <cell r="BM47">
            <v>0</v>
          </cell>
          <cell r="BU47">
            <v>0</v>
          </cell>
          <cell r="CD47">
            <v>0</v>
          </cell>
          <cell r="CL47">
            <v>0</v>
          </cell>
        </row>
        <row r="48">
          <cell r="I48">
            <v>0</v>
          </cell>
          <cell r="Q48">
            <v>0</v>
          </cell>
          <cell r="Y48">
            <v>0</v>
          </cell>
          <cell r="AG48">
            <v>0</v>
          </cell>
          <cell r="AO48">
            <v>0</v>
          </cell>
          <cell r="AW48">
            <v>0</v>
          </cell>
          <cell r="BE48">
            <v>0</v>
          </cell>
          <cell r="BM48">
            <v>0</v>
          </cell>
          <cell r="BU48">
            <v>0</v>
          </cell>
          <cell r="CD48">
            <v>0</v>
          </cell>
          <cell r="CL48">
            <v>0</v>
          </cell>
        </row>
        <row r="49">
          <cell r="I49">
            <v>0</v>
          </cell>
          <cell r="Q49">
            <v>0</v>
          </cell>
          <cell r="Y49">
            <v>0</v>
          </cell>
          <cell r="AG49">
            <v>0</v>
          </cell>
          <cell r="AO49">
            <v>0</v>
          </cell>
          <cell r="AW49">
            <v>0</v>
          </cell>
          <cell r="BE49">
            <v>0</v>
          </cell>
          <cell r="BM49">
            <v>0</v>
          </cell>
          <cell r="BU49">
            <v>0</v>
          </cell>
          <cell r="CD49">
            <v>0</v>
          </cell>
          <cell r="CL49">
            <v>0</v>
          </cell>
        </row>
        <row r="50">
          <cell r="I50">
            <v>141.38999999999999</v>
          </cell>
          <cell r="Q50">
            <v>0</v>
          </cell>
          <cell r="Y50">
            <v>0</v>
          </cell>
          <cell r="AG50">
            <v>0</v>
          </cell>
          <cell r="AO50">
            <v>0</v>
          </cell>
          <cell r="AW50">
            <v>0</v>
          </cell>
          <cell r="BE50">
            <v>0</v>
          </cell>
          <cell r="BM50">
            <v>0</v>
          </cell>
          <cell r="BU50">
            <v>0</v>
          </cell>
          <cell r="CD50">
            <v>0</v>
          </cell>
          <cell r="CL50">
            <v>0</v>
          </cell>
        </row>
        <row r="51">
          <cell r="I51">
            <v>0</v>
          </cell>
          <cell r="Q51">
            <v>0</v>
          </cell>
          <cell r="Y51">
            <v>0</v>
          </cell>
          <cell r="AG51">
            <v>0</v>
          </cell>
          <cell r="AO51">
            <v>0</v>
          </cell>
          <cell r="AW51">
            <v>0</v>
          </cell>
          <cell r="BE51">
            <v>0</v>
          </cell>
          <cell r="BM51">
            <v>0</v>
          </cell>
          <cell r="BU51">
            <v>0</v>
          </cell>
          <cell r="CD51">
            <v>0</v>
          </cell>
          <cell r="CL51">
            <v>0</v>
          </cell>
        </row>
        <row r="52">
          <cell r="I52">
            <v>0.87</v>
          </cell>
          <cell r="Q52">
            <v>0</v>
          </cell>
          <cell r="Y52">
            <v>0</v>
          </cell>
          <cell r="AG52">
            <v>0</v>
          </cell>
          <cell r="AO52">
            <v>0</v>
          </cell>
          <cell r="AW52">
            <v>0</v>
          </cell>
          <cell r="BE52">
            <v>0</v>
          </cell>
          <cell r="BM52">
            <v>0</v>
          </cell>
          <cell r="BU52">
            <v>0</v>
          </cell>
          <cell r="CD52">
            <v>0</v>
          </cell>
          <cell r="CL52">
            <v>0</v>
          </cell>
        </row>
        <row r="53">
          <cell r="I53">
            <v>0</v>
          </cell>
          <cell r="Q53">
            <v>0</v>
          </cell>
          <cell r="Y53">
            <v>0</v>
          </cell>
          <cell r="AG53">
            <v>0</v>
          </cell>
          <cell r="AO53">
            <v>0</v>
          </cell>
          <cell r="AW53">
            <v>0</v>
          </cell>
          <cell r="BE53">
            <v>0</v>
          </cell>
          <cell r="BM53">
            <v>0</v>
          </cell>
          <cell r="BU53">
            <v>0</v>
          </cell>
          <cell r="CD53">
            <v>0</v>
          </cell>
          <cell r="CL53">
            <v>0</v>
          </cell>
        </row>
        <row r="54">
          <cell r="I54">
            <v>0</v>
          </cell>
          <cell r="Q54">
            <v>0</v>
          </cell>
          <cell r="Y54">
            <v>0</v>
          </cell>
          <cell r="AG54">
            <v>0</v>
          </cell>
          <cell r="AO54">
            <v>0</v>
          </cell>
          <cell r="AW54">
            <v>0</v>
          </cell>
          <cell r="BE54">
            <v>0</v>
          </cell>
          <cell r="BM54">
            <v>0</v>
          </cell>
          <cell r="BU54">
            <v>0</v>
          </cell>
          <cell r="CD54">
            <v>0</v>
          </cell>
          <cell r="CL54">
            <v>0</v>
          </cell>
        </row>
        <row r="55">
          <cell r="I55">
            <v>0</v>
          </cell>
          <cell r="Q55">
            <v>0</v>
          </cell>
          <cell r="Y55">
            <v>0</v>
          </cell>
          <cell r="AG55">
            <v>0</v>
          </cell>
          <cell r="AO55">
            <v>0</v>
          </cell>
          <cell r="AW55">
            <v>0</v>
          </cell>
          <cell r="BE55">
            <v>0</v>
          </cell>
          <cell r="BM55">
            <v>0</v>
          </cell>
          <cell r="BU55">
            <v>0</v>
          </cell>
          <cell r="CD55">
            <v>0</v>
          </cell>
          <cell r="CL55">
            <v>0</v>
          </cell>
        </row>
        <row r="56">
          <cell r="I56">
            <v>0.87</v>
          </cell>
          <cell r="Q56">
            <v>0</v>
          </cell>
          <cell r="Y56">
            <v>0</v>
          </cell>
          <cell r="AG56">
            <v>0</v>
          </cell>
          <cell r="AO56">
            <v>0</v>
          </cell>
          <cell r="AW56">
            <v>0</v>
          </cell>
          <cell r="BE56">
            <v>0</v>
          </cell>
          <cell r="BM56">
            <v>0</v>
          </cell>
          <cell r="BU56">
            <v>0</v>
          </cell>
          <cell r="CD56">
            <v>0</v>
          </cell>
          <cell r="CL56">
            <v>0</v>
          </cell>
        </row>
        <row r="57">
          <cell r="I57">
            <v>1.73</v>
          </cell>
          <cell r="Q57">
            <v>0</v>
          </cell>
          <cell r="Y57">
            <v>0</v>
          </cell>
          <cell r="AG57">
            <v>0</v>
          </cell>
          <cell r="AO57">
            <v>0</v>
          </cell>
          <cell r="AW57">
            <v>0</v>
          </cell>
          <cell r="BE57">
            <v>0</v>
          </cell>
          <cell r="BM57">
            <v>0</v>
          </cell>
          <cell r="BU57">
            <v>0</v>
          </cell>
          <cell r="CD57">
            <v>0</v>
          </cell>
          <cell r="CL57">
            <v>0</v>
          </cell>
        </row>
        <row r="58">
          <cell r="I58">
            <v>0</v>
          </cell>
          <cell r="Q58">
            <v>0</v>
          </cell>
          <cell r="Y58">
            <v>0</v>
          </cell>
          <cell r="AG58">
            <v>0</v>
          </cell>
          <cell r="AO58">
            <v>0</v>
          </cell>
          <cell r="AW58">
            <v>0</v>
          </cell>
          <cell r="BE58">
            <v>0</v>
          </cell>
          <cell r="BM58">
            <v>0</v>
          </cell>
          <cell r="BU58">
            <v>0</v>
          </cell>
          <cell r="CD58">
            <v>0</v>
          </cell>
          <cell r="CL58">
            <v>0</v>
          </cell>
        </row>
        <row r="59">
          <cell r="I59">
            <v>0</v>
          </cell>
          <cell r="Q59">
            <v>0</v>
          </cell>
          <cell r="Y59">
            <v>0</v>
          </cell>
          <cell r="AG59">
            <v>0</v>
          </cell>
          <cell r="AO59">
            <v>0</v>
          </cell>
          <cell r="AW59">
            <v>0</v>
          </cell>
          <cell r="BE59">
            <v>0</v>
          </cell>
          <cell r="BM59">
            <v>0</v>
          </cell>
          <cell r="BU59">
            <v>0</v>
          </cell>
          <cell r="CD59">
            <v>0</v>
          </cell>
          <cell r="CL59">
            <v>0</v>
          </cell>
        </row>
        <row r="60">
          <cell r="I60">
            <v>0.04</v>
          </cell>
          <cell r="Q60">
            <v>0</v>
          </cell>
          <cell r="Y60">
            <v>0</v>
          </cell>
          <cell r="AG60">
            <v>0</v>
          </cell>
          <cell r="AO60">
            <v>0</v>
          </cell>
          <cell r="AW60">
            <v>0</v>
          </cell>
          <cell r="BE60">
            <v>0</v>
          </cell>
          <cell r="BM60">
            <v>0</v>
          </cell>
          <cell r="BU60">
            <v>0</v>
          </cell>
          <cell r="CD60">
            <v>0</v>
          </cell>
          <cell r="CL60">
            <v>0</v>
          </cell>
        </row>
        <row r="61">
          <cell r="I61">
            <v>3.16</v>
          </cell>
          <cell r="Q61">
            <v>0</v>
          </cell>
          <cell r="Y61">
            <v>0</v>
          </cell>
          <cell r="AG61">
            <v>0</v>
          </cell>
          <cell r="AO61">
            <v>0</v>
          </cell>
          <cell r="AW61">
            <v>0</v>
          </cell>
          <cell r="BE61">
            <v>0</v>
          </cell>
          <cell r="BM61">
            <v>0</v>
          </cell>
          <cell r="BU61">
            <v>0</v>
          </cell>
          <cell r="CD61">
            <v>0</v>
          </cell>
          <cell r="CL61">
            <v>0</v>
          </cell>
        </row>
        <row r="62">
          <cell r="I62">
            <v>0</v>
          </cell>
          <cell r="Q62">
            <v>0</v>
          </cell>
          <cell r="Y62">
            <v>0</v>
          </cell>
          <cell r="AG62">
            <v>0</v>
          </cell>
          <cell r="AO62">
            <v>0</v>
          </cell>
          <cell r="AW62">
            <v>0</v>
          </cell>
          <cell r="BE62">
            <v>0</v>
          </cell>
          <cell r="BM62">
            <v>0</v>
          </cell>
          <cell r="BU62">
            <v>0</v>
          </cell>
          <cell r="CD62">
            <v>0</v>
          </cell>
          <cell r="CL62">
            <v>0</v>
          </cell>
        </row>
        <row r="63">
          <cell r="I63">
            <v>0</v>
          </cell>
          <cell r="Q63">
            <v>0</v>
          </cell>
          <cell r="Y63">
            <v>0</v>
          </cell>
          <cell r="AG63">
            <v>0</v>
          </cell>
          <cell r="AO63">
            <v>0</v>
          </cell>
          <cell r="AW63">
            <v>0</v>
          </cell>
          <cell r="BE63">
            <v>0</v>
          </cell>
          <cell r="BM63">
            <v>0</v>
          </cell>
          <cell r="BU63">
            <v>0</v>
          </cell>
          <cell r="CD63">
            <v>0</v>
          </cell>
          <cell r="CL63">
            <v>0</v>
          </cell>
        </row>
        <row r="64">
          <cell r="I64">
            <v>0</v>
          </cell>
          <cell r="Q64">
            <v>0</v>
          </cell>
          <cell r="Y64">
            <v>0</v>
          </cell>
          <cell r="AG64">
            <v>0</v>
          </cell>
          <cell r="AO64">
            <v>0</v>
          </cell>
          <cell r="AW64">
            <v>0</v>
          </cell>
          <cell r="BE64">
            <v>0</v>
          </cell>
          <cell r="BM64">
            <v>0</v>
          </cell>
          <cell r="BU64">
            <v>0</v>
          </cell>
          <cell r="CD64">
            <v>0</v>
          </cell>
          <cell r="CL64">
            <v>0</v>
          </cell>
        </row>
        <row r="65">
          <cell r="I65">
            <v>3.2</v>
          </cell>
          <cell r="Q65">
            <v>0</v>
          </cell>
          <cell r="Y65">
            <v>0</v>
          </cell>
          <cell r="AG65">
            <v>0</v>
          </cell>
          <cell r="AO65">
            <v>0</v>
          </cell>
          <cell r="AW65">
            <v>0</v>
          </cell>
          <cell r="BE65">
            <v>0</v>
          </cell>
          <cell r="BM65">
            <v>0</v>
          </cell>
          <cell r="BU65">
            <v>0</v>
          </cell>
          <cell r="CD65">
            <v>0</v>
          </cell>
          <cell r="CL65">
            <v>0</v>
          </cell>
        </row>
        <row r="66">
          <cell r="I66">
            <v>0.52</v>
          </cell>
          <cell r="Q66">
            <v>0</v>
          </cell>
          <cell r="Y66">
            <v>0</v>
          </cell>
          <cell r="AG66">
            <v>0</v>
          </cell>
          <cell r="AO66">
            <v>0</v>
          </cell>
          <cell r="AW66">
            <v>0</v>
          </cell>
          <cell r="BE66">
            <v>0</v>
          </cell>
          <cell r="BM66">
            <v>0</v>
          </cell>
          <cell r="BU66">
            <v>0</v>
          </cell>
          <cell r="CD66">
            <v>0</v>
          </cell>
          <cell r="CL66">
            <v>0</v>
          </cell>
        </row>
        <row r="67">
          <cell r="I67">
            <v>0</v>
          </cell>
          <cell r="Q67">
            <v>0</v>
          </cell>
          <cell r="Y67">
            <v>0</v>
          </cell>
          <cell r="AG67">
            <v>0</v>
          </cell>
          <cell r="AO67">
            <v>0</v>
          </cell>
          <cell r="AW67">
            <v>0</v>
          </cell>
          <cell r="BE67">
            <v>0</v>
          </cell>
          <cell r="BM67">
            <v>0</v>
          </cell>
          <cell r="BU67">
            <v>0</v>
          </cell>
          <cell r="CD67">
            <v>0</v>
          </cell>
          <cell r="CL67">
            <v>0</v>
          </cell>
        </row>
        <row r="68">
          <cell r="I68">
            <v>7.93</v>
          </cell>
          <cell r="Q68">
            <v>0</v>
          </cell>
          <cell r="Y68">
            <v>0</v>
          </cell>
          <cell r="AG68">
            <v>0</v>
          </cell>
          <cell r="AO68">
            <v>0</v>
          </cell>
          <cell r="AW68">
            <v>0</v>
          </cell>
          <cell r="BE68">
            <v>0</v>
          </cell>
          <cell r="BM68">
            <v>0</v>
          </cell>
          <cell r="BU68">
            <v>0</v>
          </cell>
          <cell r="CD68">
            <v>0</v>
          </cell>
          <cell r="CL68">
            <v>0</v>
          </cell>
        </row>
        <row r="69">
          <cell r="I69">
            <v>0</v>
          </cell>
          <cell r="Q69">
            <v>0</v>
          </cell>
          <cell r="Y69">
            <v>0</v>
          </cell>
          <cell r="AG69">
            <v>0</v>
          </cell>
          <cell r="AO69">
            <v>0</v>
          </cell>
          <cell r="AW69">
            <v>0</v>
          </cell>
          <cell r="BE69">
            <v>0</v>
          </cell>
          <cell r="BM69">
            <v>0</v>
          </cell>
          <cell r="BU69">
            <v>0</v>
          </cell>
          <cell r="CD69">
            <v>0</v>
          </cell>
          <cell r="CL69">
            <v>0</v>
          </cell>
        </row>
        <row r="70">
          <cell r="I70">
            <v>0.58000000000000007</v>
          </cell>
          <cell r="Q70">
            <v>0</v>
          </cell>
          <cell r="Y70">
            <v>0</v>
          </cell>
          <cell r="AG70">
            <v>0</v>
          </cell>
          <cell r="AO70">
            <v>0</v>
          </cell>
          <cell r="AW70">
            <v>0</v>
          </cell>
          <cell r="BE70">
            <v>0</v>
          </cell>
          <cell r="BM70">
            <v>0</v>
          </cell>
          <cell r="BU70">
            <v>0</v>
          </cell>
          <cell r="CD70">
            <v>0</v>
          </cell>
          <cell r="CL70">
            <v>0</v>
          </cell>
        </row>
        <row r="71">
          <cell r="I71">
            <v>0</v>
          </cell>
          <cell r="Q71">
            <v>0</v>
          </cell>
          <cell r="Y71">
            <v>0</v>
          </cell>
          <cell r="AG71">
            <v>0</v>
          </cell>
          <cell r="AO71">
            <v>0</v>
          </cell>
          <cell r="AW71">
            <v>0</v>
          </cell>
          <cell r="BE71">
            <v>0</v>
          </cell>
          <cell r="BM71">
            <v>0</v>
          </cell>
          <cell r="BU71">
            <v>0</v>
          </cell>
          <cell r="CD71">
            <v>0</v>
          </cell>
          <cell r="CL71">
            <v>0</v>
          </cell>
        </row>
        <row r="72">
          <cell r="I72">
            <v>11.41</v>
          </cell>
          <cell r="Q72">
            <v>0</v>
          </cell>
          <cell r="Y72">
            <v>0</v>
          </cell>
          <cell r="AG72">
            <v>0</v>
          </cell>
          <cell r="AO72">
            <v>0</v>
          </cell>
          <cell r="AW72">
            <v>0</v>
          </cell>
          <cell r="BE72">
            <v>0</v>
          </cell>
          <cell r="BM72">
            <v>0</v>
          </cell>
          <cell r="BU72">
            <v>0</v>
          </cell>
          <cell r="CD72">
            <v>0</v>
          </cell>
          <cell r="CL72">
            <v>0</v>
          </cell>
        </row>
        <row r="73">
          <cell r="I73">
            <v>0</v>
          </cell>
          <cell r="Q73">
            <v>0</v>
          </cell>
          <cell r="Y73">
            <v>0</v>
          </cell>
          <cell r="AG73">
            <v>0</v>
          </cell>
          <cell r="AO73">
            <v>0</v>
          </cell>
          <cell r="AW73">
            <v>0</v>
          </cell>
          <cell r="BE73">
            <v>0</v>
          </cell>
          <cell r="BM73">
            <v>0</v>
          </cell>
          <cell r="BU73">
            <v>0</v>
          </cell>
          <cell r="CD73">
            <v>0</v>
          </cell>
          <cell r="CL73">
            <v>0</v>
          </cell>
        </row>
        <row r="74">
          <cell r="I74">
            <v>0</v>
          </cell>
          <cell r="Q74">
            <v>0</v>
          </cell>
          <cell r="Y74">
            <v>0</v>
          </cell>
          <cell r="AG74">
            <v>0</v>
          </cell>
          <cell r="AO74">
            <v>0</v>
          </cell>
          <cell r="AW74">
            <v>0</v>
          </cell>
          <cell r="BE74">
            <v>0</v>
          </cell>
          <cell r="BM74">
            <v>0</v>
          </cell>
          <cell r="BU74">
            <v>0</v>
          </cell>
          <cell r="CD74">
            <v>0</v>
          </cell>
          <cell r="CL74">
            <v>0</v>
          </cell>
        </row>
        <row r="75">
          <cell r="I75">
            <v>0</v>
          </cell>
          <cell r="Q75">
            <v>0</v>
          </cell>
          <cell r="Y75">
            <v>0</v>
          </cell>
          <cell r="AG75">
            <v>0</v>
          </cell>
          <cell r="AO75">
            <v>0</v>
          </cell>
          <cell r="AW75">
            <v>0</v>
          </cell>
          <cell r="BE75">
            <v>0</v>
          </cell>
          <cell r="BM75">
            <v>0</v>
          </cell>
          <cell r="BU75">
            <v>0</v>
          </cell>
          <cell r="CD75">
            <v>0</v>
          </cell>
          <cell r="CL75">
            <v>0</v>
          </cell>
        </row>
        <row r="76">
          <cell r="I76">
            <v>0</v>
          </cell>
          <cell r="Q76">
            <v>0</v>
          </cell>
          <cell r="Y76">
            <v>0</v>
          </cell>
          <cell r="AG76">
            <v>0</v>
          </cell>
          <cell r="AO76">
            <v>0</v>
          </cell>
          <cell r="AW76">
            <v>0</v>
          </cell>
          <cell r="BE76">
            <v>0</v>
          </cell>
          <cell r="BM76">
            <v>0</v>
          </cell>
          <cell r="BU76">
            <v>0</v>
          </cell>
          <cell r="CD76">
            <v>0</v>
          </cell>
          <cell r="CL76">
            <v>0</v>
          </cell>
        </row>
        <row r="77">
          <cell r="I77">
            <v>42.860000000000007</v>
          </cell>
          <cell r="Q77">
            <v>0</v>
          </cell>
          <cell r="Y77">
            <v>0</v>
          </cell>
          <cell r="AG77">
            <v>0</v>
          </cell>
          <cell r="AO77">
            <v>0</v>
          </cell>
          <cell r="AW77">
            <v>0</v>
          </cell>
          <cell r="BE77">
            <v>0</v>
          </cell>
          <cell r="BM77">
            <v>0</v>
          </cell>
          <cell r="BU77">
            <v>0</v>
          </cell>
          <cell r="CD77">
            <v>0</v>
          </cell>
          <cell r="CL77">
            <v>0</v>
          </cell>
        </row>
        <row r="78">
          <cell r="I78">
            <v>9</v>
          </cell>
          <cell r="Q78">
            <v>0</v>
          </cell>
          <cell r="Y78">
            <v>0</v>
          </cell>
          <cell r="AG78">
            <v>0</v>
          </cell>
          <cell r="AO78">
            <v>0</v>
          </cell>
          <cell r="AW78">
            <v>0</v>
          </cell>
          <cell r="BE78">
            <v>0</v>
          </cell>
          <cell r="BM78">
            <v>0</v>
          </cell>
          <cell r="BU78">
            <v>0</v>
          </cell>
          <cell r="CD78">
            <v>0</v>
          </cell>
          <cell r="CL78">
            <v>0</v>
          </cell>
        </row>
        <row r="79">
          <cell r="I79">
            <v>3.3100000000000005</v>
          </cell>
          <cell r="Q79">
            <v>0</v>
          </cell>
          <cell r="Y79">
            <v>0</v>
          </cell>
          <cell r="AG79">
            <v>0</v>
          </cell>
          <cell r="AO79">
            <v>0</v>
          </cell>
          <cell r="AW79">
            <v>0</v>
          </cell>
          <cell r="BE79">
            <v>0</v>
          </cell>
          <cell r="BM79">
            <v>0</v>
          </cell>
          <cell r="BU79">
            <v>0</v>
          </cell>
          <cell r="CD79">
            <v>0</v>
          </cell>
          <cell r="CL79">
            <v>0</v>
          </cell>
        </row>
        <row r="80">
          <cell r="I80">
            <v>3.4299999999999997</v>
          </cell>
          <cell r="Q80">
            <v>0</v>
          </cell>
          <cell r="Y80">
            <v>0</v>
          </cell>
          <cell r="AG80">
            <v>0</v>
          </cell>
          <cell r="AO80">
            <v>0</v>
          </cell>
          <cell r="AW80">
            <v>0</v>
          </cell>
          <cell r="BE80">
            <v>0</v>
          </cell>
          <cell r="BM80">
            <v>0</v>
          </cell>
          <cell r="BU80">
            <v>0</v>
          </cell>
          <cell r="CD80">
            <v>0</v>
          </cell>
          <cell r="CL80">
            <v>0</v>
          </cell>
        </row>
        <row r="81">
          <cell r="I81">
            <v>0</v>
          </cell>
          <cell r="Q81">
            <v>0</v>
          </cell>
          <cell r="Y81">
            <v>0</v>
          </cell>
          <cell r="AG81">
            <v>0</v>
          </cell>
          <cell r="AO81">
            <v>0</v>
          </cell>
          <cell r="AW81">
            <v>0</v>
          </cell>
          <cell r="BE81">
            <v>0</v>
          </cell>
          <cell r="BM81">
            <v>0</v>
          </cell>
          <cell r="BU81">
            <v>0</v>
          </cell>
          <cell r="CD81">
            <v>0</v>
          </cell>
          <cell r="CL81">
            <v>0</v>
          </cell>
        </row>
        <row r="82">
          <cell r="I82">
            <v>0</v>
          </cell>
          <cell r="Q82">
            <v>0</v>
          </cell>
          <cell r="Y82">
            <v>0</v>
          </cell>
          <cell r="AG82">
            <v>0</v>
          </cell>
          <cell r="AO82">
            <v>0</v>
          </cell>
          <cell r="AW82">
            <v>0</v>
          </cell>
          <cell r="BE82">
            <v>0</v>
          </cell>
          <cell r="BM82">
            <v>0</v>
          </cell>
          <cell r="BU82">
            <v>0</v>
          </cell>
          <cell r="CD82">
            <v>0</v>
          </cell>
          <cell r="CL82">
            <v>0</v>
          </cell>
        </row>
        <row r="83">
          <cell r="I83">
            <v>0</v>
          </cell>
          <cell r="Q83">
            <v>0</v>
          </cell>
          <cell r="Y83">
            <v>0</v>
          </cell>
          <cell r="AG83">
            <v>0</v>
          </cell>
          <cell r="AO83">
            <v>0</v>
          </cell>
          <cell r="AW83">
            <v>0</v>
          </cell>
          <cell r="BE83">
            <v>0</v>
          </cell>
          <cell r="BM83">
            <v>0</v>
          </cell>
          <cell r="BU83">
            <v>0</v>
          </cell>
          <cell r="CD83">
            <v>0</v>
          </cell>
          <cell r="CL83">
            <v>0</v>
          </cell>
        </row>
        <row r="84">
          <cell r="I84">
            <v>0</v>
          </cell>
          <cell r="Q84">
            <v>0</v>
          </cell>
          <cell r="Y84">
            <v>0</v>
          </cell>
          <cell r="AG84">
            <v>0</v>
          </cell>
          <cell r="AO84">
            <v>0</v>
          </cell>
          <cell r="AW84">
            <v>0</v>
          </cell>
          <cell r="BE84">
            <v>0</v>
          </cell>
          <cell r="BM84">
            <v>0</v>
          </cell>
          <cell r="BU84">
            <v>0</v>
          </cell>
          <cell r="CD84">
            <v>0</v>
          </cell>
          <cell r="CL84">
            <v>0</v>
          </cell>
        </row>
        <row r="85">
          <cell r="I85">
            <v>0</v>
          </cell>
          <cell r="Q85">
            <v>0</v>
          </cell>
          <cell r="Y85">
            <v>0</v>
          </cell>
          <cell r="AG85">
            <v>0</v>
          </cell>
          <cell r="AO85">
            <v>0</v>
          </cell>
          <cell r="AW85">
            <v>0</v>
          </cell>
          <cell r="BE85">
            <v>0</v>
          </cell>
          <cell r="BM85">
            <v>0</v>
          </cell>
          <cell r="BU85">
            <v>0</v>
          </cell>
          <cell r="CD85">
            <v>0</v>
          </cell>
          <cell r="CL85">
            <v>0</v>
          </cell>
        </row>
        <row r="86">
          <cell r="I86">
            <v>0</v>
          </cell>
          <cell r="Q86">
            <v>0</v>
          </cell>
          <cell r="Y86">
            <v>0</v>
          </cell>
          <cell r="AG86">
            <v>0</v>
          </cell>
          <cell r="AO86">
            <v>0</v>
          </cell>
          <cell r="AW86">
            <v>0</v>
          </cell>
          <cell r="BE86">
            <v>0</v>
          </cell>
          <cell r="BM86">
            <v>0</v>
          </cell>
          <cell r="BU86">
            <v>0</v>
          </cell>
          <cell r="CD86">
            <v>0</v>
          </cell>
          <cell r="CL86">
            <v>0</v>
          </cell>
        </row>
        <row r="87">
          <cell r="I87">
            <v>0</v>
          </cell>
          <cell r="Q87">
            <v>0</v>
          </cell>
          <cell r="Y87">
            <v>0</v>
          </cell>
          <cell r="AG87">
            <v>0</v>
          </cell>
          <cell r="AO87">
            <v>0</v>
          </cell>
          <cell r="AW87">
            <v>0</v>
          </cell>
          <cell r="BE87">
            <v>0</v>
          </cell>
          <cell r="BM87">
            <v>0</v>
          </cell>
          <cell r="BU87">
            <v>0</v>
          </cell>
          <cell r="CD87">
            <v>0</v>
          </cell>
          <cell r="CL87">
            <v>0</v>
          </cell>
        </row>
        <row r="88">
          <cell r="I88">
            <v>78.52</v>
          </cell>
          <cell r="Q88">
            <v>0</v>
          </cell>
          <cell r="Y88">
            <v>0</v>
          </cell>
          <cell r="AG88">
            <v>0</v>
          </cell>
          <cell r="AO88">
            <v>0</v>
          </cell>
          <cell r="AW88">
            <v>0</v>
          </cell>
          <cell r="BE88">
            <v>0</v>
          </cell>
          <cell r="BM88">
            <v>0</v>
          </cell>
          <cell r="BU88">
            <v>0</v>
          </cell>
          <cell r="CD88">
            <v>0</v>
          </cell>
          <cell r="CL88">
            <v>0</v>
          </cell>
        </row>
        <row r="89">
          <cell r="I89">
            <v>83.97</v>
          </cell>
          <cell r="Q89">
            <v>0</v>
          </cell>
          <cell r="Y89">
            <v>0</v>
          </cell>
          <cell r="AG89">
            <v>0</v>
          </cell>
          <cell r="AO89">
            <v>0</v>
          </cell>
          <cell r="AW89">
            <v>0</v>
          </cell>
          <cell r="BE89">
            <v>0</v>
          </cell>
          <cell r="BM89">
            <v>0</v>
          </cell>
          <cell r="BU89">
            <v>0</v>
          </cell>
          <cell r="CD89">
            <v>0</v>
          </cell>
          <cell r="CL89">
            <v>0</v>
          </cell>
        </row>
        <row r="90">
          <cell r="I90">
            <v>0</v>
          </cell>
          <cell r="Q90">
            <v>0</v>
          </cell>
          <cell r="Y90">
            <v>0</v>
          </cell>
          <cell r="AG90">
            <v>0</v>
          </cell>
          <cell r="AO90">
            <v>0</v>
          </cell>
          <cell r="AW90">
            <v>0</v>
          </cell>
          <cell r="BE90">
            <v>0</v>
          </cell>
          <cell r="BM90">
            <v>0</v>
          </cell>
          <cell r="BU90">
            <v>0</v>
          </cell>
          <cell r="CD90">
            <v>0</v>
          </cell>
          <cell r="CL90">
            <v>0</v>
          </cell>
        </row>
        <row r="91">
          <cell r="I91">
            <v>0</v>
          </cell>
          <cell r="Q91">
            <v>0</v>
          </cell>
          <cell r="Y91">
            <v>0</v>
          </cell>
          <cell r="AG91">
            <v>0</v>
          </cell>
          <cell r="AO91">
            <v>0</v>
          </cell>
          <cell r="AW91">
            <v>0</v>
          </cell>
          <cell r="BE91">
            <v>0</v>
          </cell>
          <cell r="BM91">
            <v>0</v>
          </cell>
          <cell r="BU91">
            <v>0</v>
          </cell>
          <cell r="CD91">
            <v>0</v>
          </cell>
          <cell r="CL91">
            <v>0</v>
          </cell>
        </row>
        <row r="92">
          <cell r="I92">
            <v>0</v>
          </cell>
          <cell r="Q92">
            <v>0</v>
          </cell>
          <cell r="Y92">
            <v>0</v>
          </cell>
          <cell r="AG92">
            <v>0</v>
          </cell>
          <cell r="AO92">
            <v>0</v>
          </cell>
          <cell r="AW92">
            <v>0</v>
          </cell>
          <cell r="BE92">
            <v>0</v>
          </cell>
          <cell r="BM92">
            <v>0</v>
          </cell>
          <cell r="BU92">
            <v>0</v>
          </cell>
          <cell r="CD92">
            <v>0</v>
          </cell>
          <cell r="CL92">
            <v>0</v>
          </cell>
        </row>
        <row r="93">
          <cell r="I93">
            <v>226.23</v>
          </cell>
          <cell r="Q93">
            <v>0</v>
          </cell>
          <cell r="Y93">
            <v>0</v>
          </cell>
          <cell r="AG93">
            <v>0</v>
          </cell>
          <cell r="AO93">
            <v>0</v>
          </cell>
          <cell r="AW93">
            <v>0</v>
          </cell>
          <cell r="BE93">
            <v>0</v>
          </cell>
          <cell r="BM93">
            <v>0</v>
          </cell>
          <cell r="BU93">
            <v>0</v>
          </cell>
          <cell r="CD93">
            <v>0</v>
          </cell>
          <cell r="CL93">
            <v>0</v>
          </cell>
        </row>
        <row r="94">
          <cell r="I94">
            <v>0</v>
          </cell>
          <cell r="Q94">
            <v>0</v>
          </cell>
          <cell r="Y94">
            <v>0</v>
          </cell>
          <cell r="AG94">
            <v>0</v>
          </cell>
          <cell r="AO94">
            <v>0</v>
          </cell>
          <cell r="AW94">
            <v>0</v>
          </cell>
          <cell r="BE94">
            <v>0</v>
          </cell>
          <cell r="BM94">
            <v>0</v>
          </cell>
          <cell r="BU94">
            <v>0</v>
          </cell>
          <cell r="CD94">
            <v>0</v>
          </cell>
          <cell r="CL94">
            <v>0</v>
          </cell>
        </row>
        <row r="95">
          <cell r="I95">
            <v>7.1300000000000008</v>
          </cell>
          <cell r="Q95">
            <v>0</v>
          </cell>
          <cell r="Y95">
            <v>0</v>
          </cell>
          <cell r="AG95">
            <v>0</v>
          </cell>
          <cell r="AO95">
            <v>0</v>
          </cell>
          <cell r="AW95">
            <v>0</v>
          </cell>
          <cell r="BE95">
            <v>0</v>
          </cell>
          <cell r="BM95">
            <v>0</v>
          </cell>
          <cell r="BU95">
            <v>0</v>
          </cell>
          <cell r="CD95">
            <v>0</v>
          </cell>
          <cell r="CL95">
            <v>0</v>
          </cell>
        </row>
        <row r="96">
          <cell r="I96">
            <v>7.1300000000000008</v>
          </cell>
          <cell r="Q96">
            <v>0</v>
          </cell>
          <cell r="Y96">
            <v>0</v>
          </cell>
          <cell r="AG96">
            <v>0</v>
          </cell>
          <cell r="AO96">
            <v>0</v>
          </cell>
          <cell r="AW96">
            <v>0</v>
          </cell>
          <cell r="BE96">
            <v>0</v>
          </cell>
          <cell r="BM96">
            <v>0</v>
          </cell>
          <cell r="BU96">
            <v>0</v>
          </cell>
          <cell r="CD96">
            <v>0</v>
          </cell>
          <cell r="CL96">
            <v>0</v>
          </cell>
        </row>
        <row r="97">
          <cell r="I97">
            <v>2.46</v>
          </cell>
          <cell r="Q97">
            <v>0</v>
          </cell>
          <cell r="Y97">
            <v>0</v>
          </cell>
          <cell r="AG97">
            <v>0</v>
          </cell>
          <cell r="AO97">
            <v>0</v>
          </cell>
          <cell r="AW97">
            <v>0</v>
          </cell>
          <cell r="BE97">
            <v>0</v>
          </cell>
          <cell r="BM97">
            <v>0</v>
          </cell>
          <cell r="BU97">
            <v>0</v>
          </cell>
          <cell r="CD97">
            <v>0</v>
          </cell>
          <cell r="CL97">
            <v>0</v>
          </cell>
        </row>
        <row r="98">
          <cell r="I98">
            <v>6.67</v>
          </cell>
          <cell r="Q98">
            <v>0</v>
          </cell>
          <cell r="Y98">
            <v>0</v>
          </cell>
          <cell r="AG98">
            <v>0</v>
          </cell>
          <cell r="AO98">
            <v>0</v>
          </cell>
          <cell r="AW98">
            <v>0</v>
          </cell>
          <cell r="BE98">
            <v>0</v>
          </cell>
          <cell r="BM98">
            <v>0</v>
          </cell>
          <cell r="BU98">
            <v>0</v>
          </cell>
          <cell r="CD98">
            <v>0</v>
          </cell>
          <cell r="CL98">
            <v>0</v>
          </cell>
        </row>
        <row r="99">
          <cell r="I99">
            <v>6.76</v>
          </cell>
          <cell r="Q99">
            <v>0</v>
          </cell>
          <cell r="Y99">
            <v>0</v>
          </cell>
          <cell r="AG99">
            <v>0</v>
          </cell>
          <cell r="AO99">
            <v>0</v>
          </cell>
          <cell r="AW99">
            <v>0</v>
          </cell>
          <cell r="BE99">
            <v>0</v>
          </cell>
          <cell r="BM99">
            <v>0</v>
          </cell>
          <cell r="BU99">
            <v>0</v>
          </cell>
          <cell r="CD99">
            <v>0</v>
          </cell>
          <cell r="CL99">
            <v>0</v>
          </cell>
        </row>
        <row r="100">
          <cell r="I100">
            <v>12.870000000000001</v>
          </cell>
          <cell r="Q100">
            <v>0</v>
          </cell>
          <cell r="Y100">
            <v>0</v>
          </cell>
          <cell r="AG100">
            <v>0</v>
          </cell>
          <cell r="AO100">
            <v>0</v>
          </cell>
          <cell r="AW100">
            <v>0</v>
          </cell>
          <cell r="BE100">
            <v>0</v>
          </cell>
          <cell r="BM100">
            <v>0</v>
          </cell>
          <cell r="BU100">
            <v>0</v>
          </cell>
          <cell r="CD100">
            <v>0</v>
          </cell>
          <cell r="CL100">
            <v>0</v>
          </cell>
        </row>
        <row r="101">
          <cell r="I101">
            <v>0</v>
          </cell>
          <cell r="Q101">
            <v>0</v>
          </cell>
          <cell r="Y101">
            <v>0</v>
          </cell>
          <cell r="AG101">
            <v>0</v>
          </cell>
          <cell r="AO101">
            <v>0</v>
          </cell>
          <cell r="AW101">
            <v>0</v>
          </cell>
          <cell r="BE101">
            <v>0</v>
          </cell>
          <cell r="BM101">
            <v>0</v>
          </cell>
          <cell r="BU101">
            <v>0</v>
          </cell>
          <cell r="CD101">
            <v>0</v>
          </cell>
          <cell r="CL101">
            <v>0</v>
          </cell>
        </row>
        <row r="102">
          <cell r="I102">
            <v>26.3</v>
          </cell>
          <cell r="Q102">
            <v>0</v>
          </cell>
          <cell r="Y102">
            <v>0</v>
          </cell>
          <cell r="AG102">
            <v>0</v>
          </cell>
          <cell r="AO102">
            <v>0</v>
          </cell>
          <cell r="AW102">
            <v>0</v>
          </cell>
          <cell r="BE102">
            <v>0</v>
          </cell>
          <cell r="BM102">
            <v>0</v>
          </cell>
          <cell r="BU102">
            <v>0</v>
          </cell>
          <cell r="CD102">
            <v>0</v>
          </cell>
          <cell r="CL102">
            <v>0</v>
          </cell>
        </row>
        <row r="103">
          <cell r="I103">
            <v>0.84</v>
          </cell>
          <cell r="Q103">
            <v>0</v>
          </cell>
          <cell r="Y103">
            <v>0</v>
          </cell>
          <cell r="AG103">
            <v>0</v>
          </cell>
          <cell r="AO103">
            <v>0</v>
          </cell>
          <cell r="AW103">
            <v>0</v>
          </cell>
          <cell r="BE103">
            <v>0</v>
          </cell>
          <cell r="BM103">
            <v>0</v>
          </cell>
          <cell r="BU103">
            <v>0</v>
          </cell>
          <cell r="CD103">
            <v>0</v>
          </cell>
          <cell r="CL103">
            <v>0</v>
          </cell>
        </row>
        <row r="104">
          <cell r="I104">
            <v>5.24</v>
          </cell>
          <cell r="Q104">
            <v>0</v>
          </cell>
          <cell r="Y104">
            <v>0</v>
          </cell>
          <cell r="AG104">
            <v>0</v>
          </cell>
          <cell r="AO104">
            <v>0</v>
          </cell>
          <cell r="AW104">
            <v>0</v>
          </cell>
          <cell r="BE104">
            <v>0</v>
          </cell>
          <cell r="BM104">
            <v>0</v>
          </cell>
          <cell r="BU104">
            <v>0</v>
          </cell>
          <cell r="CD104">
            <v>0</v>
          </cell>
          <cell r="CL104">
            <v>0</v>
          </cell>
        </row>
        <row r="105">
          <cell r="I105">
            <v>0</v>
          </cell>
          <cell r="Q105">
            <v>0</v>
          </cell>
          <cell r="Y105">
            <v>0</v>
          </cell>
          <cell r="AG105">
            <v>0</v>
          </cell>
          <cell r="AO105">
            <v>0</v>
          </cell>
          <cell r="AW105">
            <v>0</v>
          </cell>
          <cell r="BE105">
            <v>0</v>
          </cell>
          <cell r="BM105">
            <v>0</v>
          </cell>
          <cell r="BU105">
            <v>0</v>
          </cell>
          <cell r="CD105">
            <v>0</v>
          </cell>
          <cell r="CL105">
            <v>0</v>
          </cell>
        </row>
        <row r="106">
          <cell r="I106">
            <v>0</v>
          </cell>
          <cell r="Q106">
            <v>0</v>
          </cell>
          <cell r="Y106">
            <v>0</v>
          </cell>
          <cell r="AG106">
            <v>0</v>
          </cell>
          <cell r="AO106">
            <v>0</v>
          </cell>
          <cell r="AW106">
            <v>0</v>
          </cell>
          <cell r="BE106">
            <v>0</v>
          </cell>
          <cell r="BM106">
            <v>0</v>
          </cell>
          <cell r="BU106">
            <v>0</v>
          </cell>
          <cell r="CD106">
            <v>0</v>
          </cell>
          <cell r="CL106">
            <v>0</v>
          </cell>
        </row>
        <row r="107">
          <cell r="I107">
            <v>1.41</v>
          </cell>
          <cell r="Q107">
            <v>0</v>
          </cell>
          <cell r="Y107">
            <v>0</v>
          </cell>
          <cell r="AG107">
            <v>0</v>
          </cell>
          <cell r="AO107">
            <v>0</v>
          </cell>
          <cell r="AW107">
            <v>0</v>
          </cell>
          <cell r="BE107">
            <v>0</v>
          </cell>
          <cell r="BM107">
            <v>0</v>
          </cell>
          <cell r="BU107">
            <v>0</v>
          </cell>
          <cell r="CD107">
            <v>0</v>
          </cell>
          <cell r="CL107">
            <v>0</v>
          </cell>
        </row>
        <row r="108">
          <cell r="I108">
            <v>0</v>
          </cell>
          <cell r="Q108">
            <v>0</v>
          </cell>
          <cell r="Y108">
            <v>0</v>
          </cell>
          <cell r="AG108">
            <v>0</v>
          </cell>
          <cell r="AO108">
            <v>0</v>
          </cell>
          <cell r="AW108">
            <v>0</v>
          </cell>
          <cell r="BE108">
            <v>0</v>
          </cell>
          <cell r="BM108">
            <v>0</v>
          </cell>
          <cell r="BU108">
            <v>0</v>
          </cell>
          <cell r="CD108">
            <v>0</v>
          </cell>
          <cell r="CL108">
            <v>0</v>
          </cell>
        </row>
        <row r="109">
          <cell r="I109">
            <v>0</v>
          </cell>
          <cell r="Q109">
            <v>0</v>
          </cell>
          <cell r="Y109">
            <v>0</v>
          </cell>
          <cell r="AG109">
            <v>0</v>
          </cell>
          <cell r="AO109">
            <v>0</v>
          </cell>
          <cell r="AW109">
            <v>0</v>
          </cell>
          <cell r="BE109">
            <v>0</v>
          </cell>
          <cell r="BM109">
            <v>0</v>
          </cell>
          <cell r="BU109">
            <v>0</v>
          </cell>
          <cell r="CD109">
            <v>0</v>
          </cell>
          <cell r="CL109">
            <v>0</v>
          </cell>
        </row>
        <row r="110">
          <cell r="I110">
            <v>0</v>
          </cell>
          <cell r="Q110">
            <v>0</v>
          </cell>
          <cell r="Y110">
            <v>0</v>
          </cell>
          <cell r="AG110">
            <v>0</v>
          </cell>
          <cell r="AO110">
            <v>0</v>
          </cell>
          <cell r="AW110">
            <v>0</v>
          </cell>
          <cell r="BE110">
            <v>0</v>
          </cell>
          <cell r="BM110">
            <v>0</v>
          </cell>
          <cell r="BU110">
            <v>0</v>
          </cell>
          <cell r="CD110">
            <v>0</v>
          </cell>
          <cell r="CL110">
            <v>0</v>
          </cell>
        </row>
        <row r="111">
          <cell r="I111">
            <v>0</v>
          </cell>
          <cell r="Q111">
            <v>0</v>
          </cell>
          <cell r="Y111">
            <v>0</v>
          </cell>
          <cell r="AG111">
            <v>0</v>
          </cell>
          <cell r="AO111">
            <v>0</v>
          </cell>
          <cell r="AW111">
            <v>0</v>
          </cell>
          <cell r="BE111">
            <v>0</v>
          </cell>
          <cell r="BM111">
            <v>0</v>
          </cell>
          <cell r="BU111">
            <v>0</v>
          </cell>
          <cell r="CD111">
            <v>0</v>
          </cell>
          <cell r="CL111">
            <v>0</v>
          </cell>
        </row>
        <row r="112">
          <cell r="I112">
            <v>0</v>
          </cell>
          <cell r="Q112">
            <v>0</v>
          </cell>
          <cell r="Y112">
            <v>0</v>
          </cell>
          <cell r="AG112">
            <v>0</v>
          </cell>
          <cell r="AO112">
            <v>0</v>
          </cell>
          <cell r="AW112">
            <v>0</v>
          </cell>
          <cell r="BE112">
            <v>0</v>
          </cell>
          <cell r="BM112">
            <v>0</v>
          </cell>
          <cell r="BU112">
            <v>0</v>
          </cell>
          <cell r="CD112">
            <v>0</v>
          </cell>
          <cell r="CL112">
            <v>0</v>
          </cell>
        </row>
        <row r="113">
          <cell r="I113">
            <v>5.919999999999999</v>
          </cell>
          <cell r="Q113">
            <v>0</v>
          </cell>
          <cell r="Y113">
            <v>0</v>
          </cell>
          <cell r="AG113">
            <v>0</v>
          </cell>
          <cell r="AO113">
            <v>0</v>
          </cell>
          <cell r="AW113">
            <v>0</v>
          </cell>
          <cell r="BE113">
            <v>0</v>
          </cell>
          <cell r="BM113">
            <v>0</v>
          </cell>
          <cell r="BU113">
            <v>0</v>
          </cell>
          <cell r="CD113">
            <v>0</v>
          </cell>
          <cell r="CL113">
            <v>0</v>
          </cell>
        </row>
        <row r="114">
          <cell r="I114">
            <v>13.410000000000002</v>
          </cell>
          <cell r="Q114">
            <v>0</v>
          </cell>
          <cell r="Y114">
            <v>0</v>
          </cell>
          <cell r="AG114">
            <v>0</v>
          </cell>
          <cell r="AO114">
            <v>0</v>
          </cell>
          <cell r="AW114">
            <v>0</v>
          </cell>
          <cell r="BE114">
            <v>0</v>
          </cell>
          <cell r="BM114">
            <v>0</v>
          </cell>
          <cell r="BU114">
            <v>0</v>
          </cell>
          <cell r="CD114">
            <v>0</v>
          </cell>
          <cell r="CL114">
            <v>0</v>
          </cell>
        </row>
        <row r="115">
          <cell r="I115">
            <v>49.300000000000004</v>
          </cell>
          <cell r="Q115">
            <v>0</v>
          </cell>
          <cell r="Y115">
            <v>0</v>
          </cell>
          <cell r="AG115">
            <v>0</v>
          </cell>
          <cell r="AO115">
            <v>0</v>
          </cell>
          <cell r="AW115">
            <v>0</v>
          </cell>
          <cell r="BE115">
            <v>0</v>
          </cell>
          <cell r="BM115">
            <v>0</v>
          </cell>
          <cell r="BU115">
            <v>0</v>
          </cell>
          <cell r="CD115">
            <v>0</v>
          </cell>
          <cell r="CL115">
            <v>0</v>
          </cell>
        </row>
        <row r="116">
          <cell r="I116">
            <v>0</v>
          </cell>
          <cell r="Q116">
            <v>0</v>
          </cell>
          <cell r="Y116">
            <v>0</v>
          </cell>
          <cell r="AG116">
            <v>0</v>
          </cell>
          <cell r="AO116">
            <v>0</v>
          </cell>
          <cell r="AW116">
            <v>0</v>
          </cell>
          <cell r="BE116">
            <v>0</v>
          </cell>
          <cell r="BM116">
            <v>0</v>
          </cell>
          <cell r="BU116">
            <v>0</v>
          </cell>
          <cell r="CD116">
            <v>0</v>
          </cell>
          <cell r="CL116">
            <v>0</v>
          </cell>
        </row>
        <row r="117">
          <cell r="I117">
            <v>0</v>
          </cell>
          <cell r="Q117">
            <v>0</v>
          </cell>
          <cell r="Y117">
            <v>0</v>
          </cell>
          <cell r="AG117">
            <v>0</v>
          </cell>
          <cell r="AO117">
            <v>0</v>
          </cell>
          <cell r="AW117">
            <v>0</v>
          </cell>
          <cell r="BE117">
            <v>0</v>
          </cell>
          <cell r="BM117">
            <v>0</v>
          </cell>
          <cell r="BU117">
            <v>0</v>
          </cell>
          <cell r="CD117">
            <v>0</v>
          </cell>
          <cell r="CL117">
            <v>0</v>
          </cell>
        </row>
        <row r="118">
          <cell r="I118">
            <v>0</v>
          </cell>
          <cell r="Q118">
            <v>0</v>
          </cell>
          <cell r="Y118">
            <v>0</v>
          </cell>
          <cell r="AG118">
            <v>0</v>
          </cell>
          <cell r="AO118">
            <v>0</v>
          </cell>
          <cell r="AW118">
            <v>0</v>
          </cell>
          <cell r="BE118">
            <v>0</v>
          </cell>
          <cell r="BM118">
            <v>0</v>
          </cell>
          <cell r="BU118">
            <v>0</v>
          </cell>
          <cell r="CD118">
            <v>0</v>
          </cell>
          <cell r="CL118">
            <v>0</v>
          </cell>
        </row>
        <row r="119">
          <cell r="I119">
            <v>0</v>
          </cell>
          <cell r="Q119">
            <v>0</v>
          </cell>
          <cell r="Y119">
            <v>0</v>
          </cell>
          <cell r="AG119">
            <v>0</v>
          </cell>
          <cell r="AO119">
            <v>0</v>
          </cell>
          <cell r="AW119">
            <v>0</v>
          </cell>
          <cell r="BE119">
            <v>0</v>
          </cell>
          <cell r="BM119">
            <v>0</v>
          </cell>
          <cell r="BU119">
            <v>0</v>
          </cell>
          <cell r="CD119">
            <v>0</v>
          </cell>
          <cell r="CL119">
            <v>0</v>
          </cell>
        </row>
        <row r="120">
          <cell r="I120">
            <v>0</v>
          </cell>
          <cell r="Q120">
            <v>0</v>
          </cell>
          <cell r="Y120">
            <v>0</v>
          </cell>
          <cell r="AG120">
            <v>0</v>
          </cell>
          <cell r="AO120">
            <v>0</v>
          </cell>
          <cell r="AW120">
            <v>0</v>
          </cell>
          <cell r="BE120">
            <v>0</v>
          </cell>
          <cell r="BM120">
            <v>0</v>
          </cell>
          <cell r="BU120">
            <v>0</v>
          </cell>
          <cell r="CD120">
            <v>0</v>
          </cell>
          <cell r="CL120">
            <v>0</v>
          </cell>
        </row>
        <row r="121">
          <cell r="I121">
            <v>0</v>
          </cell>
          <cell r="Q121">
            <v>0</v>
          </cell>
          <cell r="Y121">
            <v>0</v>
          </cell>
          <cell r="AG121">
            <v>0</v>
          </cell>
          <cell r="AO121">
            <v>0</v>
          </cell>
          <cell r="AW121">
            <v>0</v>
          </cell>
          <cell r="BE121">
            <v>0</v>
          </cell>
          <cell r="BM121">
            <v>0</v>
          </cell>
          <cell r="BU121">
            <v>0</v>
          </cell>
          <cell r="CD121">
            <v>0</v>
          </cell>
          <cell r="CL121">
            <v>0</v>
          </cell>
        </row>
        <row r="122">
          <cell r="I122">
            <v>0</v>
          </cell>
          <cell r="Q122">
            <v>0</v>
          </cell>
          <cell r="Y122">
            <v>0</v>
          </cell>
          <cell r="AG122">
            <v>0</v>
          </cell>
          <cell r="AO122">
            <v>0</v>
          </cell>
          <cell r="AW122">
            <v>0</v>
          </cell>
          <cell r="BE122">
            <v>0</v>
          </cell>
          <cell r="BM122">
            <v>0</v>
          </cell>
          <cell r="BU122">
            <v>0</v>
          </cell>
          <cell r="CD122">
            <v>0</v>
          </cell>
          <cell r="CL122">
            <v>0</v>
          </cell>
        </row>
        <row r="123">
          <cell r="I123">
            <v>0</v>
          </cell>
          <cell r="Q123">
            <v>0</v>
          </cell>
          <cell r="Y123">
            <v>0</v>
          </cell>
          <cell r="AG123">
            <v>0</v>
          </cell>
          <cell r="AO123">
            <v>0</v>
          </cell>
          <cell r="AW123">
            <v>0</v>
          </cell>
          <cell r="BE123">
            <v>0</v>
          </cell>
          <cell r="BM123">
            <v>0</v>
          </cell>
          <cell r="BU123">
            <v>0</v>
          </cell>
          <cell r="CD123">
            <v>0</v>
          </cell>
          <cell r="CL123">
            <v>0</v>
          </cell>
        </row>
        <row r="124">
          <cell r="I124">
            <v>0</v>
          </cell>
          <cell r="Q124">
            <v>0</v>
          </cell>
          <cell r="Y124">
            <v>0</v>
          </cell>
          <cell r="AG124">
            <v>0</v>
          </cell>
          <cell r="AO124">
            <v>0</v>
          </cell>
          <cell r="AW124">
            <v>0</v>
          </cell>
          <cell r="BE124">
            <v>0</v>
          </cell>
          <cell r="BM124">
            <v>0</v>
          </cell>
          <cell r="BU124">
            <v>0</v>
          </cell>
          <cell r="CD124">
            <v>0</v>
          </cell>
          <cell r="CL124">
            <v>0</v>
          </cell>
        </row>
        <row r="125">
          <cell r="I125">
            <v>0</v>
          </cell>
          <cell r="Q125">
            <v>0</v>
          </cell>
          <cell r="Y125">
            <v>0</v>
          </cell>
          <cell r="AG125">
            <v>0</v>
          </cell>
          <cell r="AO125">
            <v>0</v>
          </cell>
          <cell r="AW125">
            <v>0</v>
          </cell>
          <cell r="BE125">
            <v>0</v>
          </cell>
          <cell r="BM125">
            <v>0</v>
          </cell>
          <cell r="BU125">
            <v>0</v>
          </cell>
          <cell r="CD125">
            <v>0</v>
          </cell>
          <cell r="CL125">
            <v>0</v>
          </cell>
        </row>
        <row r="126">
          <cell r="I126">
            <v>0</v>
          </cell>
          <cell r="Q126">
            <v>0</v>
          </cell>
          <cell r="Y126">
            <v>0</v>
          </cell>
          <cell r="AG126">
            <v>0</v>
          </cell>
          <cell r="AO126">
            <v>0</v>
          </cell>
          <cell r="AW126">
            <v>0</v>
          </cell>
          <cell r="BE126">
            <v>0</v>
          </cell>
          <cell r="BM126">
            <v>0</v>
          </cell>
          <cell r="BU126">
            <v>0</v>
          </cell>
          <cell r="CD126">
            <v>0</v>
          </cell>
          <cell r="CL126">
            <v>0</v>
          </cell>
        </row>
        <row r="127">
          <cell r="I127">
            <v>0</v>
          </cell>
          <cell r="Q127">
            <v>0</v>
          </cell>
          <cell r="Y127">
            <v>0</v>
          </cell>
          <cell r="AG127">
            <v>0</v>
          </cell>
          <cell r="AO127">
            <v>0</v>
          </cell>
          <cell r="AW127">
            <v>0</v>
          </cell>
          <cell r="BE127">
            <v>0</v>
          </cell>
          <cell r="BM127">
            <v>0</v>
          </cell>
          <cell r="BU127">
            <v>0</v>
          </cell>
          <cell r="CD127">
            <v>0</v>
          </cell>
          <cell r="CL127">
            <v>0</v>
          </cell>
        </row>
        <row r="128">
          <cell r="I128">
            <v>0</v>
          </cell>
          <cell r="Q128">
            <v>0</v>
          </cell>
          <cell r="Y128">
            <v>0</v>
          </cell>
          <cell r="AG128">
            <v>0</v>
          </cell>
          <cell r="AO128">
            <v>0</v>
          </cell>
          <cell r="AW128">
            <v>0</v>
          </cell>
          <cell r="BE128">
            <v>0</v>
          </cell>
          <cell r="BM128">
            <v>0</v>
          </cell>
          <cell r="BU128">
            <v>0</v>
          </cell>
          <cell r="CD128">
            <v>0</v>
          </cell>
          <cell r="CL128">
            <v>0</v>
          </cell>
        </row>
        <row r="129">
          <cell r="I129">
            <v>0</v>
          </cell>
          <cell r="Q129">
            <v>0</v>
          </cell>
          <cell r="Y129">
            <v>0</v>
          </cell>
          <cell r="AG129">
            <v>0</v>
          </cell>
          <cell r="AO129">
            <v>0</v>
          </cell>
          <cell r="AW129">
            <v>0</v>
          </cell>
          <cell r="BE129">
            <v>0</v>
          </cell>
          <cell r="BM129">
            <v>0</v>
          </cell>
          <cell r="BU129">
            <v>0</v>
          </cell>
          <cell r="CD129">
            <v>0</v>
          </cell>
          <cell r="CL129">
            <v>0</v>
          </cell>
        </row>
        <row r="130">
          <cell r="I130">
            <v>0</v>
          </cell>
          <cell r="Q130">
            <v>0</v>
          </cell>
          <cell r="Y130">
            <v>0</v>
          </cell>
          <cell r="AG130">
            <v>0</v>
          </cell>
          <cell r="AO130">
            <v>0</v>
          </cell>
          <cell r="AW130">
            <v>0</v>
          </cell>
          <cell r="BE130">
            <v>0</v>
          </cell>
          <cell r="BM130">
            <v>0</v>
          </cell>
          <cell r="BU130">
            <v>0</v>
          </cell>
          <cell r="CD130">
            <v>0</v>
          </cell>
          <cell r="CL130">
            <v>0</v>
          </cell>
        </row>
        <row r="131">
          <cell r="I131">
            <v>0</v>
          </cell>
          <cell r="Q131">
            <v>0</v>
          </cell>
          <cell r="Y131">
            <v>0</v>
          </cell>
          <cell r="AG131">
            <v>0</v>
          </cell>
          <cell r="AO131">
            <v>0</v>
          </cell>
          <cell r="AW131">
            <v>0</v>
          </cell>
          <cell r="BE131">
            <v>0</v>
          </cell>
          <cell r="BM131">
            <v>0</v>
          </cell>
          <cell r="BU131">
            <v>0</v>
          </cell>
          <cell r="CD131">
            <v>0</v>
          </cell>
          <cell r="CL131">
            <v>0</v>
          </cell>
        </row>
        <row r="132">
          <cell r="I132">
            <v>0</v>
          </cell>
          <cell r="Q132">
            <v>0</v>
          </cell>
          <cell r="Y132">
            <v>0</v>
          </cell>
          <cell r="AG132">
            <v>0</v>
          </cell>
          <cell r="AO132">
            <v>0</v>
          </cell>
          <cell r="AW132">
            <v>0</v>
          </cell>
          <cell r="BE132">
            <v>0</v>
          </cell>
          <cell r="BM132">
            <v>0</v>
          </cell>
          <cell r="BU132">
            <v>0</v>
          </cell>
          <cell r="CD132">
            <v>0</v>
          </cell>
          <cell r="CL132">
            <v>0</v>
          </cell>
        </row>
        <row r="133">
          <cell r="I133">
            <v>0</v>
          </cell>
          <cell r="Q133">
            <v>0</v>
          </cell>
          <cell r="Y133">
            <v>0</v>
          </cell>
          <cell r="AG133">
            <v>0</v>
          </cell>
          <cell r="AO133">
            <v>0</v>
          </cell>
          <cell r="AW133">
            <v>0</v>
          </cell>
          <cell r="BE133">
            <v>0</v>
          </cell>
          <cell r="BM133">
            <v>0</v>
          </cell>
          <cell r="BU133">
            <v>0</v>
          </cell>
          <cell r="CD133">
            <v>0</v>
          </cell>
          <cell r="CL133">
            <v>0</v>
          </cell>
        </row>
        <row r="134">
          <cell r="I134">
            <v>0</v>
          </cell>
          <cell r="Q134">
            <v>0</v>
          </cell>
          <cell r="Y134">
            <v>0</v>
          </cell>
          <cell r="AG134">
            <v>0</v>
          </cell>
          <cell r="AO134">
            <v>0</v>
          </cell>
          <cell r="AW134">
            <v>0</v>
          </cell>
          <cell r="BE134">
            <v>0</v>
          </cell>
          <cell r="BM134">
            <v>0</v>
          </cell>
          <cell r="BU134">
            <v>0</v>
          </cell>
          <cell r="CD134">
            <v>0</v>
          </cell>
          <cell r="CL134">
            <v>0</v>
          </cell>
        </row>
        <row r="135">
          <cell r="I135">
            <v>275.52999999999997</v>
          </cell>
          <cell r="Q135">
            <v>0</v>
          </cell>
          <cell r="Y135">
            <v>0</v>
          </cell>
          <cell r="AG135">
            <v>0</v>
          </cell>
          <cell r="AO135">
            <v>0</v>
          </cell>
          <cell r="AW135">
            <v>0</v>
          </cell>
          <cell r="BE135">
            <v>0</v>
          </cell>
          <cell r="BM135">
            <v>0</v>
          </cell>
          <cell r="BU135">
            <v>0</v>
          </cell>
          <cell r="CD135">
            <v>0</v>
          </cell>
          <cell r="CL135">
            <v>0</v>
          </cell>
        </row>
        <row r="136">
          <cell r="I136">
            <v>468.47000000000014</v>
          </cell>
          <cell r="Q136">
            <v>0</v>
          </cell>
          <cell r="Y136">
            <v>0</v>
          </cell>
          <cell r="AG136">
            <v>0</v>
          </cell>
          <cell r="AO136">
            <v>0</v>
          </cell>
          <cell r="AW136">
            <v>0</v>
          </cell>
          <cell r="BE136">
            <v>0</v>
          </cell>
          <cell r="BM136">
            <v>0</v>
          </cell>
          <cell r="BU136">
            <v>0</v>
          </cell>
          <cell r="CD136">
            <v>86</v>
          </cell>
          <cell r="CL136">
            <v>0</v>
          </cell>
        </row>
        <row r="137">
          <cell r="I137">
            <v>0.14936027623058756</v>
          </cell>
          <cell r="Q137">
            <v>0</v>
          </cell>
          <cell r="Y137">
            <v>0</v>
          </cell>
          <cell r="AG137">
            <v>0</v>
          </cell>
          <cell r="AO137">
            <v>0</v>
          </cell>
          <cell r="AW137">
            <v>0</v>
          </cell>
          <cell r="BE137">
            <v>0</v>
          </cell>
          <cell r="BM137">
            <v>0</v>
          </cell>
          <cell r="BU137">
            <v>0</v>
          </cell>
          <cell r="CD137">
            <v>0</v>
          </cell>
          <cell r="CL137">
            <v>0</v>
          </cell>
        </row>
      </sheetData>
      <sheetData sheetId="9" refreshError="1">
        <row r="4">
          <cell r="A4" t="str">
            <v>AR$ '000</v>
          </cell>
        </row>
        <row r="5">
          <cell r="A5">
            <v>2</v>
          </cell>
        </row>
        <row r="6">
          <cell r="AL6">
            <v>475.20000000000005</v>
          </cell>
          <cell r="AM6">
            <v>381</v>
          </cell>
          <cell r="AN6">
            <v>-94.200000000000045</v>
          </cell>
        </row>
        <row r="7">
          <cell r="A7" t="str">
            <v>Año: 2005</v>
          </cell>
        </row>
        <row r="8">
          <cell r="A8" t="str">
            <v>Total</v>
          </cell>
        </row>
        <row r="9">
          <cell r="A9" t="str">
            <v>$ '000</v>
          </cell>
          <cell r="B9" t="str">
            <v>Enero</v>
          </cell>
          <cell r="N9" t="str">
            <v>Febrero</v>
          </cell>
          <cell r="Z9" t="str">
            <v>Marzo</v>
          </cell>
          <cell r="AL9" t="str">
            <v>Abril</v>
          </cell>
          <cell r="AX9" t="str">
            <v>Mayo</v>
          </cell>
          <cell r="BJ9" t="str">
            <v>Junio</v>
          </cell>
        </row>
        <row r="10">
          <cell r="A10" t="str">
            <v>Descripción</v>
          </cell>
          <cell r="B10" t="str">
            <v>Materiales</v>
          </cell>
          <cell r="C10" t="str">
            <v>Córdoba</v>
          </cell>
          <cell r="D10" t="str">
            <v>Madero</v>
          </cell>
          <cell r="E10" t="str">
            <v>Vehículos</v>
          </cell>
          <cell r="F10" t="str">
            <v>Repuestos</v>
          </cell>
          <cell r="G10" t="str">
            <v>Aduana</v>
          </cell>
          <cell r="H10" t="str">
            <v>Rosario</v>
          </cell>
          <cell r="I10" t="str">
            <v>Pacheco</v>
          </cell>
          <cell r="J10" t="str">
            <v>Garín</v>
          </cell>
          <cell r="K10" t="str">
            <v>Transporte</v>
          </cell>
          <cell r="L10" t="str">
            <v>Un. De Servicios</v>
          </cell>
          <cell r="M10" t="str">
            <v>Total Enero</v>
          </cell>
          <cell r="N10" t="str">
            <v>Materiales</v>
          </cell>
          <cell r="O10" t="str">
            <v>Córdoba</v>
          </cell>
          <cell r="P10" t="str">
            <v>Madero</v>
          </cell>
          <cell r="Q10" t="str">
            <v>Vehículos</v>
          </cell>
          <cell r="R10" t="str">
            <v>Repuestos</v>
          </cell>
          <cell r="S10" t="str">
            <v>Aduana</v>
          </cell>
          <cell r="T10" t="str">
            <v>Rosario</v>
          </cell>
          <cell r="U10" t="str">
            <v>Pacheco</v>
          </cell>
          <cell r="V10" t="str">
            <v>Garín</v>
          </cell>
          <cell r="W10" t="str">
            <v>Transporte</v>
          </cell>
          <cell r="X10" t="str">
            <v>Un. De Servicios</v>
          </cell>
          <cell r="Y10" t="str">
            <v>Total Febrero</v>
          </cell>
          <cell r="Z10" t="str">
            <v>Materiales</v>
          </cell>
          <cell r="AA10" t="str">
            <v>Córdoba</v>
          </cell>
          <cell r="AB10" t="str">
            <v>Madero</v>
          </cell>
          <cell r="AC10" t="str">
            <v>Vehículos</v>
          </cell>
          <cell r="AD10" t="str">
            <v>Repuestos</v>
          </cell>
          <cell r="AE10" t="str">
            <v>Aduana</v>
          </cell>
          <cell r="AF10" t="str">
            <v>Rosario</v>
          </cell>
          <cell r="AG10" t="str">
            <v>Pacheco</v>
          </cell>
          <cell r="AH10" t="str">
            <v>Garín</v>
          </cell>
          <cell r="AI10" t="str">
            <v>Transporte</v>
          </cell>
          <cell r="AJ10" t="str">
            <v>Un. De Servicios</v>
          </cell>
          <cell r="AK10" t="str">
            <v>Total Marzo</v>
          </cell>
          <cell r="AL10" t="str">
            <v>Materiales</v>
          </cell>
          <cell r="AM10" t="str">
            <v>Córdoba</v>
          </cell>
          <cell r="AN10" t="str">
            <v>Madero</v>
          </cell>
          <cell r="AO10" t="str">
            <v>Vehículos</v>
          </cell>
          <cell r="AP10" t="str">
            <v>Repuestos</v>
          </cell>
          <cell r="AQ10" t="str">
            <v>Aduana</v>
          </cell>
          <cell r="AR10" t="str">
            <v>Rosario</v>
          </cell>
          <cell r="AS10" t="str">
            <v>Pacheco</v>
          </cell>
          <cell r="AT10" t="str">
            <v>Garín</v>
          </cell>
          <cell r="AU10" t="str">
            <v>Transporte</v>
          </cell>
          <cell r="AV10" t="str">
            <v>Un. De Servicios</v>
          </cell>
          <cell r="AW10" t="str">
            <v>Total Abril</v>
          </cell>
          <cell r="AX10" t="str">
            <v>Materiales</v>
          </cell>
          <cell r="AY10" t="str">
            <v>Córdoba</v>
          </cell>
          <cell r="AZ10" t="str">
            <v>Madero</v>
          </cell>
          <cell r="BA10" t="str">
            <v>Vehículos</v>
          </cell>
          <cell r="BB10" t="str">
            <v>Repuestos</v>
          </cell>
          <cell r="BC10" t="str">
            <v>Aduana</v>
          </cell>
          <cell r="BD10" t="str">
            <v>Rosario</v>
          </cell>
          <cell r="BE10" t="str">
            <v>Pacheco</v>
          </cell>
          <cell r="BF10" t="str">
            <v>Garín</v>
          </cell>
          <cell r="BG10" t="str">
            <v>Transporte</v>
          </cell>
          <cell r="BH10" t="str">
            <v>Un. De Servicios</v>
          </cell>
          <cell r="BI10" t="str">
            <v>Total Mayo</v>
          </cell>
          <cell r="BJ10" t="str">
            <v>Materiales</v>
          </cell>
          <cell r="BK10" t="str">
            <v>Córdoba</v>
          </cell>
          <cell r="BL10" t="str">
            <v>Madero</v>
          </cell>
          <cell r="BM10" t="str">
            <v>Vehículos</v>
          </cell>
          <cell r="BN10" t="str">
            <v>Repuestos</v>
          </cell>
          <cell r="BO10" t="str">
            <v>Aduana</v>
          </cell>
          <cell r="BP10" t="str">
            <v>Rosario</v>
          </cell>
          <cell r="BQ10" t="str">
            <v>Pacheco</v>
          </cell>
          <cell r="BR10" t="str">
            <v>Garín</v>
          </cell>
          <cell r="BS10" t="str">
            <v>Transporte</v>
          </cell>
          <cell r="BT10" t="str">
            <v>Un. De Servicios</v>
          </cell>
          <cell r="BU10" t="str">
            <v>Total Junio</v>
          </cell>
        </row>
        <row r="12">
          <cell r="A12" t="str">
            <v>Ventes Hors Groupe PSA</v>
          </cell>
          <cell r="B12">
            <v>256.77</v>
          </cell>
          <cell r="C12">
            <v>435.71000000000004</v>
          </cell>
          <cell r="D12">
            <v>961.87</v>
          </cell>
          <cell r="E12">
            <v>111.07</v>
          </cell>
          <cell r="F12">
            <v>0</v>
          </cell>
          <cell r="G12">
            <v>0</v>
          </cell>
          <cell r="H12">
            <v>283.21000000000004</v>
          </cell>
          <cell r="I12">
            <v>300.82</v>
          </cell>
          <cell r="J12">
            <v>68.900000000000006</v>
          </cell>
          <cell r="K12">
            <v>4.3499999999999996</v>
          </cell>
          <cell r="L12">
            <v>0</v>
          </cell>
          <cell r="M12">
            <v>2422.7000000000003</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row>
        <row r="13">
          <cell r="A13" t="str">
            <v>Ventes Horas Groupe KN</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row>
        <row r="14">
          <cell r="A14" t="str">
            <v>Ventes Groupe Gefco</v>
          </cell>
          <cell r="B14">
            <v>0.87</v>
          </cell>
          <cell r="C14">
            <v>-0.52</v>
          </cell>
          <cell r="D14">
            <v>14.78</v>
          </cell>
          <cell r="E14">
            <v>21.68</v>
          </cell>
          <cell r="F14">
            <v>0</v>
          </cell>
          <cell r="G14">
            <v>0</v>
          </cell>
          <cell r="H14">
            <v>0</v>
          </cell>
          <cell r="I14">
            <v>0</v>
          </cell>
          <cell r="J14">
            <v>0</v>
          </cell>
          <cell r="K14">
            <v>0</v>
          </cell>
          <cell r="L14">
            <v>0</v>
          </cell>
          <cell r="M14">
            <v>36.81</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row>
        <row r="15">
          <cell r="A15" t="str">
            <v>Ventes Groupe PSA Consolidé</v>
          </cell>
          <cell r="B15">
            <v>2532.5100000000002</v>
          </cell>
          <cell r="C15">
            <v>0</v>
          </cell>
          <cell r="D15">
            <v>209.87</v>
          </cell>
          <cell r="E15">
            <v>3753.0299999999997</v>
          </cell>
          <cell r="F15">
            <v>224.02</v>
          </cell>
          <cell r="G15">
            <v>550.1</v>
          </cell>
          <cell r="H15">
            <v>0</v>
          </cell>
          <cell r="I15">
            <v>0</v>
          </cell>
          <cell r="J15">
            <v>0</v>
          </cell>
          <cell r="K15">
            <v>0</v>
          </cell>
          <cell r="L15">
            <v>0</v>
          </cell>
          <cell r="M15">
            <v>7269.5300000000007</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row>
        <row r="16">
          <cell r="A16" t="str">
            <v>Total Ventes Externes</v>
          </cell>
          <cell r="B16">
            <v>2790.15</v>
          </cell>
          <cell r="C16">
            <v>435.19000000000005</v>
          </cell>
          <cell r="D16">
            <v>1186.52</v>
          </cell>
          <cell r="E16">
            <v>3885.7799999999997</v>
          </cell>
          <cell r="F16">
            <v>224.02</v>
          </cell>
          <cell r="G16">
            <v>550.1</v>
          </cell>
          <cell r="H16">
            <v>283.21000000000004</v>
          </cell>
          <cell r="I16">
            <v>300.82</v>
          </cell>
          <cell r="J16">
            <v>68.900000000000006</v>
          </cell>
          <cell r="K16">
            <v>4.3499999999999996</v>
          </cell>
          <cell r="L16">
            <v>0</v>
          </cell>
          <cell r="M16">
            <v>9729.0400000000009</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row>
        <row r="17">
          <cell r="A17" t="str">
            <v>Ventes Inter-Centres</v>
          </cell>
          <cell r="B17">
            <v>0</v>
          </cell>
          <cell r="C17">
            <v>0</v>
          </cell>
          <cell r="D17">
            <v>0</v>
          </cell>
          <cell r="E17">
            <v>46.13</v>
          </cell>
          <cell r="F17">
            <v>0</v>
          </cell>
          <cell r="G17">
            <v>0</v>
          </cell>
          <cell r="H17">
            <v>0</v>
          </cell>
          <cell r="I17">
            <v>6.14</v>
          </cell>
          <cell r="J17">
            <v>0</v>
          </cell>
          <cell r="K17">
            <v>334.91</v>
          </cell>
          <cell r="L17">
            <v>0</v>
          </cell>
          <cell r="M17">
            <v>387.18</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row>
        <row r="18">
          <cell r="A18" t="str">
            <v>Ventes Inter-Activités</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row>
        <row r="19">
          <cell r="A19" t="str">
            <v>Ventes Internes Autres</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row>
        <row r="20">
          <cell r="A20" t="str">
            <v>Total Ventes Internes</v>
          </cell>
          <cell r="B20">
            <v>0</v>
          </cell>
          <cell r="C20">
            <v>0</v>
          </cell>
          <cell r="D20">
            <v>0</v>
          </cell>
          <cell r="E20">
            <v>46.13</v>
          </cell>
          <cell r="F20">
            <v>0</v>
          </cell>
          <cell r="G20">
            <v>0</v>
          </cell>
          <cell r="H20">
            <v>0</v>
          </cell>
          <cell r="I20">
            <v>6.14</v>
          </cell>
          <cell r="J20">
            <v>0</v>
          </cell>
          <cell r="K20">
            <v>334.91</v>
          </cell>
          <cell r="L20">
            <v>0</v>
          </cell>
          <cell r="M20">
            <v>387.18</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row>
        <row r="21">
          <cell r="A21" t="str">
            <v>Total Ventes</v>
          </cell>
          <cell r="B21">
            <v>2790.15</v>
          </cell>
          <cell r="C21">
            <v>435.19000000000005</v>
          </cell>
          <cell r="D21">
            <v>1186.52</v>
          </cell>
          <cell r="E21">
            <v>3931.91</v>
          </cell>
          <cell r="F21">
            <v>224.02</v>
          </cell>
          <cell r="G21">
            <v>550.1</v>
          </cell>
          <cell r="H21">
            <v>283.21000000000004</v>
          </cell>
          <cell r="I21">
            <v>306.95999999999998</v>
          </cell>
          <cell r="J21">
            <v>68.900000000000006</v>
          </cell>
          <cell r="K21">
            <v>339.26000000000005</v>
          </cell>
          <cell r="L21">
            <v>0</v>
          </cell>
          <cell r="M21">
            <v>10116.220000000001</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row>
        <row r="22">
          <cell r="A22" t="str">
            <v>Achats Routes</v>
          </cell>
          <cell r="B22">
            <v>1250.54</v>
          </cell>
          <cell r="C22">
            <v>40.4</v>
          </cell>
          <cell r="D22">
            <v>-311.21000000000004</v>
          </cell>
          <cell r="E22">
            <v>1013.4899999999999</v>
          </cell>
          <cell r="F22">
            <v>71.42</v>
          </cell>
          <cell r="G22">
            <v>6.97</v>
          </cell>
          <cell r="H22">
            <v>-153.79000000000002</v>
          </cell>
          <cell r="I22">
            <v>160.99</v>
          </cell>
          <cell r="J22">
            <v>10.56</v>
          </cell>
          <cell r="K22">
            <v>242.14</v>
          </cell>
          <cell r="L22">
            <v>0</v>
          </cell>
          <cell r="M22">
            <v>2331.5099999999993</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row>
        <row r="23">
          <cell r="A23" t="str">
            <v>Achats Fer</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row>
        <row r="24">
          <cell r="A24" t="str">
            <v>Achats Mer</v>
          </cell>
          <cell r="B24">
            <v>0</v>
          </cell>
          <cell r="C24">
            <v>286.27</v>
          </cell>
          <cell r="D24">
            <v>823.01</v>
          </cell>
          <cell r="E24">
            <v>1679.68</v>
          </cell>
          <cell r="F24">
            <v>0</v>
          </cell>
          <cell r="G24">
            <v>0.6</v>
          </cell>
          <cell r="H24">
            <v>361.67</v>
          </cell>
          <cell r="I24">
            <v>0.34</v>
          </cell>
          <cell r="J24">
            <v>0</v>
          </cell>
          <cell r="K24">
            <v>0</v>
          </cell>
          <cell r="L24">
            <v>0</v>
          </cell>
          <cell r="M24">
            <v>3151.57</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row>
        <row r="25">
          <cell r="A25" t="str">
            <v>Achats Aériens</v>
          </cell>
          <cell r="B25">
            <v>0</v>
          </cell>
          <cell r="C25">
            <v>29.939999999999998</v>
          </cell>
          <cell r="D25">
            <v>416.78000000000003</v>
          </cell>
          <cell r="E25">
            <v>0</v>
          </cell>
          <cell r="F25">
            <v>0</v>
          </cell>
          <cell r="G25">
            <v>1.4</v>
          </cell>
          <cell r="H25">
            <v>1.07</v>
          </cell>
          <cell r="I25">
            <v>-0.35</v>
          </cell>
          <cell r="J25">
            <v>0</v>
          </cell>
          <cell r="K25">
            <v>0</v>
          </cell>
          <cell r="L25">
            <v>0</v>
          </cell>
          <cell r="M25">
            <v>448.84</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row>
        <row r="26">
          <cell r="A26" t="str">
            <v>Achats Fluviaux</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row>
        <row r="27">
          <cell r="A27" t="str">
            <v>Achats Autres</v>
          </cell>
          <cell r="B27">
            <v>702.42000000000007</v>
          </cell>
          <cell r="C27">
            <v>5.6400000000000006</v>
          </cell>
          <cell r="D27">
            <v>0.15000000000000002</v>
          </cell>
          <cell r="E27">
            <v>197.39000000000001</v>
          </cell>
          <cell r="F27">
            <v>0</v>
          </cell>
          <cell r="G27">
            <v>236.38</v>
          </cell>
          <cell r="H27">
            <v>22.01</v>
          </cell>
          <cell r="I27">
            <v>-6.46</v>
          </cell>
          <cell r="J27">
            <v>0</v>
          </cell>
          <cell r="K27">
            <v>210.37</v>
          </cell>
          <cell r="L27">
            <v>0</v>
          </cell>
          <cell r="M27">
            <v>1367.9</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row>
        <row r="28">
          <cell r="A28" t="str">
            <v>Total Achats Externes</v>
          </cell>
          <cell r="B28">
            <v>1952.96</v>
          </cell>
          <cell r="C28">
            <v>362.24999999999994</v>
          </cell>
          <cell r="D28">
            <v>928.7299999999999</v>
          </cell>
          <cell r="E28">
            <v>2890.56</v>
          </cell>
          <cell r="F28">
            <v>71.42</v>
          </cell>
          <cell r="G28">
            <v>245.35</v>
          </cell>
          <cell r="H28">
            <v>230.95999999999998</v>
          </cell>
          <cell r="I28">
            <v>154.52000000000001</v>
          </cell>
          <cell r="J28">
            <v>10.56</v>
          </cell>
          <cell r="K28">
            <v>452.51</v>
          </cell>
          <cell r="L28">
            <v>0</v>
          </cell>
          <cell r="M28">
            <v>7299.82</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row>
        <row r="29">
          <cell r="A29" t="str">
            <v>Total Achats Inter-Centres</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row>
        <row r="30">
          <cell r="A30" t="str">
            <v>Achats Inter-Activités</v>
          </cell>
          <cell r="B30">
            <v>269.83</v>
          </cell>
          <cell r="C30">
            <v>19</v>
          </cell>
          <cell r="D30">
            <v>0.64</v>
          </cell>
          <cell r="E30">
            <v>46.13</v>
          </cell>
          <cell r="F30">
            <v>0</v>
          </cell>
          <cell r="G30">
            <v>0</v>
          </cell>
          <cell r="H30">
            <v>22</v>
          </cell>
          <cell r="I30">
            <v>25.08</v>
          </cell>
          <cell r="J30">
            <v>0</v>
          </cell>
          <cell r="K30">
            <v>-40.79</v>
          </cell>
          <cell r="L30">
            <v>0</v>
          </cell>
          <cell r="M30">
            <v>341.88999999999993</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row>
        <row r="31">
          <cell r="A31" t="str">
            <v>Achat Internes Autres</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row>
        <row r="32">
          <cell r="A32" t="str">
            <v>Total Achat Internes</v>
          </cell>
          <cell r="B32">
            <v>269.83</v>
          </cell>
          <cell r="C32">
            <v>19</v>
          </cell>
          <cell r="D32">
            <v>0.64</v>
          </cell>
          <cell r="E32">
            <v>46.13</v>
          </cell>
          <cell r="F32">
            <v>0</v>
          </cell>
          <cell r="G32">
            <v>0</v>
          </cell>
          <cell r="H32">
            <v>22</v>
          </cell>
          <cell r="I32">
            <v>25.08</v>
          </cell>
          <cell r="J32">
            <v>0</v>
          </cell>
          <cell r="K32">
            <v>-40.79</v>
          </cell>
          <cell r="L32">
            <v>0</v>
          </cell>
          <cell r="M32">
            <v>341.88999999999993</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row>
        <row r="33">
          <cell r="A33" t="str">
            <v>Achats</v>
          </cell>
          <cell r="B33">
            <v>2222.79</v>
          </cell>
          <cell r="C33">
            <v>381.24999999999994</v>
          </cell>
          <cell r="D33">
            <v>929.36999999999989</v>
          </cell>
          <cell r="E33">
            <v>2936.69</v>
          </cell>
          <cell r="F33">
            <v>71.42</v>
          </cell>
          <cell r="G33">
            <v>245.35</v>
          </cell>
          <cell r="H33">
            <v>252.95999999999998</v>
          </cell>
          <cell r="I33">
            <v>179.60000000000002</v>
          </cell>
          <cell r="J33">
            <v>10.56</v>
          </cell>
          <cell r="K33">
            <v>411.71999999999997</v>
          </cell>
          <cell r="L33">
            <v>0</v>
          </cell>
          <cell r="M33">
            <v>7641.71</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row>
        <row r="34">
          <cell r="A34" t="str">
            <v>Marge Commerciale</v>
          </cell>
          <cell r="B34">
            <v>567.36000000000013</v>
          </cell>
          <cell r="C34">
            <v>53.940000000000111</v>
          </cell>
          <cell r="D34">
            <v>257.15000000000009</v>
          </cell>
          <cell r="E34">
            <v>995.2199999999998</v>
          </cell>
          <cell r="F34">
            <v>152.60000000000002</v>
          </cell>
          <cell r="G34">
            <v>304.75</v>
          </cell>
          <cell r="H34">
            <v>30.250000000000057</v>
          </cell>
          <cell r="I34">
            <v>127.35999999999996</v>
          </cell>
          <cell r="J34">
            <v>58.34</v>
          </cell>
          <cell r="K34">
            <v>-72.459999999999923</v>
          </cell>
          <cell r="L34">
            <v>0</v>
          </cell>
          <cell r="M34">
            <v>2474.5100000000011</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row>
        <row r="35">
          <cell r="A35" t="str">
            <v>% Mg. Com. - $</v>
          </cell>
          <cell r="B35">
            <v>0.20334390624159995</v>
          </cell>
          <cell r="C35">
            <v>0.12394586272662539</v>
          </cell>
          <cell r="D35">
            <v>0.21672622458955609</v>
          </cell>
          <cell r="E35">
            <v>0.25311362671068255</v>
          </cell>
          <cell r="F35">
            <v>0.68118917953754132</v>
          </cell>
          <cell r="G35">
            <v>0.55399018360298125</v>
          </cell>
          <cell r="H35">
            <v>0.10681120016948573</v>
          </cell>
          <cell r="I35">
            <v>0.41490747980192849</v>
          </cell>
          <cell r="J35">
            <v>0.8467343976777939</v>
          </cell>
          <cell r="K35">
            <v>-0.21358250309497115</v>
          </cell>
          <cell r="L35">
            <v>0</v>
          </cell>
          <cell r="M35">
            <v>0.24460816391893422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row>
        <row r="36">
          <cell r="A36" t="str">
            <v>Salaires et charges</v>
          </cell>
          <cell r="B36">
            <v>48.7</v>
          </cell>
          <cell r="C36">
            <v>12.04</v>
          </cell>
          <cell r="D36">
            <v>38.11</v>
          </cell>
          <cell r="E36">
            <v>67.070000000000007</v>
          </cell>
          <cell r="F36">
            <v>60.76</v>
          </cell>
          <cell r="G36">
            <v>58.45</v>
          </cell>
          <cell r="H36">
            <v>6.61</v>
          </cell>
          <cell r="I36">
            <v>28.22</v>
          </cell>
          <cell r="J36">
            <v>18.009999999999998</v>
          </cell>
          <cell r="K36">
            <v>40.58</v>
          </cell>
          <cell r="L36">
            <v>174.04999999999998</v>
          </cell>
          <cell r="M36">
            <v>552.6</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row>
      </sheetData>
      <sheetData sheetId="10" refreshError="1">
        <row r="12">
          <cell r="F12">
            <v>0</v>
          </cell>
          <cell r="K12">
            <v>0</v>
          </cell>
          <cell r="P12">
            <v>0</v>
          </cell>
          <cell r="U12">
            <v>0</v>
          </cell>
          <cell r="Z12">
            <v>0</v>
          </cell>
          <cell r="AE12">
            <v>0</v>
          </cell>
          <cell r="AJ12">
            <v>0</v>
          </cell>
          <cell r="AO12">
            <v>0</v>
          </cell>
          <cell r="AT12">
            <v>0</v>
          </cell>
          <cell r="AY12">
            <v>0</v>
          </cell>
          <cell r="BD12">
            <v>0</v>
          </cell>
          <cell r="BI12">
            <v>0</v>
          </cell>
        </row>
        <row r="13">
          <cell r="F13">
            <v>0</v>
          </cell>
          <cell r="K13">
            <v>0</v>
          </cell>
          <cell r="P13">
            <v>0</v>
          </cell>
          <cell r="U13">
            <v>0</v>
          </cell>
          <cell r="Z13">
            <v>0</v>
          </cell>
          <cell r="AE13">
            <v>0</v>
          </cell>
          <cell r="AJ13">
            <v>0</v>
          </cell>
          <cell r="AO13">
            <v>0</v>
          </cell>
          <cell r="AT13">
            <v>0</v>
          </cell>
          <cell r="AY13">
            <v>0</v>
          </cell>
          <cell r="BD13">
            <v>0</v>
          </cell>
          <cell r="BI13">
            <v>0</v>
          </cell>
        </row>
        <row r="14">
          <cell r="F14">
            <v>0</v>
          </cell>
          <cell r="K14">
            <v>0</v>
          </cell>
          <cell r="P14">
            <v>0</v>
          </cell>
          <cell r="U14">
            <v>0</v>
          </cell>
          <cell r="Z14">
            <v>0</v>
          </cell>
          <cell r="AE14">
            <v>0</v>
          </cell>
          <cell r="AJ14">
            <v>0</v>
          </cell>
          <cell r="AO14">
            <v>0</v>
          </cell>
          <cell r="AT14">
            <v>0</v>
          </cell>
          <cell r="AY14">
            <v>0</v>
          </cell>
          <cell r="BD14">
            <v>0</v>
          </cell>
          <cell r="BI14">
            <v>0</v>
          </cell>
        </row>
        <row r="15">
          <cell r="F15">
            <v>550.1</v>
          </cell>
          <cell r="K15">
            <v>0</v>
          </cell>
          <cell r="P15">
            <v>0</v>
          </cell>
          <cell r="U15">
            <v>0</v>
          </cell>
          <cell r="Z15">
            <v>0</v>
          </cell>
          <cell r="AE15">
            <v>0</v>
          </cell>
          <cell r="AJ15">
            <v>0</v>
          </cell>
          <cell r="AO15">
            <v>0</v>
          </cell>
          <cell r="AT15">
            <v>0</v>
          </cell>
          <cell r="AY15">
            <v>0</v>
          </cell>
          <cell r="BD15">
            <v>0</v>
          </cell>
          <cell r="BI15">
            <v>0</v>
          </cell>
        </row>
        <row r="16">
          <cell r="F16">
            <v>550.1</v>
          </cell>
          <cell r="K16">
            <v>0</v>
          </cell>
          <cell r="P16">
            <v>0</v>
          </cell>
          <cell r="U16">
            <v>0</v>
          </cell>
          <cell r="Z16">
            <v>0</v>
          </cell>
          <cell r="AE16">
            <v>0</v>
          </cell>
          <cell r="AJ16">
            <v>0</v>
          </cell>
          <cell r="AO16">
            <v>0</v>
          </cell>
          <cell r="AT16">
            <v>0</v>
          </cell>
          <cell r="AY16">
            <v>0</v>
          </cell>
          <cell r="BD16">
            <v>0</v>
          </cell>
          <cell r="BI16">
            <v>0</v>
          </cell>
        </row>
        <row r="17">
          <cell r="F17">
            <v>0</v>
          </cell>
          <cell r="K17">
            <v>0</v>
          </cell>
          <cell r="P17">
            <v>0</v>
          </cell>
          <cell r="U17">
            <v>0</v>
          </cell>
          <cell r="Z17">
            <v>0</v>
          </cell>
          <cell r="AE17">
            <v>0</v>
          </cell>
          <cell r="AJ17">
            <v>0</v>
          </cell>
          <cell r="AO17">
            <v>0</v>
          </cell>
          <cell r="AT17">
            <v>0</v>
          </cell>
          <cell r="AY17">
            <v>0</v>
          </cell>
          <cell r="BD17">
            <v>0</v>
          </cell>
          <cell r="BI17">
            <v>0</v>
          </cell>
        </row>
        <row r="18">
          <cell r="F18">
            <v>0</v>
          </cell>
          <cell r="K18">
            <v>0</v>
          </cell>
          <cell r="P18">
            <v>0</v>
          </cell>
          <cell r="U18">
            <v>0</v>
          </cell>
          <cell r="Z18">
            <v>0</v>
          </cell>
          <cell r="AE18">
            <v>0</v>
          </cell>
          <cell r="AJ18">
            <v>0</v>
          </cell>
          <cell r="AO18">
            <v>0</v>
          </cell>
          <cell r="AT18">
            <v>0</v>
          </cell>
          <cell r="AY18">
            <v>0</v>
          </cell>
          <cell r="BD18">
            <v>0</v>
          </cell>
          <cell r="BI18">
            <v>0</v>
          </cell>
        </row>
        <row r="19">
          <cell r="F19">
            <v>0</v>
          </cell>
          <cell r="K19">
            <v>0</v>
          </cell>
          <cell r="P19">
            <v>0</v>
          </cell>
          <cell r="U19">
            <v>0</v>
          </cell>
          <cell r="Z19">
            <v>0</v>
          </cell>
          <cell r="AE19">
            <v>0</v>
          </cell>
          <cell r="AJ19">
            <v>0</v>
          </cell>
          <cell r="AO19">
            <v>0</v>
          </cell>
          <cell r="AT19">
            <v>0</v>
          </cell>
          <cell r="AY19">
            <v>0</v>
          </cell>
          <cell r="BD19">
            <v>0</v>
          </cell>
          <cell r="BI19">
            <v>0</v>
          </cell>
        </row>
        <row r="20">
          <cell r="F20">
            <v>0</v>
          </cell>
          <cell r="K20">
            <v>0</v>
          </cell>
          <cell r="P20">
            <v>0</v>
          </cell>
          <cell r="U20">
            <v>0</v>
          </cell>
          <cell r="Z20">
            <v>0</v>
          </cell>
          <cell r="AE20">
            <v>0</v>
          </cell>
          <cell r="AJ20">
            <v>0</v>
          </cell>
          <cell r="AO20">
            <v>0</v>
          </cell>
          <cell r="AT20">
            <v>0</v>
          </cell>
          <cell r="AY20">
            <v>0</v>
          </cell>
          <cell r="BD20">
            <v>0</v>
          </cell>
          <cell r="BI20">
            <v>0</v>
          </cell>
        </row>
        <row r="21">
          <cell r="F21">
            <v>550.1</v>
          </cell>
          <cell r="K21">
            <v>0</v>
          </cell>
          <cell r="P21">
            <v>0</v>
          </cell>
          <cell r="U21">
            <v>0</v>
          </cell>
          <cell r="Z21">
            <v>0</v>
          </cell>
          <cell r="AE21">
            <v>0</v>
          </cell>
          <cell r="AJ21">
            <v>0</v>
          </cell>
          <cell r="AO21">
            <v>0</v>
          </cell>
          <cell r="AT21">
            <v>0</v>
          </cell>
          <cell r="AY21">
            <v>0</v>
          </cell>
          <cell r="BD21">
            <v>0</v>
          </cell>
          <cell r="BI21">
            <v>0</v>
          </cell>
        </row>
        <row r="22">
          <cell r="F22">
            <v>6.97</v>
          </cell>
          <cell r="K22">
            <v>0</v>
          </cell>
          <cell r="P22">
            <v>0</v>
          </cell>
          <cell r="U22">
            <v>0</v>
          </cell>
          <cell r="Z22">
            <v>0</v>
          </cell>
          <cell r="AE22">
            <v>0</v>
          </cell>
          <cell r="AJ22">
            <v>0</v>
          </cell>
          <cell r="AO22">
            <v>0</v>
          </cell>
          <cell r="AT22">
            <v>0</v>
          </cell>
          <cell r="AY22">
            <v>0</v>
          </cell>
          <cell r="BD22">
            <v>0</v>
          </cell>
          <cell r="BI22">
            <v>0</v>
          </cell>
        </row>
        <row r="23">
          <cell r="F23">
            <v>0</v>
          </cell>
          <cell r="K23">
            <v>0</v>
          </cell>
          <cell r="P23">
            <v>0</v>
          </cell>
          <cell r="U23">
            <v>0</v>
          </cell>
          <cell r="Z23">
            <v>0</v>
          </cell>
          <cell r="AE23">
            <v>0</v>
          </cell>
          <cell r="AJ23">
            <v>0</v>
          </cell>
          <cell r="AO23">
            <v>0</v>
          </cell>
          <cell r="AT23">
            <v>0</v>
          </cell>
          <cell r="AY23">
            <v>0</v>
          </cell>
          <cell r="BD23">
            <v>0</v>
          </cell>
          <cell r="BI23">
            <v>0</v>
          </cell>
        </row>
        <row r="24">
          <cell r="F24">
            <v>0.6</v>
          </cell>
          <cell r="K24">
            <v>0</v>
          </cell>
          <cell r="P24">
            <v>0</v>
          </cell>
          <cell r="U24">
            <v>0</v>
          </cell>
          <cell r="Z24">
            <v>0</v>
          </cell>
          <cell r="AE24">
            <v>0</v>
          </cell>
          <cell r="AJ24">
            <v>0</v>
          </cell>
          <cell r="AO24">
            <v>0</v>
          </cell>
          <cell r="AT24">
            <v>0</v>
          </cell>
          <cell r="AY24">
            <v>0</v>
          </cell>
          <cell r="BD24">
            <v>0</v>
          </cell>
          <cell r="BI24">
            <v>0</v>
          </cell>
        </row>
        <row r="25">
          <cell r="F25">
            <v>1.4</v>
          </cell>
          <cell r="K25">
            <v>0</v>
          </cell>
          <cell r="P25">
            <v>0</v>
          </cell>
          <cell r="U25">
            <v>0</v>
          </cell>
          <cell r="Z25">
            <v>0</v>
          </cell>
          <cell r="AE25">
            <v>0</v>
          </cell>
          <cell r="AJ25">
            <v>0</v>
          </cell>
          <cell r="AO25">
            <v>0</v>
          </cell>
          <cell r="AT25">
            <v>0</v>
          </cell>
          <cell r="AY25">
            <v>0</v>
          </cell>
          <cell r="BD25">
            <v>0</v>
          </cell>
          <cell r="BI25">
            <v>0</v>
          </cell>
        </row>
        <row r="26">
          <cell r="F26">
            <v>0</v>
          </cell>
          <cell r="K26">
            <v>0</v>
          </cell>
          <cell r="P26">
            <v>0</v>
          </cell>
          <cell r="U26">
            <v>0</v>
          </cell>
          <cell r="Z26">
            <v>0</v>
          </cell>
          <cell r="AE26">
            <v>0</v>
          </cell>
          <cell r="AJ26">
            <v>0</v>
          </cell>
          <cell r="AO26">
            <v>0</v>
          </cell>
          <cell r="AT26">
            <v>0</v>
          </cell>
          <cell r="AY26">
            <v>0</v>
          </cell>
          <cell r="BD26">
            <v>0</v>
          </cell>
          <cell r="BI26">
            <v>0</v>
          </cell>
        </row>
        <row r="27">
          <cell r="F27">
            <v>236.38</v>
          </cell>
          <cell r="K27">
            <v>0</v>
          </cell>
          <cell r="P27">
            <v>0</v>
          </cell>
          <cell r="U27">
            <v>0</v>
          </cell>
          <cell r="Z27">
            <v>0</v>
          </cell>
          <cell r="AE27">
            <v>0</v>
          </cell>
          <cell r="AJ27">
            <v>0</v>
          </cell>
          <cell r="AO27">
            <v>0</v>
          </cell>
          <cell r="AT27">
            <v>0</v>
          </cell>
          <cell r="AY27">
            <v>0</v>
          </cell>
          <cell r="BD27">
            <v>0</v>
          </cell>
          <cell r="BI27">
            <v>0</v>
          </cell>
        </row>
        <row r="28">
          <cell r="F28">
            <v>245.35</v>
          </cell>
          <cell r="K28">
            <v>0</v>
          </cell>
          <cell r="P28">
            <v>0</v>
          </cell>
          <cell r="U28">
            <v>0</v>
          </cell>
          <cell r="Z28">
            <v>0</v>
          </cell>
          <cell r="AE28">
            <v>0</v>
          </cell>
          <cell r="AJ28">
            <v>0</v>
          </cell>
          <cell r="AO28">
            <v>0</v>
          </cell>
          <cell r="AT28">
            <v>0</v>
          </cell>
          <cell r="AY28">
            <v>0</v>
          </cell>
          <cell r="BD28">
            <v>0</v>
          </cell>
          <cell r="BI28">
            <v>0</v>
          </cell>
        </row>
        <row r="29">
          <cell r="F29">
            <v>0</v>
          </cell>
          <cell r="K29">
            <v>0</v>
          </cell>
          <cell r="P29">
            <v>0</v>
          </cell>
          <cell r="U29">
            <v>0</v>
          </cell>
          <cell r="Z29">
            <v>0</v>
          </cell>
          <cell r="AE29">
            <v>0</v>
          </cell>
          <cell r="AJ29">
            <v>0</v>
          </cell>
          <cell r="AO29">
            <v>0</v>
          </cell>
          <cell r="AT29">
            <v>0</v>
          </cell>
          <cell r="AY29">
            <v>0</v>
          </cell>
          <cell r="BD29">
            <v>0</v>
          </cell>
          <cell r="BI29">
            <v>0</v>
          </cell>
        </row>
        <row r="30">
          <cell r="F30">
            <v>0</v>
          </cell>
          <cell r="K30">
            <v>0</v>
          </cell>
          <cell r="P30">
            <v>0</v>
          </cell>
          <cell r="U30">
            <v>0</v>
          </cell>
          <cell r="Z30">
            <v>0</v>
          </cell>
          <cell r="AE30">
            <v>0</v>
          </cell>
          <cell r="AJ30">
            <v>0</v>
          </cell>
          <cell r="AO30">
            <v>0</v>
          </cell>
          <cell r="AT30">
            <v>0</v>
          </cell>
          <cell r="AY30">
            <v>0</v>
          </cell>
          <cell r="BD30">
            <v>0</v>
          </cell>
          <cell r="BI30">
            <v>0</v>
          </cell>
        </row>
        <row r="31">
          <cell r="F31">
            <v>0</v>
          </cell>
          <cell r="K31">
            <v>0</v>
          </cell>
          <cell r="P31">
            <v>0</v>
          </cell>
          <cell r="U31">
            <v>0</v>
          </cell>
          <cell r="Z31">
            <v>0</v>
          </cell>
          <cell r="AE31">
            <v>0</v>
          </cell>
          <cell r="AJ31">
            <v>0</v>
          </cell>
          <cell r="AO31">
            <v>0</v>
          </cell>
          <cell r="AT31">
            <v>0</v>
          </cell>
          <cell r="AY31">
            <v>0</v>
          </cell>
          <cell r="BD31">
            <v>0</v>
          </cell>
          <cell r="BI31">
            <v>0</v>
          </cell>
        </row>
        <row r="32">
          <cell r="F32">
            <v>0</v>
          </cell>
          <cell r="K32">
            <v>0</v>
          </cell>
          <cell r="P32">
            <v>0</v>
          </cell>
          <cell r="U32">
            <v>0</v>
          </cell>
          <cell r="Z32">
            <v>0</v>
          </cell>
          <cell r="AE32">
            <v>0</v>
          </cell>
          <cell r="AJ32">
            <v>0</v>
          </cell>
          <cell r="AO32">
            <v>0</v>
          </cell>
          <cell r="AT32">
            <v>0</v>
          </cell>
          <cell r="AY32">
            <v>0</v>
          </cell>
          <cell r="BD32">
            <v>0</v>
          </cell>
          <cell r="BI32">
            <v>0</v>
          </cell>
        </row>
        <row r="33">
          <cell r="F33">
            <v>245.35</v>
          </cell>
          <cell r="K33">
            <v>0</v>
          </cell>
          <cell r="P33">
            <v>0</v>
          </cell>
          <cell r="U33">
            <v>0</v>
          </cell>
          <cell r="Z33">
            <v>0</v>
          </cell>
          <cell r="AE33">
            <v>0</v>
          </cell>
          <cell r="AJ33">
            <v>0</v>
          </cell>
          <cell r="AO33">
            <v>0</v>
          </cell>
          <cell r="AT33">
            <v>0</v>
          </cell>
          <cell r="AY33">
            <v>0</v>
          </cell>
          <cell r="BD33">
            <v>0</v>
          </cell>
          <cell r="BI33">
            <v>0</v>
          </cell>
        </row>
        <row r="34">
          <cell r="F34">
            <v>304.75</v>
          </cell>
          <cell r="K34">
            <v>0</v>
          </cell>
          <cell r="P34">
            <v>0</v>
          </cell>
          <cell r="U34">
            <v>0</v>
          </cell>
          <cell r="Z34">
            <v>0</v>
          </cell>
          <cell r="AE34">
            <v>0</v>
          </cell>
          <cell r="AJ34">
            <v>0</v>
          </cell>
          <cell r="AO34">
            <v>0</v>
          </cell>
          <cell r="AT34">
            <v>0</v>
          </cell>
          <cell r="AY34">
            <v>0</v>
          </cell>
          <cell r="BD34">
            <v>0</v>
          </cell>
          <cell r="BI34">
            <v>0</v>
          </cell>
        </row>
        <row r="35">
          <cell r="F35">
            <v>0.55399018360298125</v>
          </cell>
          <cell r="K35">
            <v>0</v>
          </cell>
          <cell r="P35">
            <v>0</v>
          </cell>
          <cell r="U35">
            <v>0</v>
          </cell>
          <cell r="Z35">
            <v>0</v>
          </cell>
          <cell r="AE35">
            <v>0</v>
          </cell>
          <cell r="AJ35">
            <v>0</v>
          </cell>
          <cell r="AO35">
            <v>0</v>
          </cell>
          <cell r="AT35">
            <v>0</v>
          </cell>
          <cell r="AY35">
            <v>0</v>
          </cell>
          <cell r="BD35">
            <v>0</v>
          </cell>
          <cell r="BI35">
            <v>0</v>
          </cell>
        </row>
        <row r="36">
          <cell r="F36">
            <v>58.45</v>
          </cell>
          <cell r="K36">
            <v>0</v>
          </cell>
          <cell r="P36">
            <v>0</v>
          </cell>
          <cell r="U36">
            <v>0</v>
          </cell>
          <cell r="Z36">
            <v>0</v>
          </cell>
          <cell r="AE36">
            <v>0</v>
          </cell>
          <cell r="AJ36">
            <v>0</v>
          </cell>
          <cell r="AO36">
            <v>0</v>
          </cell>
          <cell r="AT36">
            <v>0</v>
          </cell>
          <cell r="AY36">
            <v>0</v>
          </cell>
          <cell r="BD36">
            <v>0</v>
          </cell>
          <cell r="BI36">
            <v>0</v>
          </cell>
        </row>
        <row r="37">
          <cell r="F37">
            <v>0</v>
          </cell>
          <cell r="K37">
            <v>0</v>
          </cell>
          <cell r="P37">
            <v>0</v>
          </cell>
          <cell r="U37">
            <v>0</v>
          </cell>
          <cell r="Z37">
            <v>0</v>
          </cell>
          <cell r="AE37">
            <v>0</v>
          </cell>
          <cell r="AJ37">
            <v>0</v>
          </cell>
          <cell r="AO37">
            <v>0</v>
          </cell>
          <cell r="AT37">
            <v>0</v>
          </cell>
          <cell r="AY37">
            <v>0</v>
          </cell>
          <cell r="BD37">
            <v>0</v>
          </cell>
          <cell r="BI37">
            <v>0</v>
          </cell>
        </row>
        <row r="38">
          <cell r="F38">
            <v>3.32</v>
          </cell>
          <cell r="K38">
            <v>0</v>
          </cell>
          <cell r="P38">
            <v>0</v>
          </cell>
          <cell r="U38">
            <v>0</v>
          </cell>
          <cell r="Z38">
            <v>0</v>
          </cell>
          <cell r="AE38">
            <v>0</v>
          </cell>
          <cell r="AJ38">
            <v>0</v>
          </cell>
          <cell r="AO38">
            <v>0</v>
          </cell>
          <cell r="AT38">
            <v>0</v>
          </cell>
          <cell r="AY38">
            <v>0</v>
          </cell>
          <cell r="BD38">
            <v>0</v>
          </cell>
          <cell r="BI38">
            <v>0</v>
          </cell>
        </row>
        <row r="39">
          <cell r="F39">
            <v>0.31</v>
          </cell>
          <cell r="K39">
            <v>0</v>
          </cell>
          <cell r="P39">
            <v>0</v>
          </cell>
          <cell r="U39">
            <v>0</v>
          </cell>
          <cell r="Z39">
            <v>0</v>
          </cell>
          <cell r="AE39">
            <v>0</v>
          </cell>
          <cell r="AJ39">
            <v>0</v>
          </cell>
          <cell r="AO39">
            <v>0</v>
          </cell>
          <cell r="AT39">
            <v>0</v>
          </cell>
          <cell r="AY39">
            <v>0</v>
          </cell>
          <cell r="BD39">
            <v>0</v>
          </cell>
          <cell r="BI39">
            <v>0</v>
          </cell>
        </row>
        <row r="40">
          <cell r="F40">
            <v>15.66</v>
          </cell>
          <cell r="K40">
            <v>0</v>
          </cell>
          <cell r="P40">
            <v>0</v>
          </cell>
          <cell r="U40">
            <v>0</v>
          </cell>
          <cell r="Z40">
            <v>0</v>
          </cell>
          <cell r="AE40">
            <v>0</v>
          </cell>
          <cell r="AJ40">
            <v>0</v>
          </cell>
          <cell r="AO40">
            <v>0</v>
          </cell>
          <cell r="AT40">
            <v>0</v>
          </cell>
          <cell r="AY40">
            <v>0</v>
          </cell>
          <cell r="BD40">
            <v>0</v>
          </cell>
          <cell r="BI40">
            <v>0</v>
          </cell>
        </row>
        <row r="41">
          <cell r="F41">
            <v>0</v>
          </cell>
          <cell r="K41">
            <v>0</v>
          </cell>
          <cell r="P41">
            <v>0</v>
          </cell>
          <cell r="U41">
            <v>0</v>
          </cell>
          <cell r="Z41">
            <v>0</v>
          </cell>
          <cell r="AE41">
            <v>0</v>
          </cell>
          <cell r="AJ41">
            <v>0</v>
          </cell>
          <cell r="AO41">
            <v>0</v>
          </cell>
          <cell r="AT41">
            <v>0</v>
          </cell>
          <cell r="AY41">
            <v>0</v>
          </cell>
          <cell r="BD41">
            <v>0</v>
          </cell>
          <cell r="BI41">
            <v>0</v>
          </cell>
        </row>
        <row r="42">
          <cell r="F42">
            <v>7.0000000000000007E-2</v>
          </cell>
          <cell r="K42">
            <v>0</v>
          </cell>
          <cell r="P42">
            <v>0</v>
          </cell>
          <cell r="U42">
            <v>0</v>
          </cell>
          <cell r="Z42">
            <v>0</v>
          </cell>
          <cell r="AE42">
            <v>0</v>
          </cell>
          <cell r="AJ42">
            <v>0</v>
          </cell>
          <cell r="AO42">
            <v>0</v>
          </cell>
          <cell r="AT42">
            <v>0</v>
          </cell>
          <cell r="AY42">
            <v>0</v>
          </cell>
          <cell r="BD42">
            <v>0</v>
          </cell>
          <cell r="BI42">
            <v>0</v>
          </cell>
        </row>
        <row r="43">
          <cell r="F43">
            <v>0</v>
          </cell>
          <cell r="K43">
            <v>0</v>
          </cell>
          <cell r="P43">
            <v>0</v>
          </cell>
          <cell r="U43">
            <v>0</v>
          </cell>
          <cell r="Z43">
            <v>0</v>
          </cell>
          <cell r="AE43">
            <v>0</v>
          </cell>
          <cell r="AJ43">
            <v>0</v>
          </cell>
          <cell r="AO43">
            <v>0</v>
          </cell>
          <cell r="AT43">
            <v>0</v>
          </cell>
          <cell r="AY43">
            <v>0</v>
          </cell>
          <cell r="BD43">
            <v>0</v>
          </cell>
          <cell r="BI43">
            <v>0</v>
          </cell>
        </row>
        <row r="44">
          <cell r="F44">
            <v>0.87</v>
          </cell>
          <cell r="K44">
            <v>0</v>
          </cell>
          <cell r="P44">
            <v>0</v>
          </cell>
          <cell r="U44">
            <v>0</v>
          </cell>
          <cell r="Z44">
            <v>0</v>
          </cell>
          <cell r="AE44">
            <v>0</v>
          </cell>
          <cell r="AJ44">
            <v>0</v>
          </cell>
          <cell r="AO44">
            <v>0</v>
          </cell>
          <cell r="AT44">
            <v>0</v>
          </cell>
          <cell r="AY44">
            <v>0</v>
          </cell>
          <cell r="BD44">
            <v>0</v>
          </cell>
          <cell r="BI44">
            <v>0</v>
          </cell>
        </row>
        <row r="45">
          <cell r="F45">
            <v>0</v>
          </cell>
          <cell r="K45">
            <v>0</v>
          </cell>
          <cell r="P45">
            <v>0</v>
          </cell>
          <cell r="U45">
            <v>0</v>
          </cell>
          <cell r="Z45">
            <v>0</v>
          </cell>
          <cell r="AE45">
            <v>0</v>
          </cell>
          <cell r="AJ45">
            <v>0</v>
          </cell>
          <cell r="AO45">
            <v>0</v>
          </cell>
          <cell r="AT45">
            <v>0</v>
          </cell>
          <cell r="AY45">
            <v>0</v>
          </cell>
          <cell r="BD45">
            <v>0</v>
          </cell>
          <cell r="BI45">
            <v>0</v>
          </cell>
        </row>
        <row r="46">
          <cell r="F46">
            <v>0</v>
          </cell>
          <cell r="K46">
            <v>0</v>
          </cell>
          <cell r="P46">
            <v>0</v>
          </cell>
          <cell r="U46">
            <v>0</v>
          </cell>
          <cell r="Z46">
            <v>0</v>
          </cell>
          <cell r="AE46">
            <v>0</v>
          </cell>
          <cell r="AJ46">
            <v>0</v>
          </cell>
          <cell r="AO46">
            <v>0</v>
          </cell>
          <cell r="AT46">
            <v>0</v>
          </cell>
          <cell r="AY46">
            <v>0</v>
          </cell>
          <cell r="BD46">
            <v>0</v>
          </cell>
          <cell r="BI46">
            <v>0</v>
          </cell>
        </row>
        <row r="47">
          <cell r="F47">
            <v>0</v>
          </cell>
          <cell r="K47">
            <v>0</v>
          </cell>
          <cell r="P47">
            <v>0</v>
          </cell>
          <cell r="U47">
            <v>0</v>
          </cell>
          <cell r="Z47">
            <v>0</v>
          </cell>
          <cell r="AE47">
            <v>0</v>
          </cell>
          <cell r="AJ47">
            <v>0</v>
          </cell>
          <cell r="AO47">
            <v>0</v>
          </cell>
          <cell r="AT47">
            <v>0</v>
          </cell>
          <cell r="AY47">
            <v>0</v>
          </cell>
          <cell r="BD47">
            <v>0</v>
          </cell>
          <cell r="BI47">
            <v>0</v>
          </cell>
        </row>
        <row r="48">
          <cell r="F48">
            <v>0</v>
          </cell>
          <cell r="K48">
            <v>0</v>
          </cell>
          <cell r="P48">
            <v>0</v>
          </cell>
          <cell r="U48">
            <v>0</v>
          </cell>
          <cell r="Z48">
            <v>0</v>
          </cell>
          <cell r="AE48">
            <v>0</v>
          </cell>
          <cell r="AJ48">
            <v>0</v>
          </cell>
          <cell r="AO48">
            <v>0</v>
          </cell>
          <cell r="AT48">
            <v>0</v>
          </cell>
          <cell r="AY48">
            <v>0</v>
          </cell>
          <cell r="BD48">
            <v>0</v>
          </cell>
          <cell r="BI48">
            <v>0</v>
          </cell>
        </row>
        <row r="49">
          <cell r="F49">
            <v>0</v>
          </cell>
          <cell r="K49">
            <v>0</v>
          </cell>
          <cell r="P49">
            <v>0</v>
          </cell>
          <cell r="U49">
            <v>0</v>
          </cell>
          <cell r="Z49">
            <v>0</v>
          </cell>
          <cell r="AE49">
            <v>0</v>
          </cell>
          <cell r="AJ49">
            <v>0</v>
          </cell>
          <cell r="AO49">
            <v>0</v>
          </cell>
          <cell r="AT49">
            <v>0</v>
          </cell>
          <cell r="AY49">
            <v>0</v>
          </cell>
          <cell r="BD49">
            <v>0</v>
          </cell>
          <cell r="BI49">
            <v>0</v>
          </cell>
        </row>
        <row r="50">
          <cell r="F50">
            <v>78.680000000000007</v>
          </cell>
          <cell r="K50">
            <v>0</v>
          </cell>
          <cell r="P50">
            <v>0</v>
          </cell>
          <cell r="U50">
            <v>0</v>
          </cell>
          <cell r="Z50">
            <v>0</v>
          </cell>
          <cell r="AE50">
            <v>0</v>
          </cell>
          <cell r="AJ50">
            <v>0</v>
          </cell>
          <cell r="AO50">
            <v>0</v>
          </cell>
          <cell r="AT50">
            <v>0</v>
          </cell>
          <cell r="AY50">
            <v>0</v>
          </cell>
          <cell r="BD50">
            <v>0</v>
          </cell>
          <cell r="BI50">
            <v>0</v>
          </cell>
        </row>
        <row r="51">
          <cell r="F51">
            <v>0</v>
          </cell>
          <cell r="K51">
            <v>0</v>
          </cell>
          <cell r="P51">
            <v>0</v>
          </cell>
          <cell r="U51">
            <v>0</v>
          </cell>
          <cell r="Z51">
            <v>0</v>
          </cell>
          <cell r="AE51">
            <v>0</v>
          </cell>
          <cell r="AJ51">
            <v>0</v>
          </cell>
          <cell r="AO51">
            <v>0</v>
          </cell>
          <cell r="AT51">
            <v>0</v>
          </cell>
          <cell r="AY51">
            <v>0</v>
          </cell>
          <cell r="BD51">
            <v>0</v>
          </cell>
          <cell r="BI51">
            <v>0</v>
          </cell>
        </row>
        <row r="52">
          <cell r="F52">
            <v>0.1</v>
          </cell>
          <cell r="K52">
            <v>0</v>
          </cell>
          <cell r="P52">
            <v>0</v>
          </cell>
          <cell r="U52">
            <v>0</v>
          </cell>
          <cell r="Z52">
            <v>0</v>
          </cell>
          <cell r="AE52">
            <v>0</v>
          </cell>
          <cell r="AJ52">
            <v>0</v>
          </cell>
          <cell r="AO52">
            <v>0</v>
          </cell>
          <cell r="AT52">
            <v>0</v>
          </cell>
          <cell r="AY52">
            <v>0</v>
          </cell>
          <cell r="BD52">
            <v>0</v>
          </cell>
          <cell r="BI52">
            <v>0</v>
          </cell>
        </row>
        <row r="53">
          <cell r="F53">
            <v>0</v>
          </cell>
          <cell r="K53">
            <v>0</v>
          </cell>
          <cell r="P53">
            <v>0</v>
          </cell>
          <cell r="U53">
            <v>0</v>
          </cell>
          <cell r="Z53">
            <v>0</v>
          </cell>
          <cell r="AE53">
            <v>0</v>
          </cell>
          <cell r="AJ53">
            <v>0</v>
          </cell>
          <cell r="AO53">
            <v>0</v>
          </cell>
          <cell r="AT53">
            <v>0</v>
          </cell>
          <cell r="AY53">
            <v>0</v>
          </cell>
          <cell r="BD53">
            <v>0</v>
          </cell>
          <cell r="BI53">
            <v>0</v>
          </cell>
        </row>
        <row r="54">
          <cell r="F54">
            <v>0</v>
          </cell>
          <cell r="K54">
            <v>0</v>
          </cell>
          <cell r="P54">
            <v>0</v>
          </cell>
          <cell r="U54">
            <v>0</v>
          </cell>
          <cell r="Z54">
            <v>0</v>
          </cell>
          <cell r="AE54">
            <v>0</v>
          </cell>
          <cell r="AJ54">
            <v>0</v>
          </cell>
          <cell r="AO54">
            <v>0</v>
          </cell>
          <cell r="AT54">
            <v>0</v>
          </cell>
          <cell r="AY54">
            <v>0</v>
          </cell>
          <cell r="BD54">
            <v>0</v>
          </cell>
          <cell r="BI54">
            <v>0</v>
          </cell>
        </row>
        <row r="55">
          <cell r="F55">
            <v>0</v>
          </cell>
          <cell r="K55">
            <v>0</v>
          </cell>
          <cell r="P55">
            <v>0</v>
          </cell>
          <cell r="U55">
            <v>0</v>
          </cell>
          <cell r="Z55">
            <v>0</v>
          </cell>
          <cell r="AE55">
            <v>0</v>
          </cell>
          <cell r="AJ55">
            <v>0</v>
          </cell>
          <cell r="AO55">
            <v>0</v>
          </cell>
          <cell r="AT55">
            <v>0</v>
          </cell>
          <cell r="AY55">
            <v>0</v>
          </cell>
          <cell r="BD55">
            <v>0</v>
          </cell>
          <cell r="BI55">
            <v>0</v>
          </cell>
        </row>
        <row r="56">
          <cell r="F56">
            <v>0.1</v>
          </cell>
          <cell r="K56">
            <v>0</v>
          </cell>
          <cell r="P56">
            <v>0</v>
          </cell>
          <cell r="U56">
            <v>0</v>
          </cell>
          <cell r="Z56">
            <v>0</v>
          </cell>
          <cell r="AE56">
            <v>0</v>
          </cell>
          <cell r="AJ56">
            <v>0</v>
          </cell>
          <cell r="AO56">
            <v>0</v>
          </cell>
          <cell r="AT56">
            <v>0</v>
          </cell>
          <cell r="AY56">
            <v>0</v>
          </cell>
          <cell r="BD56">
            <v>0</v>
          </cell>
          <cell r="BI56">
            <v>0</v>
          </cell>
        </row>
        <row r="57">
          <cell r="F57">
            <v>0.88</v>
          </cell>
          <cell r="K57">
            <v>0</v>
          </cell>
          <cell r="P57">
            <v>0</v>
          </cell>
          <cell r="U57">
            <v>0</v>
          </cell>
          <cell r="Z57">
            <v>0</v>
          </cell>
          <cell r="AE57">
            <v>0</v>
          </cell>
          <cell r="AJ57">
            <v>0</v>
          </cell>
          <cell r="AO57">
            <v>0</v>
          </cell>
          <cell r="AT57">
            <v>0</v>
          </cell>
          <cell r="AY57">
            <v>0</v>
          </cell>
          <cell r="BD57">
            <v>0</v>
          </cell>
          <cell r="BI57">
            <v>0</v>
          </cell>
        </row>
        <row r="58">
          <cell r="F58">
            <v>0</v>
          </cell>
          <cell r="K58">
            <v>0</v>
          </cell>
          <cell r="P58">
            <v>0</v>
          </cell>
          <cell r="U58">
            <v>0</v>
          </cell>
          <cell r="Z58">
            <v>0</v>
          </cell>
          <cell r="AE58">
            <v>0</v>
          </cell>
          <cell r="AJ58">
            <v>0</v>
          </cell>
          <cell r="AO58">
            <v>0</v>
          </cell>
          <cell r="AT58">
            <v>0</v>
          </cell>
          <cell r="AY58">
            <v>0</v>
          </cell>
          <cell r="BD58">
            <v>0</v>
          </cell>
          <cell r="BI58">
            <v>0</v>
          </cell>
        </row>
        <row r="59">
          <cell r="F59">
            <v>0</v>
          </cell>
          <cell r="K59">
            <v>0</v>
          </cell>
          <cell r="P59">
            <v>0</v>
          </cell>
          <cell r="U59">
            <v>0</v>
          </cell>
          <cell r="Z59">
            <v>0</v>
          </cell>
          <cell r="AE59">
            <v>0</v>
          </cell>
          <cell r="AJ59">
            <v>0</v>
          </cell>
          <cell r="AO59">
            <v>0</v>
          </cell>
          <cell r="AT59">
            <v>0</v>
          </cell>
          <cell r="AY59">
            <v>0</v>
          </cell>
          <cell r="BD59">
            <v>0</v>
          </cell>
          <cell r="BI59">
            <v>0</v>
          </cell>
        </row>
        <row r="60">
          <cell r="F60">
            <v>0</v>
          </cell>
          <cell r="K60">
            <v>0</v>
          </cell>
          <cell r="P60">
            <v>0</v>
          </cell>
          <cell r="U60">
            <v>0</v>
          </cell>
          <cell r="Z60">
            <v>0</v>
          </cell>
          <cell r="AE60">
            <v>0</v>
          </cell>
          <cell r="AJ60">
            <v>0</v>
          </cell>
          <cell r="AO60">
            <v>0</v>
          </cell>
          <cell r="AT60">
            <v>0</v>
          </cell>
          <cell r="AY60">
            <v>0</v>
          </cell>
          <cell r="BD60">
            <v>0</v>
          </cell>
          <cell r="BI60">
            <v>0</v>
          </cell>
        </row>
        <row r="61">
          <cell r="F61">
            <v>0</v>
          </cell>
          <cell r="K61">
            <v>0</v>
          </cell>
          <cell r="P61">
            <v>0</v>
          </cell>
          <cell r="U61">
            <v>0</v>
          </cell>
          <cell r="Z61">
            <v>0</v>
          </cell>
          <cell r="AE61">
            <v>0</v>
          </cell>
          <cell r="AJ61">
            <v>0</v>
          </cell>
          <cell r="AO61">
            <v>0</v>
          </cell>
          <cell r="AT61">
            <v>0</v>
          </cell>
          <cell r="AY61">
            <v>0</v>
          </cell>
          <cell r="BD61">
            <v>0</v>
          </cell>
          <cell r="BI61">
            <v>0</v>
          </cell>
        </row>
        <row r="62">
          <cell r="F62">
            <v>0</v>
          </cell>
          <cell r="K62">
            <v>0</v>
          </cell>
          <cell r="P62">
            <v>0</v>
          </cell>
          <cell r="U62">
            <v>0</v>
          </cell>
          <cell r="Z62">
            <v>0</v>
          </cell>
          <cell r="AE62">
            <v>0</v>
          </cell>
          <cell r="AJ62">
            <v>0</v>
          </cell>
          <cell r="AO62">
            <v>0</v>
          </cell>
          <cell r="AT62">
            <v>0</v>
          </cell>
          <cell r="AY62">
            <v>0</v>
          </cell>
          <cell r="BD62">
            <v>0</v>
          </cell>
          <cell r="BI62">
            <v>0</v>
          </cell>
        </row>
        <row r="63">
          <cell r="F63">
            <v>0</v>
          </cell>
          <cell r="K63">
            <v>0</v>
          </cell>
          <cell r="P63">
            <v>0</v>
          </cell>
          <cell r="U63">
            <v>0</v>
          </cell>
          <cell r="Z63">
            <v>0</v>
          </cell>
          <cell r="AE63">
            <v>0</v>
          </cell>
          <cell r="AJ63">
            <v>0</v>
          </cell>
          <cell r="AO63">
            <v>0</v>
          </cell>
          <cell r="AT63">
            <v>0</v>
          </cell>
          <cell r="AY63">
            <v>0</v>
          </cell>
          <cell r="BD63">
            <v>0</v>
          </cell>
          <cell r="BI63">
            <v>0</v>
          </cell>
        </row>
        <row r="64">
          <cell r="F64">
            <v>0</v>
          </cell>
          <cell r="K64">
            <v>0</v>
          </cell>
          <cell r="P64">
            <v>0</v>
          </cell>
          <cell r="U64">
            <v>0</v>
          </cell>
          <cell r="Z64">
            <v>0</v>
          </cell>
          <cell r="AE64">
            <v>0</v>
          </cell>
          <cell r="AJ64">
            <v>0</v>
          </cell>
          <cell r="AO64">
            <v>0</v>
          </cell>
          <cell r="AT64">
            <v>0</v>
          </cell>
          <cell r="AY64">
            <v>0</v>
          </cell>
          <cell r="BD64">
            <v>0</v>
          </cell>
          <cell r="BI64">
            <v>0</v>
          </cell>
        </row>
        <row r="65">
          <cell r="F65">
            <v>0</v>
          </cell>
          <cell r="K65">
            <v>0</v>
          </cell>
          <cell r="P65">
            <v>0</v>
          </cell>
          <cell r="U65">
            <v>0</v>
          </cell>
          <cell r="Z65">
            <v>0</v>
          </cell>
          <cell r="AE65">
            <v>0</v>
          </cell>
          <cell r="AJ65">
            <v>0</v>
          </cell>
          <cell r="AO65">
            <v>0</v>
          </cell>
          <cell r="AT65">
            <v>0</v>
          </cell>
          <cell r="AY65">
            <v>0</v>
          </cell>
          <cell r="BD65">
            <v>0</v>
          </cell>
          <cell r="BI65">
            <v>0</v>
          </cell>
        </row>
        <row r="66">
          <cell r="F66">
            <v>0</v>
          </cell>
          <cell r="K66">
            <v>0</v>
          </cell>
          <cell r="P66">
            <v>0</v>
          </cell>
          <cell r="U66">
            <v>0</v>
          </cell>
          <cell r="Z66">
            <v>0</v>
          </cell>
          <cell r="AE66">
            <v>0</v>
          </cell>
          <cell r="AJ66">
            <v>0</v>
          </cell>
          <cell r="AO66">
            <v>0</v>
          </cell>
          <cell r="AT66">
            <v>0</v>
          </cell>
          <cell r="AY66">
            <v>0</v>
          </cell>
          <cell r="BD66">
            <v>0</v>
          </cell>
          <cell r="BI66">
            <v>0</v>
          </cell>
        </row>
        <row r="67">
          <cell r="F67">
            <v>0</v>
          </cell>
          <cell r="K67">
            <v>0</v>
          </cell>
          <cell r="P67">
            <v>0</v>
          </cell>
          <cell r="U67">
            <v>0</v>
          </cell>
          <cell r="Z67">
            <v>0</v>
          </cell>
          <cell r="AE67">
            <v>0</v>
          </cell>
          <cell r="AJ67">
            <v>0</v>
          </cell>
          <cell r="AO67">
            <v>0</v>
          </cell>
          <cell r="AT67">
            <v>0</v>
          </cell>
          <cell r="AY67">
            <v>0</v>
          </cell>
          <cell r="BD67">
            <v>0</v>
          </cell>
          <cell r="BI67">
            <v>0</v>
          </cell>
        </row>
        <row r="68">
          <cell r="F68">
            <v>2</v>
          </cell>
          <cell r="K68">
            <v>0</v>
          </cell>
          <cell r="P68">
            <v>0</v>
          </cell>
          <cell r="U68">
            <v>0</v>
          </cell>
          <cell r="Z68">
            <v>0</v>
          </cell>
          <cell r="AE68">
            <v>0</v>
          </cell>
          <cell r="AJ68">
            <v>0</v>
          </cell>
          <cell r="AO68">
            <v>0</v>
          </cell>
          <cell r="AT68">
            <v>0</v>
          </cell>
          <cell r="AY68">
            <v>0</v>
          </cell>
          <cell r="BD68">
            <v>0</v>
          </cell>
          <cell r="BI68">
            <v>0</v>
          </cell>
        </row>
        <row r="69">
          <cell r="F69">
            <v>0</v>
          </cell>
          <cell r="K69">
            <v>0</v>
          </cell>
          <cell r="P69">
            <v>0</v>
          </cell>
          <cell r="U69">
            <v>0</v>
          </cell>
          <cell r="Z69">
            <v>0</v>
          </cell>
          <cell r="AE69">
            <v>0</v>
          </cell>
          <cell r="AJ69">
            <v>0</v>
          </cell>
          <cell r="AO69">
            <v>0</v>
          </cell>
          <cell r="AT69">
            <v>0</v>
          </cell>
          <cell r="AY69">
            <v>0</v>
          </cell>
          <cell r="BD69">
            <v>0</v>
          </cell>
          <cell r="BI69">
            <v>0</v>
          </cell>
        </row>
        <row r="70">
          <cell r="F70">
            <v>0</v>
          </cell>
          <cell r="K70">
            <v>0</v>
          </cell>
          <cell r="P70">
            <v>0</v>
          </cell>
          <cell r="U70">
            <v>0</v>
          </cell>
          <cell r="Z70">
            <v>0</v>
          </cell>
          <cell r="AE70">
            <v>0</v>
          </cell>
          <cell r="AJ70">
            <v>0</v>
          </cell>
          <cell r="AO70">
            <v>0</v>
          </cell>
          <cell r="AT70">
            <v>0</v>
          </cell>
          <cell r="AY70">
            <v>0</v>
          </cell>
          <cell r="BD70">
            <v>0</v>
          </cell>
          <cell r="BI70">
            <v>0</v>
          </cell>
        </row>
        <row r="71">
          <cell r="F71">
            <v>0</v>
          </cell>
          <cell r="K71">
            <v>0</v>
          </cell>
          <cell r="P71">
            <v>0</v>
          </cell>
          <cell r="U71">
            <v>0</v>
          </cell>
          <cell r="Z71">
            <v>0</v>
          </cell>
          <cell r="AE71">
            <v>0</v>
          </cell>
          <cell r="AJ71">
            <v>0</v>
          </cell>
          <cell r="AO71">
            <v>0</v>
          </cell>
          <cell r="AT71">
            <v>0</v>
          </cell>
          <cell r="AY71">
            <v>0</v>
          </cell>
          <cell r="BD71">
            <v>0</v>
          </cell>
          <cell r="BI71">
            <v>0</v>
          </cell>
        </row>
        <row r="72">
          <cell r="F72">
            <v>7.8</v>
          </cell>
          <cell r="K72">
            <v>0</v>
          </cell>
          <cell r="P72">
            <v>0</v>
          </cell>
          <cell r="U72">
            <v>0</v>
          </cell>
          <cell r="Z72">
            <v>0</v>
          </cell>
          <cell r="AE72">
            <v>0</v>
          </cell>
          <cell r="AJ72">
            <v>0</v>
          </cell>
          <cell r="AO72">
            <v>0</v>
          </cell>
          <cell r="AT72">
            <v>0</v>
          </cell>
          <cell r="AY72">
            <v>0</v>
          </cell>
          <cell r="BD72">
            <v>0</v>
          </cell>
          <cell r="BI72">
            <v>0</v>
          </cell>
        </row>
        <row r="73">
          <cell r="F73">
            <v>0</v>
          </cell>
          <cell r="K73">
            <v>0</v>
          </cell>
          <cell r="P73">
            <v>0</v>
          </cell>
          <cell r="U73">
            <v>0</v>
          </cell>
          <cell r="Z73">
            <v>0</v>
          </cell>
          <cell r="AE73">
            <v>0</v>
          </cell>
          <cell r="AJ73">
            <v>0</v>
          </cell>
          <cell r="AO73">
            <v>0</v>
          </cell>
          <cell r="AT73">
            <v>0</v>
          </cell>
          <cell r="AY73">
            <v>0</v>
          </cell>
          <cell r="BD73">
            <v>0</v>
          </cell>
          <cell r="BI73">
            <v>0</v>
          </cell>
        </row>
        <row r="74">
          <cell r="F74">
            <v>0</v>
          </cell>
          <cell r="K74">
            <v>0</v>
          </cell>
          <cell r="P74">
            <v>0</v>
          </cell>
          <cell r="U74">
            <v>0</v>
          </cell>
          <cell r="Z74">
            <v>0</v>
          </cell>
          <cell r="AE74">
            <v>0</v>
          </cell>
          <cell r="AJ74">
            <v>0</v>
          </cell>
          <cell r="AO74">
            <v>0</v>
          </cell>
          <cell r="AT74">
            <v>0</v>
          </cell>
          <cell r="AY74">
            <v>0</v>
          </cell>
          <cell r="BD74">
            <v>0</v>
          </cell>
          <cell r="BI74">
            <v>0</v>
          </cell>
        </row>
        <row r="75">
          <cell r="F75">
            <v>0</v>
          </cell>
          <cell r="K75">
            <v>0</v>
          </cell>
          <cell r="P75">
            <v>0</v>
          </cell>
          <cell r="U75">
            <v>0</v>
          </cell>
          <cell r="Z75">
            <v>0</v>
          </cell>
          <cell r="AE75">
            <v>0</v>
          </cell>
          <cell r="AJ75">
            <v>0</v>
          </cell>
          <cell r="AO75">
            <v>0</v>
          </cell>
          <cell r="AT75">
            <v>0</v>
          </cell>
          <cell r="AY75">
            <v>0</v>
          </cell>
          <cell r="BD75">
            <v>0</v>
          </cell>
          <cell r="BI75">
            <v>0</v>
          </cell>
        </row>
        <row r="76">
          <cell r="F76">
            <v>0</v>
          </cell>
          <cell r="K76">
            <v>0</v>
          </cell>
          <cell r="P76">
            <v>0</v>
          </cell>
          <cell r="U76">
            <v>0</v>
          </cell>
          <cell r="Z76">
            <v>0</v>
          </cell>
          <cell r="AE76">
            <v>0</v>
          </cell>
          <cell r="AJ76">
            <v>0</v>
          </cell>
          <cell r="AO76">
            <v>0</v>
          </cell>
          <cell r="AT76">
            <v>0</v>
          </cell>
          <cell r="AY76">
            <v>0</v>
          </cell>
          <cell r="BD76">
            <v>0</v>
          </cell>
          <cell r="BI76">
            <v>0</v>
          </cell>
        </row>
        <row r="77">
          <cell r="F77">
            <v>11.08</v>
          </cell>
          <cell r="K77">
            <v>0</v>
          </cell>
          <cell r="P77">
            <v>0</v>
          </cell>
          <cell r="U77">
            <v>0</v>
          </cell>
          <cell r="Z77">
            <v>0</v>
          </cell>
          <cell r="AE77">
            <v>0</v>
          </cell>
          <cell r="AJ77">
            <v>0</v>
          </cell>
          <cell r="AO77">
            <v>0</v>
          </cell>
          <cell r="AT77">
            <v>0</v>
          </cell>
          <cell r="AY77">
            <v>0</v>
          </cell>
          <cell r="BD77">
            <v>0</v>
          </cell>
          <cell r="BI77">
            <v>0</v>
          </cell>
        </row>
        <row r="78">
          <cell r="F78">
            <v>3.8400000000000003</v>
          </cell>
          <cell r="K78">
            <v>0</v>
          </cell>
          <cell r="P78">
            <v>0</v>
          </cell>
          <cell r="U78">
            <v>0</v>
          </cell>
          <cell r="Z78">
            <v>0</v>
          </cell>
          <cell r="AE78">
            <v>0</v>
          </cell>
          <cell r="AJ78">
            <v>0</v>
          </cell>
          <cell r="AO78">
            <v>0</v>
          </cell>
          <cell r="AT78">
            <v>0</v>
          </cell>
          <cell r="AY78">
            <v>0</v>
          </cell>
          <cell r="BD78">
            <v>0</v>
          </cell>
          <cell r="BI78">
            <v>0</v>
          </cell>
        </row>
        <row r="79">
          <cell r="F79">
            <v>1.62</v>
          </cell>
          <cell r="K79">
            <v>0</v>
          </cell>
          <cell r="P79">
            <v>0</v>
          </cell>
          <cell r="U79">
            <v>0</v>
          </cell>
          <cell r="Z79">
            <v>0</v>
          </cell>
          <cell r="AE79">
            <v>0</v>
          </cell>
          <cell r="AJ79">
            <v>0</v>
          </cell>
          <cell r="AO79">
            <v>0</v>
          </cell>
          <cell r="AT79">
            <v>0</v>
          </cell>
          <cell r="AY79">
            <v>0</v>
          </cell>
          <cell r="BD79">
            <v>0</v>
          </cell>
          <cell r="BI79">
            <v>0</v>
          </cell>
        </row>
        <row r="80">
          <cell r="F80">
            <v>1.69</v>
          </cell>
          <cell r="K80">
            <v>0</v>
          </cell>
          <cell r="P80">
            <v>0</v>
          </cell>
          <cell r="U80">
            <v>0</v>
          </cell>
          <cell r="Z80">
            <v>0</v>
          </cell>
          <cell r="AE80">
            <v>0</v>
          </cell>
          <cell r="AJ80">
            <v>0</v>
          </cell>
          <cell r="AO80">
            <v>0</v>
          </cell>
          <cell r="AT80">
            <v>0</v>
          </cell>
          <cell r="AY80">
            <v>0</v>
          </cell>
          <cell r="BD80">
            <v>0</v>
          </cell>
          <cell r="BI80">
            <v>0</v>
          </cell>
        </row>
        <row r="81">
          <cell r="F81">
            <v>0</v>
          </cell>
          <cell r="K81">
            <v>0</v>
          </cell>
          <cell r="P81">
            <v>0</v>
          </cell>
          <cell r="U81">
            <v>0</v>
          </cell>
          <cell r="Z81">
            <v>0</v>
          </cell>
          <cell r="AE81">
            <v>0</v>
          </cell>
          <cell r="AJ81">
            <v>0</v>
          </cell>
          <cell r="AO81">
            <v>0</v>
          </cell>
          <cell r="AT81">
            <v>0</v>
          </cell>
          <cell r="AY81">
            <v>0</v>
          </cell>
          <cell r="BD81">
            <v>0</v>
          </cell>
          <cell r="BI81">
            <v>0</v>
          </cell>
        </row>
        <row r="82">
          <cell r="F82">
            <v>0</v>
          </cell>
          <cell r="K82">
            <v>0</v>
          </cell>
          <cell r="P82">
            <v>0</v>
          </cell>
          <cell r="U82">
            <v>0</v>
          </cell>
          <cell r="Z82">
            <v>0</v>
          </cell>
          <cell r="AE82">
            <v>0</v>
          </cell>
          <cell r="AJ82">
            <v>0</v>
          </cell>
          <cell r="AO82">
            <v>0</v>
          </cell>
          <cell r="AT82">
            <v>0</v>
          </cell>
          <cell r="AY82">
            <v>0</v>
          </cell>
          <cell r="BD82">
            <v>0</v>
          </cell>
          <cell r="BI82">
            <v>0</v>
          </cell>
        </row>
        <row r="83">
          <cell r="F83">
            <v>0</v>
          </cell>
          <cell r="K83">
            <v>0</v>
          </cell>
          <cell r="P83">
            <v>0</v>
          </cell>
          <cell r="U83">
            <v>0</v>
          </cell>
          <cell r="Z83">
            <v>0</v>
          </cell>
          <cell r="AE83">
            <v>0</v>
          </cell>
          <cell r="AJ83">
            <v>0</v>
          </cell>
          <cell r="AO83">
            <v>0</v>
          </cell>
          <cell r="AT83">
            <v>0</v>
          </cell>
          <cell r="AY83">
            <v>0</v>
          </cell>
          <cell r="BD83">
            <v>0</v>
          </cell>
          <cell r="BI83">
            <v>0</v>
          </cell>
        </row>
        <row r="84">
          <cell r="F84">
            <v>0</v>
          </cell>
          <cell r="K84">
            <v>0</v>
          </cell>
          <cell r="P84">
            <v>0</v>
          </cell>
          <cell r="U84">
            <v>0</v>
          </cell>
          <cell r="Z84">
            <v>0</v>
          </cell>
          <cell r="AE84">
            <v>0</v>
          </cell>
          <cell r="AJ84">
            <v>0</v>
          </cell>
          <cell r="AO84">
            <v>0</v>
          </cell>
          <cell r="AT84">
            <v>0</v>
          </cell>
          <cell r="AY84">
            <v>0</v>
          </cell>
          <cell r="BD84">
            <v>0</v>
          </cell>
          <cell r="BI84">
            <v>0</v>
          </cell>
        </row>
        <row r="85">
          <cell r="F85">
            <v>0</v>
          </cell>
          <cell r="K85">
            <v>0</v>
          </cell>
          <cell r="P85">
            <v>0</v>
          </cell>
          <cell r="U85">
            <v>0</v>
          </cell>
          <cell r="Z85">
            <v>0</v>
          </cell>
          <cell r="AE85">
            <v>0</v>
          </cell>
          <cell r="AJ85">
            <v>0</v>
          </cell>
          <cell r="AO85">
            <v>0</v>
          </cell>
          <cell r="AT85">
            <v>0</v>
          </cell>
          <cell r="AY85">
            <v>0</v>
          </cell>
          <cell r="BD85">
            <v>0</v>
          </cell>
          <cell r="BI85">
            <v>0</v>
          </cell>
        </row>
        <row r="86">
          <cell r="F86">
            <v>0</v>
          </cell>
          <cell r="K86">
            <v>0</v>
          </cell>
          <cell r="P86">
            <v>0</v>
          </cell>
          <cell r="U86">
            <v>0</v>
          </cell>
          <cell r="Z86">
            <v>0</v>
          </cell>
          <cell r="AE86">
            <v>0</v>
          </cell>
          <cell r="AJ86">
            <v>0</v>
          </cell>
          <cell r="AO86">
            <v>0</v>
          </cell>
          <cell r="AT86">
            <v>0</v>
          </cell>
          <cell r="AY86">
            <v>0</v>
          </cell>
          <cell r="BD86">
            <v>0</v>
          </cell>
          <cell r="BI86">
            <v>0</v>
          </cell>
        </row>
        <row r="87">
          <cell r="F87">
            <v>0</v>
          </cell>
          <cell r="K87">
            <v>0</v>
          </cell>
          <cell r="P87">
            <v>0</v>
          </cell>
          <cell r="U87">
            <v>0</v>
          </cell>
          <cell r="Z87">
            <v>0</v>
          </cell>
          <cell r="AE87">
            <v>0</v>
          </cell>
          <cell r="AJ87">
            <v>0</v>
          </cell>
          <cell r="AO87">
            <v>0</v>
          </cell>
          <cell r="AT87">
            <v>0</v>
          </cell>
          <cell r="AY87">
            <v>0</v>
          </cell>
          <cell r="BD87">
            <v>0</v>
          </cell>
          <cell r="BI87">
            <v>0</v>
          </cell>
        </row>
        <row r="88">
          <cell r="F88">
            <v>28.030000000000005</v>
          </cell>
          <cell r="K88">
            <v>0</v>
          </cell>
          <cell r="P88">
            <v>0</v>
          </cell>
          <cell r="U88">
            <v>0</v>
          </cell>
          <cell r="Z88">
            <v>0</v>
          </cell>
          <cell r="AE88">
            <v>0</v>
          </cell>
          <cell r="AJ88">
            <v>0</v>
          </cell>
          <cell r="AO88">
            <v>0</v>
          </cell>
          <cell r="AT88">
            <v>0</v>
          </cell>
          <cell r="AY88">
            <v>0</v>
          </cell>
          <cell r="BD88">
            <v>0</v>
          </cell>
          <cell r="BI88">
            <v>0</v>
          </cell>
        </row>
        <row r="89">
          <cell r="F89">
            <v>28.910000000000004</v>
          </cell>
          <cell r="K89">
            <v>0</v>
          </cell>
          <cell r="P89">
            <v>0</v>
          </cell>
          <cell r="U89">
            <v>0</v>
          </cell>
          <cell r="Z89">
            <v>0</v>
          </cell>
          <cell r="AE89">
            <v>0</v>
          </cell>
          <cell r="AJ89">
            <v>0</v>
          </cell>
          <cell r="AO89">
            <v>0</v>
          </cell>
          <cell r="AT89">
            <v>0</v>
          </cell>
          <cell r="AY89">
            <v>0</v>
          </cell>
          <cell r="BD89">
            <v>0</v>
          </cell>
          <cell r="BI89">
            <v>0</v>
          </cell>
        </row>
        <row r="90">
          <cell r="F90">
            <v>0</v>
          </cell>
          <cell r="K90">
            <v>0</v>
          </cell>
          <cell r="P90">
            <v>0</v>
          </cell>
          <cell r="U90">
            <v>0</v>
          </cell>
          <cell r="Z90">
            <v>0</v>
          </cell>
          <cell r="AE90">
            <v>0</v>
          </cell>
          <cell r="AJ90">
            <v>0</v>
          </cell>
          <cell r="AO90">
            <v>0</v>
          </cell>
          <cell r="AT90">
            <v>0</v>
          </cell>
          <cell r="AY90">
            <v>0</v>
          </cell>
          <cell r="BD90">
            <v>0</v>
          </cell>
          <cell r="BI90">
            <v>0</v>
          </cell>
        </row>
        <row r="91">
          <cell r="F91">
            <v>0</v>
          </cell>
          <cell r="K91">
            <v>0</v>
          </cell>
          <cell r="P91">
            <v>0</v>
          </cell>
          <cell r="U91">
            <v>0</v>
          </cell>
          <cell r="Z91">
            <v>0</v>
          </cell>
          <cell r="AE91">
            <v>0</v>
          </cell>
          <cell r="AJ91">
            <v>0</v>
          </cell>
          <cell r="AO91">
            <v>0</v>
          </cell>
          <cell r="AT91">
            <v>0</v>
          </cell>
          <cell r="AY91">
            <v>0</v>
          </cell>
          <cell r="BD91">
            <v>0</v>
          </cell>
          <cell r="BI91">
            <v>0</v>
          </cell>
        </row>
        <row r="92">
          <cell r="F92">
            <v>0</v>
          </cell>
          <cell r="K92">
            <v>0</v>
          </cell>
          <cell r="P92">
            <v>0</v>
          </cell>
          <cell r="U92">
            <v>0</v>
          </cell>
          <cell r="Z92">
            <v>0</v>
          </cell>
          <cell r="AE92">
            <v>0</v>
          </cell>
          <cell r="AJ92">
            <v>0</v>
          </cell>
          <cell r="AO92">
            <v>0</v>
          </cell>
          <cell r="AT92">
            <v>0</v>
          </cell>
          <cell r="AY92">
            <v>0</v>
          </cell>
          <cell r="BD92">
            <v>0</v>
          </cell>
          <cell r="BI92">
            <v>0</v>
          </cell>
        </row>
        <row r="93">
          <cell r="F93">
            <v>107.69</v>
          </cell>
          <cell r="K93">
            <v>0</v>
          </cell>
          <cell r="P93">
            <v>0</v>
          </cell>
          <cell r="U93">
            <v>0</v>
          </cell>
          <cell r="Z93">
            <v>0</v>
          </cell>
          <cell r="AE93">
            <v>0</v>
          </cell>
          <cell r="AJ93">
            <v>0</v>
          </cell>
          <cell r="AO93">
            <v>0</v>
          </cell>
          <cell r="AT93">
            <v>0</v>
          </cell>
          <cell r="AY93">
            <v>0</v>
          </cell>
          <cell r="BD93">
            <v>0</v>
          </cell>
          <cell r="BI93">
            <v>0</v>
          </cell>
        </row>
        <row r="94">
          <cell r="F94">
            <v>0</v>
          </cell>
          <cell r="K94">
            <v>0</v>
          </cell>
          <cell r="P94">
            <v>0</v>
          </cell>
          <cell r="U94">
            <v>0</v>
          </cell>
          <cell r="Z94">
            <v>0</v>
          </cell>
          <cell r="AE94">
            <v>0</v>
          </cell>
          <cell r="AJ94">
            <v>0</v>
          </cell>
          <cell r="AO94">
            <v>0</v>
          </cell>
          <cell r="AT94">
            <v>0</v>
          </cell>
          <cell r="AY94">
            <v>0</v>
          </cell>
          <cell r="BD94">
            <v>0</v>
          </cell>
          <cell r="BI94">
            <v>0</v>
          </cell>
        </row>
        <row r="95">
          <cell r="F95">
            <v>0.82000000000000006</v>
          </cell>
          <cell r="K95">
            <v>0</v>
          </cell>
          <cell r="P95">
            <v>0</v>
          </cell>
          <cell r="U95">
            <v>0</v>
          </cell>
          <cell r="Z95">
            <v>0</v>
          </cell>
          <cell r="AE95">
            <v>0</v>
          </cell>
          <cell r="AJ95">
            <v>0</v>
          </cell>
          <cell r="AO95">
            <v>0</v>
          </cell>
          <cell r="AT95">
            <v>0</v>
          </cell>
          <cell r="AY95">
            <v>0</v>
          </cell>
          <cell r="BD95">
            <v>0</v>
          </cell>
          <cell r="BI95">
            <v>0</v>
          </cell>
        </row>
        <row r="96">
          <cell r="F96">
            <v>0.82000000000000006</v>
          </cell>
          <cell r="K96">
            <v>0</v>
          </cell>
          <cell r="P96">
            <v>0</v>
          </cell>
          <cell r="U96">
            <v>0</v>
          </cell>
          <cell r="Z96">
            <v>0</v>
          </cell>
          <cell r="AE96">
            <v>0</v>
          </cell>
          <cell r="AJ96">
            <v>0</v>
          </cell>
          <cell r="AO96">
            <v>0</v>
          </cell>
          <cell r="AT96">
            <v>0</v>
          </cell>
          <cell r="AY96">
            <v>0</v>
          </cell>
          <cell r="BD96">
            <v>0</v>
          </cell>
          <cell r="BI96">
            <v>0</v>
          </cell>
        </row>
        <row r="97">
          <cell r="F97">
            <v>0.06</v>
          </cell>
          <cell r="K97">
            <v>0</v>
          </cell>
          <cell r="P97">
            <v>0</v>
          </cell>
          <cell r="U97">
            <v>0</v>
          </cell>
          <cell r="Z97">
            <v>0</v>
          </cell>
          <cell r="AE97">
            <v>0</v>
          </cell>
          <cell r="AJ97">
            <v>0</v>
          </cell>
          <cell r="AO97">
            <v>0</v>
          </cell>
          <cell r="AT97">
            <v>0</v>
          </cell>
          <cell r="AY97">
            <v>0</v>
          </cell>
          <cell r="BD97">
            <v>0</v>
          </cell>
          <cell r="BI97">
            <v>0</v>
          </cell>
        </row>
        <row r="98">
          <cell r="F98">
            <v>0.57000000000000006</v>
          </cell>
          <cell r="K98">
            <v>0</v>
          </cell>
          <cell r="P98">
            <v>0</v>
          </cell>
          <cell r="U98">
            <v>0</v>
          </cell>
          <cell r="Z98">
            <v>0</v>
          </cell>
          <cell r="AE98">
            <v>0</v>
          </cell>
          <cell r="AJ98">
            <v>0</v>
          </cell>
          <cell r="AO98">
            <v>0</v>
          </cell>
          <cell r="AT98">
            <v>0</v>
          </cell>
          <cell r="AY98">
            <v>0</v>
          </cell>
          <cell r="BD98">
            <v>0</v>
          </cell>
          <cell r="BI98">
            <v>0</v>
          </cell>
        </row>
        <row r="99">
          <cell r="F99">
            <v>4.6100000000000003</v>
          </cell>
          <cell r="K99">
            <v>0</v>
          </cell>
          <cell r="P99">
            <v>0</v>
          </cell>
          <cell r="U99">
            <v>0</v>
          </cell>
          <cell r="Z99">
            <v>0</v>
          </cell>
          <cell r="AE99">
            <v>0</v>
          </cell>
          <cell r="AJ99">
            <v>0</v>
          </cell>
          <cell r="AO99">
            <v>0</v>
          </cell>
          <cell r="AT99">
            <v>0</v>
          </cell>
          <cell r="AY99">
            <v>0</v>
          </cell>
          <cell r="BD99">
            <v>0</v>
          </cell>
          <cell r="BI99">
            <v>0</v>
          </cell>
        </row>
        <row r="100">
          <cell r="F100">
            <v>0</v>
          </cell>
          <cell r="K100">
            <v>0</v>
          </cell>
          <cell r="P100">
            <v>0</v>
          </cell>
          <cell r="U100">
            <v>0</v>
          </cell>
          <cell r="Z100">
            <v>0</v>
          </cell>
          <cell r="AE100">
            <v>0</v>
          </cell>
          <cell r="AJ100">
            <v>0</v>
          </cell>
          <cell r="AO100">
            <v>0</v>
          </cell>
          <cell r="AT100">
            <v>0</v>
          </cell>
          <cell r="AY100">
            <v>0</v>
          </cell>
          <cell r="BD100">
            <v>0</v>
          </cell>
          <cell r="BI100">
            <v>0</v>
          </cell>
        </row>
        <row r="101">
          <cell r="F101">
            <v>0</v>
          </cell>
          <cell r="K101">
            <v>0</v>
          </cell>
          <cell r="P101">
            <v>0</v>
          </cell>
          <cell r="U101">
            <v>0</v>
          </cell>
          <cell r="Z101">
            <v>0</v>
          </cell>
          <cell r="AE101">
            <v>0</v>
          </cell>
          <cell r="AJ101">
            <v>0</v>
          </cell>
          <cell r="AO101">
            <v>0</v>
          </cell>
          <cell r="AT101">
            <v>0</v>
          </cell>
          <cell r="AY101">
            <v>0</v>
          </cell>
          <cell r="BD101">
            <v>0</v>
          </cell>
          <cell r="BI101">
            <v>0</v>
          </cell>
        </row>
        <row r="102">
          <cell r="F102">
            <v>5.1800000000000006</v>
          </cell>
          <cell r="K102">
            <v>0</v>
          </cell>
          <cell r="P102">
            <v>0</v>
          </cell>
          <cell r="U102">
            <v>0</v>
          </cell>
          <cell r="Z102">
            <v>0</v>
          </cell>
          <cell r="AE102">
            <v>0</v>
          </cell>
          <cell r="AJ102">
            <v>0</v>
          </cell>
          <cell r="AO102">
            <v>0</v>
          </cell>
          <cell r="AT102">
            <v>0</v>
          </cell>
          <cell r="AY102">
            <v>0</v>
          </cell>
          <cell r="BD102">
            <v>0</v>
          </cell>
          <cell r="BI102">
            <v>0</v>
          </cell>
        </row>
        <row r="103">
          <cell r="F103">
            <v>0.34</v>
          </cell>
          <cell r="K103">
            <v>0</v>
          </cell>
          <cell r="P103">
            <v>0</v>
          </cell>
          <cell r="U103">
            <v>0</v>
          </cell>
          <cell r="Z103">
            <v>0</v>
          </cell>
          <cell r="AE103">
            <v>0</v>
          </cell>
          <cell r="AJ103">
            <v>0</v>
          </cell>
          <cell r="AO103">
            <v>0</v>
          </cell>
          <cell r="AT103">
            <v>0</v>
          </cell>
          <cell r="AY103">
            <v>0</v>
          </cell>
          <cell r="BD103">
            <v>0</v>
          </cell>
          <cell r="BI103">
            <v>0</v>
          </cell>
        </row>
        <row r="104">
          <cell r="F104">
            <v>0.92999999999999994</v>
          </cell>
          <cell r="K104">
            <v>0</v>
          </cell>
          <cell r="P104">
            <v>0</v>
          </cell>
          <cell r="U104">
            <v>0</v>
          </cell>
          <cell r="Z104">
            <v>0</v>
          </cell>
          <cell r="AE104">
            <v>0</v>
          </cell>
          <cell r="AJ104">
            <v>0</v>
          </cell>
          <cell r="AO104">
            <v>0</v>
          </cell>
          <cell r="AT104">
            <v>0</v>
          </cell>
          <cell r="AY104">
            <v>0</v>
          </cell>
          <cell r="BD104">
            <v>0</v>
          </cell>
          <cell r="BI104">
            <v>0</v>
          </cell>
        </row>
        <row r="105">
          <cell r="F105">
            <v>0</v>
          </cell>
          <cell r="K105">
            <v>0</v>
          </cell>
          <cell r="P105">
            <v>0</v>
          </cell>
          <cell r="U105">
            <v>0</v>
          </cell>
          <cell r="Z105">
            <v>0</v>
          </cell>
          <cell r="AE105">
            <v>0</v>
          </cell>
          <cell r="AJ105">
            <v>0</v>
          </cell>
          <cell r="AO105">
            <v>0</v>
          </cell>
          <cell r="AT105">
            <v>0</v>
          </cell>
          <cell r="AY105">
            <v>0</v>
          </cell>
          <cell r="BD105">
            <v>0</v>
          </cell>
          <cell r="BI105">
            <v>0</v>
          </cell>
        </row>
        <row r="106">
          <cell r="F106">
            <v>0</v>
          </cell>
          <cell r="K106">
            <v>0</v>
          </cell>
          <cell r="P106">
            <v>0</v>
          </cell>
          <cell r="U106">
            <v>0</v>
          </cell>
          <cell r="Z106">
            <v>0</v>
          </cell>
          <cell r="AE106">
            <v>0</v>
          </cell>
          <cell r="AJ106">
            <v>0</v>
          </cell>
          <cell r="AO106">
            <v>0</v>
          </cell>
          <cell r="AT106">
            <v>0</v>
          </cell>
          <cell r="AY106">
            <v>0</v>
          </cell>
          <cell r="BD106">
            <v>0</v>
          </cell>
          <cell r="BI106">
            <v>0</v>
          </cell>
        </row>
        <row r="107">
          <cell r="F107">
            <v>0</v>
          </cell>
          <cell r="K107">
            <v>0</v>
          </cell>
          <cell r="P107">
            <v>0</v>
          </cell>
          <cell r="U107">
            <v>0</v>
          </cell>
          <cell r="Z107">
            <v>0</v>
          </cell>
          <cell r="AE107">
            <v>0</v>
          </cell>
          <cell r="AJ107">
            <v>0</v>
          </cell>
          <cell r="AO107">
            <v>0</v>
          </cell>
          <cell r="AT107">
            <v>0</v>
          </cell>
          <cell r="AY107">
            <v>0</v>
          </cell>
          <cell r="BD107">
            <v>0</v>
          </cell>
          <cell r="BI107">
            <v>0</v>
          </cell>
        </row>
        <row r="108">
          <cell r="F108">
            <v>0</v>
          </cell>
          <cell r="K108">
            <v>0</v>
          </cell>
          <cell r="P108">
            <v>0</v>
          </cell>
          <cell r="U108">
            <v>0</v>
          </cell>
          <cell r="Z108">
            <v>0</v>
          </cell>
          <cell r="AE108">
            <v>0</v>
          </cell>
          <cell r="AJ108">
            <v>0</v>
          </cell>
          <cell r="AO108">
            <v>0</v>
          </cell>
          <cell r="AT108">
            <v>0</v>
          </cell>
          <cell r="AY108">
            <v>0</v>
          </cell>
          <cell r="BD108">
            <v>0</v>
          </cell>
          <cell r="BI108">
            <v>0</v>
          </cell>
        </row>
        <row r="109">
          <cell r="F109">
            <v>0</v>
          </cell>
          <cell r="K109">
            <v>0</v>
          </cell>
          <cell r="P109">
            <v>0</v>
          </cell>
          <cell r="U109">
            <v>0</v>
          </cell>
          <cell r="Z109">
            <v>0</v>
          </cell>
          <cell r="AE109">
            <v>0</v>
          </cell>
          <cell r="AJ109">
            <v>0</v>
          </cell>
          <cell r="AO109">
            <v>0</v>
          </cell>
          <cell r="AT109">
            <v>0</v>
          </cell>
          <cell r="AY109">
            <v>0</v>
          </cell>
          <cell r="BD109">
            <v>0</v>
          </cell>
          <cell r="BI109">
            <v>0</v>
          </cell>
        </row>
        <row r="110">
          <cell r="F110">
            <v>0</v>
          </cell>
          <cell r="K110">
            <v>0</v>
          </cell>
          <cell r="P110">
            <v>0</v>
          </cell>
          <cell r="U110">
            <v>0</v>
          </cell>
          <cell r="Z110">
            <v>0</v>
          </cell>
          <cell r="AE110">
            <v>0</v>
          </cell>
          <cell r="AJ110">
            <v>0</v>
          </cell>
          <cell r="AO110">
            <v>0</v>
          </cell>
          <cell r="AT110">
            <v>0</v>
          </cell>
          <cell r="AY110">
            <v>0</v>
          </cell>
          <cell r="BD110">
            <v>0</v>
          </cell>
          <cell r="BI110">
            <v>0</v>
          </cell>
        </row>
        <row r="111">
          <cell r="F111">
            <v>0</v>
          </cell>
          <cell r="K111">
            <v>0</v>
          </cell>
          <cell r="P111">
            <v>0</v>
          </cell>
          <cell r="U111">
            <v>0</v>
          </cell>
          <cell r="Z111">
            <v>0</v>
          </cell>
          <cell r="AE111">
            <v>0</v>
          </cell>
          <cell r="AJ111">
            <v>0</v>
          </cell>
          <cell r="AO111">
            <v>0</v>
          </cell>
          <cell r="AT111">
            <v>0</v>
          </cell>
          <cell r="AY111">
            <v>0</v>
          </cell>
          <cell r="BD111">
            <v>0</v>
          </cell>
          <cell r="BI111">
            <v>0</v>
          </cell>
        </row>
        <row r="112">
          <cell r="F112">
            <v>0</v>
          </cell>
          <cell r="K112">
            <v>0</v>
          </cell>
          <cell r="P112">
            <v>0</v>
          </cell>
          <cell r="U112">
            <v>0</v>
          </cell>
          <cell r="Z112">
            <v>0</v>
          </cell>
          <cell r="AE112">
            <v>0</v>
          </cell>
          <cell r="AJ112">
            <v>0</v>
          </cell>
          <cell r="AO112">
            <v>0</v>
          </cell>
          <cell r="AT112">
            <v>0</v>
          </cell>
          <cell r="AY112">
            <v>0</v>
          </cell>
          <cell r="BD112">
            <v>0</v>
          </cell>
          <cell r="BI112">
            <v>0</v>
          </cell>
        </row>
        <row r="113">
          <cell r="F113">
            <v>6.31</v>
          </cell>
          <cell r="K113">
            <v>0</v>
          </cell>
          <cell r="P113">
            <v>0</v>
          </cell>
          <cell r="U113">
            <v>0</v>
          </cell>
          <cell r="Z113">
            <v>0</v>
          </cell>
          <cell r="AE113">
            <v>0</v>
          </cell>
          <cell r="AJ113">
            <v>0</v>
          </cell>
          <cell r="AO113">
            <v>0</v>
          </cell>
          <cell r="AT113">
            <v>0</v>
          </cell>
          <cell r="AY113">
            <v>0</v>
          </cell>
          <cell r="BD113">
            <v>0</v>
          </cell>
          <cell r="BI113">
            <v>0</v>
          </cell>
        </row>
        <row r="114">
          <cell r="F114">
            <v>7.58</v>
          </cell>
          <cell r="K114">
            <v>0</v>
          </cell>
          <cell r="P114">
            <v>0</v>
          </cell>
          <cell r="U114">
            <v>0</v>
          </cell>
          <cell r="Z114">
            <v>0</v>
          </cell>
          <cell r="AE114">
            <v>0</v>
          </cell>
          <cell r="AJ114">
            <v>0</v>
          </cell>
          <cell r="AO114">
            <v>0</v>
          </cell>
          <cell r="AT114">
            <v>0</v>
          </cell>
          <cell r="AY114">
            <v>0</v>
          </cell>
          <cell r="BD114">
            <v>0</v>
          </cell>
          <cell r="BI114">
            <v>0</v>
          </cell>
        </row>
        <row r="115">
          <cell r="F115">
            <v>13.64</v>
          </cell>
          <cell r="K115">
            <v>0</v>
          </cell>
          <cell r="P115">
            <v>0</v>
          </cell>
          <cell r="U115">
            <v>0</v>
          </cell>
          <cell r="Z115">
            <v>0</v>
          </cell>
          <cell r="AE115">
            <v>0</v>
          </cell>
          <cell r="AJ115">
            <v>0</v>
          </cell>
          <cell r="AO115">
            <v>0</v>
          </cell>
          <cell r="AT115">
            <v>0</v>
          </cell>
          <cell r="AY115">
            <v>0</v>
          </cell>
          <cell r="BD115">
            <v>0</v>
          </cell>
          <cell r="BI115">
            <v>0</v>
          </cell>
        </row>
        <row r="116">
          <cell r="F116">
            <v>0</v>
          </cell>
          <cell r="K116">
            <v>0</v>
          </cell>
          <cell r="P116">
            <v>0</v>
          </cell>
          <cell r="U116">
            <v>0</v>
          </cell>
          <cell r="Z116">
            <v>0</v>
          </cell>
          <cell r="AE116">
            <v>0</v>
          </cell>
          <cell r="AJ116">
            <v>0</v>
          </cell>
          <cell r="AO116">
            <v>0</v>
          </cell>
          <cell r="AT116">
            <v>0</v>
          </cell>
          <cell r="AY116">
            <v>0</v>
          </cell>
          <cell r="BD116">
            <v>0</v>
          </cell>
          <cell r="BI116">
            <v>0</v>
          </cell>
        </row>
        <row r="117">
          <cell r="F117">
            <v>0</v>
          </cell>
          <cell r="K117">
            <v>0</v>
          </cell>
          <cell r="P117">
            <v>0</v>
          </cell>
          <cell r="U117">
            <v>0</v>
          </cell>
          <cell r="Z117">
            <v>0</v>
          </cell>
          <cell r="AE117">
            <v>0</v>
          </cell>
          <cell r="AJ117">
            <v>0</v>
          </cell>
          <cell r="AO117">
            <v>0</v>
          </cell>
          <cell r="AT117">
            <v>0</v>
          </cell>
          <cell r="AY117">
            <v>0</v>
          </cell>
          <cell r="BD117">
            <v>0</v>
          </cell>
          <cell r="BI117">
            <v>0</v>
          </cell>
        </row>
        <row r="118">
          <cell r="F118">
            <v>0</v>
          </cell>
          <cell r="K118">
            <v>0</v>
          </cell>
          <cell r="P118">
            <v>0</v>
          </cell>
          <cell r="U118">
            <v>0</v>
          </cell>
          <cell r="Z118">
            <v>0</v>
          </cell>
          <cell r="AE118">
            <v>0</v>
          </cell>
          <cell r="AJ118">
            <v>0</v>
          </cell>
          <cell r="AO118">
            <v>0</v>
          </cell>
          <cell r="AT118">
            <v>0</v>
          </cell>
          <cell r="AY118">
            <v>0</v>
          </cell>
          <cell r="BD118">
            <v>0</v>
          </cell>
          <cell r="BI118">
            <v>0</v>
          </cell>
        </row>
        <row r="119">
          <cell r="F119">
            <v>0</v>
          </cell>
          <cell r="K119">
            <v>0</v>
          </cell>
          <cell r="P119">
            <v>0</v>
          </cell>
          <cell r="U119">
            <v>0</v>
          </cell>
          <cell r="Z119">
            <v>0</v>
          </cell>
          <cell r="AE119">
            <v>0</v>
          </cell>
          <cell r="AJ119">
            <v>0</v>
          </cell>
          <cell r="AO119">
            <v>0</v>
          </cell>
          <cell r="AT119">
            <v>0</v>
          </cell>
          <cell r="AY119">
            <v>0</v>
          </cell>
          <cell r="BD119">
            <v>0</v>
          </cell>
          <cell r="BI119">
            <v>0</v>
          </cell>
        </row>
        <row r="120">
          <cell r="F120">
            <v>0</v>
          </cell>
          <cell r="K120">
            <v>0</v>
          </cell>
          <cell r="P120">
            <v>0</v>
          </cell>
          <cell r="U120">
            <v>0</v>
          </cell>
          <cell r="Z120">
            <v>0</v>
          </cell>
          <cell r="AE120">
            <v>0</v>
          </cell>
          <cell r="AJ120">
            <v>0</v>
          </cell>
          <cell r="AO120">
            <v>0</v>
          </cell>
          <cell r="AT120">
            <v>0</v>
          </cell>
          <cell r="AY120">
            <v>0</v>
          </cell>
          <cell r="BD120">
            <v>0</v>
          </cell>
          <cell r="BI120">
            <v>0</v>
          </cell>
        </row>
        <row r="121">
          <cell r="F121">
            <v>0</v>
          </cell>
          <cell r="K121">
            <v>0</v>
          </cell>
          <cell r="P121">
            <v>0</v>
          </cell>
          <cell r="U121">
            <v>0</v>
          </cell>
          <cell r="Z121">
            <v>0</v>
          </cell>
          <cell r="AE121">
            <v>0</v>
          </cell>
          <cell r="AJ121">
            <v>0</v>
          </cell>
          <cell r="AO121">
            <v>0</v>
          </cell>
          <cell r="AT121">
            <v>0</v>
          </cell>
          <cell r="AY121">
            <v>0</v>
          </cell>
          <cell r="BD121">
            <v>0</v>
          </cell>
          <cell r="BI121">
            <v>0</v>
          </cell>
        </row>
        <row r="122">
          <cell r="F122">
            <v>0</v>
          </cell>
          <cell r="K122">
            <v>0</v>
          </cell>
          <cell r="P122">
            <v>0</v>
          </cell>
          <cell r="U122">
            <v>0</v>
          </cell>
          <cell r="Z122">
            <v>0</v>
          </cell>
          <cell r="AE122">
            <v>0</v>
          </cell>
          <cell r="AJ122">
            <v>0</v>
          </cell>
          <cell r="AO122">
            <v>0</v>
          </cell>
          <cell r="AT122">
            <v>0</v>
          </cell>
          <cell r="AY122">
            <v>0</v>
          </cell>
          <cell r="BD122">
            <v>0</v>
          </cell>
          <cell r="BI122">
            <v>0</v>
          </cell>
        </row>
        <row r="123">
          <cell r="F123">
            <v>0</v>
          </cell>
          <cell r="K123">
            <v>0</v>
          </cell>
          <cell r="P123">
            <v>0</v>
          </cell>
          <cell r="U123">
            <v>0</v>
          </cell>
          <cell r="Z123">
            <v>0</v>
          </cell>
          <cell r="AE123">
            <v>0</v>
          </cell>
          <cell r="AJ123">
            <v>0</v>
          </cell>
          <cell r="AO123">
            <v>0</v>
          </cell>
          <cell r="AT123">
            <v>0</v>
          </cell>
          <cell r="AY123">
            <v>0</v>
          </cell>
          <cell r="BD123">
            <v>0</v>
          </cell>
          <cell r="BI123">
            <v>0</v>
          </cell>
        </row>
        <row r="124">
          <cell r="F124">
            <v>0</v>
          </cell>
          <cell r="K124">
            <v>0</v>
          </cell>
          <cell r="P124">
            <v>0</v>
          </cell>
          <cell r="U124">
            <v>0</v>
          </cell>
          <cell r="Z124">
            <v>0</v>
          </cell>
          <cell r="AE124">
            <v>0</v>
          </cell>
          <cell r="AJ124">
            <v>0</v>
          </cell>
          <cell r="AO124">
            <v>0</v>
          </cell>
          <cell r="AT124">
            <v>0</v>
          </cell>
          <cell r="AY124">
            <v>0</v>
          </cell>
          <cell r="BD124">
            <v>0</v>
          </cell>
          <cell r="BI124">
            <v>0</v>
          </cell>
        </row>
        <row r="125">
          <cell r="F125">
            <v>0</v>
          </cell>
          <cell r="K125">
            <v>0</v>
          </cell>
          <cell r="P125">
            <v>0</v>
          </cell>
          <cell r="U125">
            <v>0</v>
          </cell>
          <cell r="Z125">
            <v>0</v>
          </cell>
          <cell r="AE125">
            <v>0</v>
          </cell>
          <cell r="AJ125">
            <v>0</v>
          </cell>
          <cell r="AO125">
            <v>0</v>
          </cell>
          <cell r="AT125">
            <v>0</v>
          </cell>
          <cell r="AY125">
            <v>0</v>
          </cell>
          <cell r="BD125">
            <v>0</v>
          </cell>
          <cell r="BI125">
            <v>0</v>
          </cell>
        </row>
        <row r="126">
          <cell r="F126">
            <v>0</v>
          </cell>
          <cell r="K126">
            <v>0</v>
          </cell>
          <cell r="P126">
            <v>0</v>
          </cell>
          <cell r="U126">
            <v>0</v>
          </cell>
          <cell r="Z126">
            <v>0</v>
          </cell>
          <cell r="AE126">
            <v>0</v>
          </cell>
          <cell r="AJ126">
            <v>0</v>
          </cell>
          <cell r="AO126">
            <v>0</v>
          </cell>
          <cell r="AT126">
            <v>0</v>
          </cell>
          <cell r="AY126">
            <v>0</v>
          </cell>
          <cell r="BD126">
            <v>0</v>
          </cell>
          <cell r="BI126">
            <v>0</v>
          </cell>
        </row>
        <row r="127">
          <cell r="F127">
            <v>0</v>
          </cell>
          <cell r="K127">
            <v>0</v>
          </cell>
          <cell r="P127">
            <v>0</v>
          </cell>
          <cell r="U127">
            <v>0</v>
          </cell>
          <cell r="Z127">
            <v>0</v>
          </cell>
          <cell r="AE127">
            <v>0</v>
          </cell>
          <cell r="AJ127">
            <v>0</v>
          </cell>
          <cell r="AO127">
            <v>0</v>
          </cell>
          <cell r="AT127">
            <v>0</v>
          </cell>
          <cell r="AY127">
            <v>0</v>
          </cell>
          <cell r="BD127">
            <v>0</v>
          </cell>
          <cell r="BI127">
            <v>0</v>
          </cell>
        </row>
        <row r="128">
          <cell r="F128">
            <v>0</v>
          </cell>
          <cell r="K128">
            <v>0</v>
          </cell>
          <cell r="P128">
            <v>0</v>
          </cell>
          <cell r="U128">
            <v>0</v>
          </cell>
          <cell r="Z128">
            <v>0</v>
          </cell>
          <cell r="AE128">
            <v>0</v>
          </cell>
          <cell r="AJ128">
            <v>0</v>
          </cell>
          <cell r="AO128">
            <v>0</v>
          </cell>
          <cell r="AT128">
            <v>0</v>
          </cell>
          <cell r="AY128">
            <v>0</v>
          </cell>
          <cell r="BD128">
            <v>0</v>
          </cell>
          <cell r="BI128">
            <v>0</v>
          </cell>
        </row>
        <row r="129">
          <cell r="F129">
            <v>0</v>
          </cell>
          <cell r="K129">
            <v>0</v>
          </cell>
          <cell r="P129">
            <v>0</v>
          </cell>
          <cell r="U129">
            <v>0</v>
          </cell>
          <cell r="Z129">
            <v>0</v>
          </cell>
          <cell r="AE129">
            <v>0</v>
          </cell>
          <cell r="AJ129">
            <v>0</v>
          </cell>
          <cell r="AO129">
            <v>0</v>
          </cell>
          <cell r="AT129">
            <v>0</v>
          </cell>
          <cell r="AY129">
            <v>0</v>
          </cell>
          <cell r="BD129">
            <v>0</v>
          </cell>
          <cell r="BI129">
            <v>0</v>
          </cell>
        </row>
        <row r="130">
          <cell r="F130">
            <v>0</v>
          </cell>
          <cell r="K130">
            <v>0</v>
          </cell>
          <cell r="P130">
            <v>0</v>
          </cell>
          <cell r="U130">
            <v>0</v>
          </cell>
          <cell r="Z130">
            <v>0</v>
          </cell>
          <cell r="AE130">
            <v>0</v>
          </cell>
          <cell r="AJ130">
            <v>0</v>
          </cell>
          <cell r="AO130">
            <v>0</v>
          </cell>
          <cell r="AT130">
            <v>0</v>
          </cell>
          <cell r="AY130">
            <v>0</v>
          </cell>
          <cell r="BD130">
            <v>0</v>
          </cell>
          <cell r="BI130">
            <v>0</v>
          </cell>
        </row>
        <row r="131">
          <cell r="F131">
            <v>0</v>
          </cell>
          <cell r="K131">
            <v>0</v>
          </cell>
          <cell r="P131">
            <v>0</v>
          </cell>
          <cell r="U131">
            <v>0</v>
          </cell>
          <cell r="Z131">
            <v>0</v>
          </cell>
          <cell r="AE131">
            <v>0</v>
          </cell>
          <cell r="AJ131">
            <v>0</v>
          </cell>
          <cell r="AO131">
            <v>0</v>
          </cell>
          <cell r="AT131">
            <v>0</v>
          </cell>
          <cell r="AY131">
            <v>0</v>
          </cell>
          <cell r="BD131">
            <v>0</v>
          </cell>
          <cell r="BI131">
            <v>0</v>
          </cell>
        </row>
        <row r="132">
          <cell r="F132">
            <v>0</v>
          </cell>
          <cell r="K132">
            <v>0</v>
          </cell>
          <cell r="P132">
            <v>0</v>
          </cell>
          <cell r="U132">
            <v>0</v>
          </cell>
          <cell r="Z132">
            <v>0</v>
          </cell>
          <cell r="AE132">
            <v>0</v>
          </cell>
          <cell r="AJ132">
            <v>0</v>
          </cell>
          <cell r="AO132">
            <v>0</v>
          </cell>
          <cell r="AT132">
            <v>0</v>
          </cell>
          <cell r="AY132">
            <v>0</v>
          </cell>
          <cell r="BD132">
            <v>0</v>
          </cell>
          <cell r="BI132">
            <v>0</v>
          </cell>
        </row>
        <row r="133">
          <cell r="F133">
            <v>0</v>
          </cell>
          <cell r="K133">
            <v>0</v>
          </cell>
          <cell r="P133">
            <v>0</v>
          </cell>
          <cell r="U133">
            <v>0</v>
          </cell>
          <cell r="Z133">
            <v>0</v>
          </cell>
          <cell r="AE133">
            <v>0</v>
          </cell>
          <cell r="AJ133">
            <v>0</v>
          </cell>
          <cell r="AO133">
            <v>0</v>
          </cell>
          <cell r="AT133">
            <v>0</v>
          </cell>
          <cell r="AY133">
            <v>0</v>
          </cell>
          <cell r="BD133">
            <v>0</v>
          </cell>
          <cell r="BI133">
            <v>0</v>
          </cell>
        </row>
        <row r="134">
          <cell r="F134">
            <v>0</v>
          </cell>
          <cell r="K134">
            <v>0</v>
          </cell>
          <cell r="P134">
            <v>0</v>
          </cell>
          <cell r="U134">
            <v>0</v>
          </cell>
          <cell r="Z134">
            <v>0</v>
          </cell>
          <cell r="AE134">
            <v>0</v>
          </cell>
          <cell r="AJ134">
            <v>0</v>
          </cell>
          <cell r="AO134">
            <v>0</v>
          </cell>
          <cell r="AT134">
            <v>0</v>
          </cell>
          <cell r="AY134">
            <v>0</v>
          </cell>
          <cell r="BD134">
            <v>0</v>
          </cell>
          <cell r="BI134">
            <v>0</v>
          </cell>
        </row>
        <row r="135">
          <cell r="F135">
            <v>121.33</v>
          </cell>
          <cell r="K135">
            <v>0</v>
          </cell>
          <cell r="P135">
            <v>0</v>
          </cell>
          <cell r="U135">
            <v>0</v>
          </cell>
          <cell r="Z135">
            <v>0</v>
          </cell>
          <cell r="AE135">
            <v>0</v>
          </cell>
          <cell r="AJ135">
            <v>0</v>
          </cell>
          <cell r="AO135">
            <v>0</v>
          </cell>
          <cell r="AT135">
            <v>0</v>
          </cell>
          <cell r="AY135">
            <v>0</v>
          </cell>
          <cell r="BD135">
            <v>0</v>
          </cell>
          <cell r="BI135">
            <v>0</v>
          </cell>
        </row>
        <row r="136">
          <cell r="F136">
            <v>183.42000000000002</v>
          </cell>
          <cell r="K136">
            <v>0</v>
          </cell>
          <cell r="P136">
            <v>0</v>
          </cell>
          <cell r="U136">
            <v>0</v>
          </cell>
          <cell r="Z136">
            <v>0</v>
          </cell>
          <cell r="AE136">
            <v>0</v>
          </cell>
          <cell r="AJ136">
            <v>0</v>
          </cell>
          <cell r="AO136">
            <v>0</v>
          </cell>
          <cell r="AT136">
            <v>0</v>
          </cell>
          <cell r="AY136">
            <v>0</v>
          </cell>
          <cell r="BD136">
            <v>0</v>
          </cell>
          <cell r="BI136">
            <v>0</v>
          </cell>
        </row>
        <row r="137">
          <cell r="F137">
            <v>0.33343028540265407</v>
          </cell>
          <cell r="K137">
            <v>0</v>
          </cell>
          <cell r="P137">
            <v>0</v>
          </cell>
          <cell r="U137">
            <v>0</v>
          </cell>
          <cell r="Z137">
            <v>0</v>
          </cell>
          <cell r="AE137">
            <v>0</v>
          </cell>
          <cell r="AJ137">
            <v>0</v>
          </cell>
          <cell r="AO137">
            <v>0</v>
          </cell>
          <cell r="AT137">
            <v>0</v>
          </cell>
          <cell r="AY137">
            <v>0</v>
          </cell>
          <cell r="BD137">
            <v>0</v>
          </cell>
          <cell r="BI137">
            <v>0</v>
          </cell>
        </row>
      </sheetData>
      <sheetData sheetId="11" refreshError="1">
        <row r="12">
          <cell r="J12">
            <v>256.77</v>
          </cell>
          <cell r="S12">
            <v>0</v>
          </cell>
          <cell r="AB12">
            <v>0</v>
          </cell>
          <cell r="AK12">
            <v>0</v>
          </cell>
          <cell r="AT12">
            <v>0</v>
          </cell>
          <cell r="BC12">
            <v>0</v>
          </cell>
          <cell r="BL12">
            <v>0</v>
          </cell>
          <cell r="BU12">
            <v>0</v>
          </cell>
          <cell r="CD12">
            <v>0</v>
          </cell>
          <cell r="CM12">
            <v>0</v>
          </cell>
          <cell r="CV12">
            <v>0</v>
          </cell>
          <cell r="DE12">
            <v>0</v>
          </cell>
        </row>
        <row r="13">
          <cell r="J13">
            <v>0</v>
          </cell>
          <cell r="S13">
            <v>0</v>
          </cell>
          <cell r="AB13">
            <v>0</v>
          </cell>
          <cell r="AK13">
            <v>0</v>
          </cell>
          <cell r="AT13">
            <v>0</v>
          </cell>
          <cell r="BC13">
            <v>0</v>
          </cell>
          <cell r="BL13">
            <v>0</v>
          </cell>
          <cell r="BU13">
            <v>0</v>
          </cell>
          <cell r="CD13">
            <v>0</v>
          </cell>
          <cell r="CM13">
            <v>0</v>
          </cell>
          <cell r="CV13">
            <v>0</v>
          </cell>
          <cell r="DE13">
            <v>0</v>
          </cell>
        </row>
        <row r="14">
          <cell r="J14">
            <v>0.87</v>
          </cell>
          <cell r="S14">
            <v>0</v>
          </cell>
          <cell r="AB14">
            <v>0</v>
          </cell>
          <cell r="AK14">
            <v>0</v>
          </cell>
          <cell r="AT14">
            <v>0</v>
          </cell>
          <cell r="BC14">
            <v>0</v>
          </cell>
          <cell r="BL14">
            <v>0</v>
          </cell>
          <cell r="BU14">
            <v>0</v>
          </cell>
          <cell r="CD14">
            <v>0</v>
          </cell>
          <cell r="CM14">
            <v>0</v>
          </cell>
          <cell r="CV14">
            <v>0</v>
          </cell>
          <cell r="DE14">
            <v>0</v>
          </cell>
        </row>
        <row r="15">
          <cell r="J15">
            <v>2532.5100000000002</v>
          </cell>
          <cell r="S15">
            <v>0</v>
          </cell>
          <cell r="AB15">
            <v>0</v>
          </cell>
          <cell r="AK15">
            <v>0</v>
          </cell>
          <cell r="AT15">
            <v>0</v>
          </cell>
          <cell r="BC15">
            <v>0</v>
          </cell>
          <cell r="BL15">
            <v>0</v>
          </cell>
          <cell r="BU15">
            <v>0</v>
          </cell>
          <cell r="CD15">
            <v>0</v>
          </cell>
          <cell r="CM15">
            <v>0</v>
          </cell>
          <cell r="CV15">
            <v>0</v>
          </cell>
          <cell r="DE15">
            <v>0</v>
          </cell>
        </row>
        <row r="16">
          <cell r="J16">
            <v>2790.15</v>
          </cell>
          <cell r="S16">
            <v>0</v>
          </cell>
          <cell r="AB16">
            <v>0</v>
          </cell>
          <cell r="AK16">
            <v>0</v>
          </cell>
          <cell r="AT16">
            <v>0</v>
          </cell>
          <cell r="BC16">
            <v>0</v>
          </cell>
          <cell r="BL16">
            <v>0</v>
          </cell>
          <cell r="BU16">
            <v>0</v>
          </cell>
          <cell r="CD16">
            <v>0</v>
          </cell>
          <cell r="CM16">
            <v>0</v>
          </cell>
          <cell r="CV16">
            <v>0</v>
          </cell>
          <cell r="DE16">
            <v>0</v>
          </cell>
        </row>
        <row r="17">
          <cell r="J17">
            <v>0</v>
          </cell>
          <cell r="S17">
            <v>0</v>
          </cell>
          <cell r="AB17">
            <v>0</v>
          </cell>
          <cell r="AK17">
            <v>0</v>
          </cell>
          <cell r="AT17">
            <v>0</v>
          </cell>
          <cell r="BC17">
            <v>0</v>
          </cell>
          <cell r="BL17">
            <v>0</v>
          </cell>
          <cell r="BU17">
            <v>0</v>
          </cell>
          <cell r="CD17">
            <v>0</v>
          </cell>
          <cell r="CM17">
            <v>0</v>
          </cell>
          <cell r="CV17">
            <v>0</v>
          </cell>
          <cell r="DE17">
            <v>0</v>
          </cell>
        </row>
        <row r="18">
          <cell r="J18">
            <v>0</v>
          </cell>
          <cell r="S18">
            <v>0</v>
          </cell>
          <cell r="AB18">
            <v>0</v>
          </cell>
          <cell r="AK18">
            <v>0</v>
          </cell>
          <cell r="AT18">
            <v>0</v>
          </cell>
          <cell r="BC18">
            <v>0</v>
          </cell>
          <cell r="BL18">
            <v>0</v>
          </cell>
          <cell r="BU18">
            <v>0</v>
          </cell>
          <cell r="CD18">
            <v>0</v>
          </cell>
          <cell r="CM18">
            <v>0</v>
          </cell>
          <cell r="CV18">
            <v>0</v>
          </cell>
          <cell r="DE18">
            <v>0</v>
          </cell>
        </row>
        <row r="19">
          <cell r="J19">
            <v>0</v>
          </cell>
          <cell r="S19">
            <v>0</v>
          </cell>
          <cell r="AB19">
            <v>0</v>
          </cell>
          <cell r="AK19">
            <v>0</v>
          </cell>
          <cell r="AT19">
            <v>0</v>
          </cell>
          <cell r="BC19">
            <v>0</v>
          </cell>
          <cell r="BL19">
            <v>0</v>
          </cell>
          <cell r="BU19">
            <v>0</v>
          </cell>
          <cell r="CD19">
            <v>0</v>
          </cell>
          <cell r="CM19">
            <v>0</v>
          </cell>
          <cell r="CV19">
            <v>0</v>
          </cell>
          <cell r="DE19">
            <v>0</v>
          </cell>
        </row>
        <row r="20">
          <cell r="J20">
            <v>0</v>
          </cell>
          <cell r="S20">
            <v>0</v>
          </cell>
          <cell r="AB20">
            <v>0</v>
          </cell>
          <cell r="AK20">
            <v>0</v>
          </cell>
          <cell r="AT20">
            <v>0</v>
          </cell>
          <cell r="BC20">
            <v>0</v>
          </cell>
          <cell r="BL20">
            <v>0</v>
          </cell>
          <cell r="BU20">
            <v>0</v>
          </cell>
          <cell r="CD20">
            <v>0</v>
          </cell>
          <cell r="CM20">
            <v>0</v>
          </cell>
          <cell r="CV20">
            <v>0</v>
          </cell>
          <cell r="DE20">
            <v>0</v>
          </cell>
        </row>
        <row r="21">
          <cell r="J21">
            <v>2790.15</v>
          </cell>
          <cell r="S21">
            <v>0</v>
          </cell>
          <cell r="AB21">
            <v>0</v>
          </cell>
          <cell r="AK21">
            <v>0</v>
          </cell>
          <cell r="AT21">
            <v>0</v>
          </cell>
          <cell r="BC21">
            <v>0</v>
          </cell>
          <cell r="BL21">
            <v>0</v>
          </cell>
          <cell r="BU21">
            <v>0</v>
          </cell>
          <cell r="CD21">
            <v>0</v>
          </cell>
          <cell r="CM21">
            <v>0</v>
          </cell>
          <cell r="CV21">
            <v>0</v>
          </cell>
          <cell r="DE21">
            <v>0</v>
          </cell>
        </row>
        <row r="22">
          <cell r="J22">
            <v>1250.54</v>
          </cell>
          <cell r="S22">
            <v>0</v>
          </cell>
          <cell r="AB22">
            <v>0</v>
          </cell>
          <cell r="AK22">
            <v>0</v>
          </cell>
          <cell r="AT22">
            <v>0</v>
          </cell>
          <cell r="BC22">
            <v>0</v>
          </cell>
          <cell r="BL22">
            <v>0</v>
          </cell>
          <cell r="BU22">
            <v>0</v>
          </cell>
          <cell r="CD22">
            <v>0</v>
          </cell>
          <cell r="CM22">
            <v>0</v>
          </cell>
          <cell r="CV22">
            <v>0</v>
          </cell>
          <cell r="DE22">
            <v>0</v>
          </cell>
        </row>
        <row r="23">
          <cell r="J23">
            <v>0</v>
          </cell>
          <cell r="DE23">
            <v>0</v>
          </cell>
        </row>
        <row r="24">
          <cell r="J24">
            <v>0</v>
          </cell>
          <cell r="DE24">
            <v>0</v>
          </cell>
        </row>
        <row r="25">
          <cell r="J25">
            <v>0</v>
          </cell>
          <cell r="DE25">
            <v>0</v>
          </cell>
        </row>
        <row r="26">
          <cell r="J26">
            <v>0</v>
          </cell>
          <cell r="DE26">
            <v>0</v>
          </cell>
        </row>
        <row r="27">
          <cell r="J27">
            <v>702.42000000000007</v>
          </cell>
          <cell r="S27">
            <v>0</v>
          </cell>
          <cell r="AB27">
            <v>0</v>
          </cell>
          <cell r="AK27">
            <v>0</v>
          </cell>
          <cell r="AT27">
            <v>0</v>
          </cell>
          <cell r="BC27">
            <v>0</v>
          </cell>
          <cell r="BL27">
            <v>0</v>
          </cell>
          <cell r="BU27">
            <v>0</v>
          </cell>
          <cell r="CD27">
            <v>0</v>
          </cell>
          <cell r="CM27">
            <v>0</v>
          </cell>
          <cell r="CV27">
            <v>0</v>
          </cell>
          <cell r="DE27">
            <v>0</v>
          </cell>
        </row>
        <row r="28">
          <cell r="J28">
            <v>1952.96</v>
          </cell>
          <cell r="S28">
            <v>0</v>
          </cell>
          <cell r="AB28">
            <v>0</v>
          </cell>
          <cell r="AK28">
            <v>0</v>
          </cell>
          <cell r="AT28">
            <v>0</v>
          </cell>
          <cell r="BC28">
            <v>0</v>
          </cell>
          <cell r="BL28">
            <v>0</v>
          </cell>
          <cell r="BU28">
            <v>0</v>
          </cell>
          <cell r="CD28">
            <v>0</v>
          </cell>
          <cell r="CM28">
            <v>0</v>
          </cell>
          <cell r="CV28">
            <v>0</v>
          </cell>
          <cell r="DE28">
            <v>0</v>
          </cell>
        </row>
        <row r="29">
          <cell r="J29">
            <v>0</v>
          </cell>
          <cell r="S29">
            <v>0</v>
          </cell>
          <cell r="AB29">
            <v>0</v>
          </cell>
          <cell r="AK29">
            <v>0</v>
          </cell>
          <cell r="AT29">
            <v>0</v>
          </cell>
          <cell r="BC29">
            <v>0</v>
          </cell>
          <cell r="BL29">
            <v>0</v>
          </cell>
          <cell r="BU29">
            <v>0</v>
          </cell>
          <cell r="CD29">
            <v>0</v>
          </cell>
          <cell r="CM29">
            <v>0</v>
          </cell>
          <cell r="CV29">
            <v>0</v>
          </cell>
          <cell r="DE29">
            <v>0</v>
          </cell>
        </row>
        <row r="30">
          <cell r="J30">
            <v>269.83</v>
          </cell>
          <cell r="S30">
            <v>0</v>
          </cell>
          <cell r="AB30">
            <v>0</v>
          </cell>
          <cell r="AK30">
            <v>0</v>
          </cell>
          <cell r="AT30">
            <v>0</v>
          </cell>
          <cell r="BC30">
            <v>0</v>
          </cell>
          <cell r="BL30">
            <v>0</v>
          </cell>
          <cell r="BU30">
            <v>0</v>
          </cell>
          <cell r="CD30">
            <v>0</v>
          </cell>
          <cell r="CM30">
            <v>0</v>
          </cell>
          <cell r="CV30">
            <v>0</v>
          </cell>
          <cell r="DE30">
            <v>0</v>
          </cell>
        </row>
        <row r="31">
          <cell r="J31">
            <v>0</v>
          </cell>
          <cell r="S31">
            <v>0</v>
          </cell>
          <cell r="AB31">
            <v>0</v>
          </cell>
          <cell r="AK31">
            <v>0</v>
          </cell>
          <cell r="AT31">
            <v>0</v>
          </cell>
          <cell r="BC31">
            <v>0</v>
          </cell>
          <cell r="BL31">
            <v>0</v>
          </cell>
          <cell r="BU31">
            <v>0</v>
          </cell>
          <cell r="CD31">
            <v>0</v>
          </cell>
          <cell r="CM31">
            <v>0</v>
          </cell>
          <cell r="CV31">
            <v>0</v>
          </cell>
          <cell r="DE31">
            <v>0</v>
          </cell>
        </row>
        <row r="32">
          <cell r="J32">
            <v>269.83</v>
          </cell>
          <cell r="S32">
            <v>0</v>
          </cell>
          <cell r="AB32">
            <v>0</v>
          </cell>
          <cell r="AK32">
            <v>0</v>
          </cell>
          <cell r="AT32">
            <v>0</v>
          </cell>
          <cell r="BC32">
            <v>0</v>
          </cell>
          <cell r="BL32">
            <v>0</v>
          </cell>
          <cell r="BU32">
            <v>0</v>
          </cell>
          <cell r="CD32">
            <v>0</v>
          </cell>
          <cell r="CM32">
            <v>0</v>
          </cell>
          <cell r="CV32">
            <v>0</v>
          </cell>
          <cell r="DE32">
            <v>0</v>
          </cell>
        </row>
        <row r="33">
          <cell r="J33">
            <v>2222.79</v>
          </cell>
          <cell r="S33">
            <v>0</v>
          </cell>
          <cell r="AB33">
            <v>0</v>
          </cell>
          <cell r="AK33">
            <v>0</v>
          </cell>
          <cell r="AT33">
            <v>0</v>
          </cell>
          <cell r="BC33">
            <v>0</v>
          </cell>
          <cell r="BL33">
            <v>0</v>
          </cell>
          <cell r="BU33">
            <v>0</v>
          </cell>
          <cell r="CD33">
            <v>0</v>
          </cell>
          <cell r="CM33">
            <v>0</v>
          </cell>
          <cell r="CV33">
            <v>0</v>
          </cell>
          <cell r="DE33">
            <v>0</v>
          </cell>
        </row>
        <row r="34">
          <cell r="J34">
            <v>567.36000000000013</v>
          </cell>
          <cell r="S34">
            <v>0</v>
          </cell>
          <cell r="AB34">
            <v>0</v>
          </cell>
          <cell r="AK34">
            <v>0</v>
          </cell>
          <cell r="AT34">
            <v>0</v>
          </cell>
          <cell r="BC34">
            <v>0</v>
          </cell>
          <cell r="BL34">
            <v>0</v>
          </cell>
          <cell r="BU34">
            <v>0</v>
          </cell>
          <cell r="CD34">
            <v>0</v>
          </cell>
          <cell r="CM34">
            <v>0</v>
          </cell>
          <cell r="CV34">
            <v>0</v>
          </cell>
          <cell r="DE34">
            <v>0</v>
          </cell>
        </row>
        <row r="35">
          <cell r="J35">
            <v>0.20334390624159995</v>
          </cell>
          <cell r="S35">
            <v>0</v>
          </cell>
          <cell r="AB35">
            <v>0</v>
          </cell>
          <cell r="AK35">
            <v>0</v>
          </cell>
          <cell r="AT35">
            <v>0</v>
          </cell>
          <cell r="BC35">
            <v>0</v>
          </cell>
          <cell r="BL35">
            <v>0</v>
          </cell>
          <cell r="BU35">
            <v>0</v>
          </cell>
          <cell r="CD35">
            <v>0</v>
          </cell>
          <cell r="CM35">
            <v>0</v>
          </cell>
          <cell r="CV35">
            <v>0</v>
          </cell>
          <cell r="DE35">
            <v>0</v>
          </cell>
        </row>
        <row r="36">
          <cell r="J36">
            <v>48.7</v>
          </cell>
          <cell r="S36">
            <v>0</v>
          </cell>
          <cell r="AB36">
            <v>0</v>
          </cell>
          <cell r="AK36">
            <v>0</v>
          </cell>
          <cell r="AT36">
            <v>0</v>
          </cell>
          <cell r="BC36">
            <v>0</v>
          </cell>
          <cell r="BL36">
            <v>0</v>
          </cell>
          <cell r="BU36">
            <v>0</v>
          </cell>
          <cell r="CD36">
            <v>0</v>
          </cell>
          <cell r="CM36">
            <v>0</v>
          </cell>
          <cell r="CV36">
            <v>0</v>
          </cell>
          <cell r="DE36">
            <v>0</v>
          </cell>
        </row>
        <row r="37">
          <cell r="J37">
            <v>0</v>
          </cell>
          <cell r="S37">
            <v>0</v>
          </cell>
          <cell r="AB37">
            <v>0</v>
          </cell>
          <cell r="AK37">
            <v>0</v>
          </cell>
          <cell r="AT37">
            <v>0</v>
          </cell>
          <cell r="BC37">
            <v>0</v>
          </cell>
          <cell r="BL37">
            <v>0</v>
          </cell>
          <cell r="BU37">
            <v>0</v>
          </cell>
          <cell r="CD37">
            <v>0</v>
          </cell>
          <cell r="CM37">
            <v>0</v>
          </cell>
          <cell r="CV37">
            <v>0</v>
          </cell>
          <cell r="DE37">
            <v>0</v>
          </cell>
        </row>
        <row r="38">
          <cell r="J38">
            <v>3.06</v>
          </cell>
          <cell r="S38">
            <v>0</v>
          </cell>
          <cell r="AB38">
            <v>0</v>
          </cell>
          <cell r="AK38">
            <v>0</v>
          </cell>
          <cell r="AT38">
            <v>0</v>
          </cell>
          <cell r="BC38">
            <v>0</v>
          </cell>
          <cell r="BL38">
            <v>0</v>
          </cell>
          <cell r="BU38">
            <v>0</v>
          </cell>
          <cell r="CD38">
            <v>0</v>
          </cell>
          <cell r="CM38">
            <v>0</v>
          </cell>
          <cell r="CV38">
            <v>0</v>
          </cell>
          <cell r="DE38">
            <v>0</v>
          </cell>
        </row>
        <row r="39">
          <cell r="J39">
            <v>0.2</v>
          </cell>
          <cell r="S39">
            <v>0</v>
          </cell>
          <cell r="AB39">
            <v>0</v>
          </cell>
          <cell r="AK39">
            <v>0</v>
          </cell>
          <cell r="AT39">
            <v>0</v>
          </cell>
          <cell r="BC39">
            <v>0</v>
          </cell>
          <cell r="BL39">
            <v>0</v>
          </cell>
          <cell r="BU39">
            <v>0</v>
          </cell>
          <cell r="CD39">
            <v>0</v>
          </cell>
          <cell r="CM39">
            <v>0</v>
          </cell>
          <cell r="CV39">
            <v>0</v>
          </cell>
          <cell r="DE39">
            <v>0</v>
          </cell>
        </row>
        <row r="40">
          <cell r="J40">
            <v>21.6</v>
          </cell>
          <cell r="S40">
            <v>0</v>
          </cell>
          <cell r="AB40">
            <v>0</v>
          </cell>
          <cell r="AK40">
            <v>0</v>
          </cell>
          <cell r="AT40">
            <v>0</v>
          </cell>
          <cell r="BC40">
            <v>0</v>
          </cell>
          <cell r="BL40">
            <v>0</v>
          </cell>
          <cell r="BU40">
            <v>0</v>
          </cell>
          <cell r="CD40">
            <v>0</v>
          </cell>
          <cell r="CM40">
            <v>0</v>
          </cell>
          <cell r="CV40">
            <v>0</v>
          </cell>
          <cell r="DE40">
            <v>0</v>
          </cell>
        </row>
        <row r="41">
          <cell r="J41">
            <v>0</v>
          </cell>
          <cell r="S41">
            <v>0</v>
          </cell>
          <cell r="AB41">
            <v>0</v>
          </cell>
          <cell r="AK41">
            <v>0</v>
          </cell>
          <cell r="AT41">
            <v>0</v>
          </cell>
          <cell r="BC41">
            <v>0</v>
          </cell>
          <cell r="BL41">
            <v>0</v>
          </cell>
          <cell r="BU41">
            <v>0</v>
          </cell>
          <cell r="CD41">
            <v>0</v>
          </cell>
          <cell r="CM41">
            <v>0</v>
          </cell>
          <cell r="CV41">
            <v>0</v>
          </cell>
          <cell r="DE41">
            <v>0</v>
          </cell>
        </row>
        <row r="42">
          <cell r="J42">
            <v>0.05</v>
          </cell>
          <cell r="S42">
            <v>0</v>
          </cell>
          <cell r="AB42">
            <v>0</v>
          </cell>
          <cell r="AK42">
            <v>0</v>
          </cell>
          <cell r="AT42">
            <v>0</v>
          </cell>
          <cell r="BC42">
            <v>0</v>
          </cell>
          <cell r="BL42">
            <v>0</v>
          </cell>
          <cell r="BU42">
            <v>0</v>
          </cell>
          <cell r="CD42">
            <v>0</v>
          </cell>
          <cell r="CM42">
            <v>0</v>
          </cell>
          <cell r="CV42">
            <v>0</v>
          </cell>
          <cell r="DE42">
            <v>0</v>
          </cell>
        </row>
        <row r="43">
          <cell r="J43">
            <v>0</v>
          </cell>
          <cell r="S43">
            <v>0</v>
          </cell>
          <cell r="AB43">
            <v>0</v>
          </cell>
          <cell r="AK43">
            <v>0</v>
          </cell>
          <cell r="AT43">
            <v>0</v>
          </cell>
          <cell r="BC43">
            <v>0</v>
          </cell>
          <cell r="BL43">
            <v>0</v>
          </cell>
          <cell r="BU43">
            <v>0</v>
          </cell>
          <cell r="CD43">
            <v>0</v>
          </cell>
          <cell r="CM43">
            <v>0</v>
          </cell>
          <cell r="CV43">
            <v>0</v>
          </cell>
          <cell r="DE43">
            <v>0</v>
          </cell>
        </row>
        <row r="44">
          <cell r="J44">
            <v>0.91999999999999993</v>
          </cell>
          <cell r="S44">
            <v>0</v>
          </cell>
          <cell r="AB44">
            <v>0</v>
          </cell>
          <cell r="AK44">
            <v>0</v>
          </cell>
          <cell r="AT44">
            <v>0</v>
          </cell>
          <cell r="BC44">
            <v>0</v>
          </cell>
          <cell r="BL44">
            <v>0</v>
          </cell>
          <cell r="BU44">
            <v>0</v>
          </cell>
          <cell r="CD44">
            <v>0</v>
          </cell>
          <cell r="CM44">
            <v>0</v>
          </cell>
          <cell r="CV44">
            <v>0</v>
          </cell>
          <cell r="DE44">
            <v>0</v>
          </cell>
        </row>
        <row r="45">
          <cell r="J45">
            <v>0</v>
          </cell>
          <cell r="S45">
            <v>0</v>
          </cell>
          <cell r="AB45">
            <v>0</v>
          </cell>
          <cell r="AK45">
            <v>0</v>
          </cell>
          <cell r="AT45">
            <v>0</v>
          </cell>
          <cell r="BC45">
            <v>0</v>
          </cell>
          <cell r="BL45">
            <v>0</v>
          </cell>
          <cell r="BU45">
            <v>0</v>
          </cell>
          <cell r="CD45">
            <v>0</v>
          </cell>
          <cell r="CM45">
            <v>0</v>
          </cell>
          <cell r="CV45">
            <v>0</v>
          </cell>
          <cell r="DE45">
            <v>0</v>
          </cell>
        </row>
        <row r="46">
          <cell r="J46">
            <v>0</v>
          </cell>
          <cell r="S46">
            <v>0</v>
          </cell>
          <cell r="AB46">
            <v>0</v>
          </cell>
          <cell r="AK46">
            <v>0</v>
          </cell>
          <cell r="AT46">
            <v>0</v>
          </cell>
          <cell r="BC46">
            <v>0</v>
          </cell>
          <cell r="BL46">
            <v>0</v>
          </cell>
          <cell r="BU46">
            <v>0</v>
          </cell>
          <cell r="CD46">
            <v>0</v>
          </cell>
          <cell r="CM46">
            <v>0</v>
          </cell>
          <cell r="CV46">
            <v>0</v>
          </cell>
          <cell r="DE46">
            <v>0</v>
          </cell>
        </row>
        <row r="47">
          <cell r="J47">
            <v>0</v>
          </cell>
          <cell r="S47">
            <v>0</v>
          </cell>
          <cell r="AB47">
            <v>0</v>
          </cell>
          <cell r="AK47">
            <v>0</v>
          </cell>
          <cell r="AT47">
            <v>0</v>
          </cell>
          <cell r="BC47">
            <v>0</v>
          </cell>
          <cell r="BL47">
            <v>0</v>
          </cell>
          <cell r="BU47">
            <v>0</v>
          </cell>
          <cell r="CD47">
            <v>0</v>
          </cell>
          <cell r="CM47">
            <v>0</v>
          </cell>
          <cell r="CV47">
            <v>0</v>
          </cell>
          <cell r="DE47">
            <v>0</v>
          </cell>
        </row>
        <row r="48">
          <cell r="J48">
            <v>0</v>
          </cell>
          <cell r="S48">
            <v>0</v>
          </cell>
          <cell r="AB48">
            <v>0</v>
          </cell>
          <cell r="AK48">
            <v>0</v>
          </cell>
          <cell r="AT48">
            <v>0</v>
          </cell>
          <cell r="BC48">
            <v>0</v>
          </cell>
          <cell r="BL48">
            <v>0</v>
          </cell>
          <cell r="BU48">
            <v>0</v>
          </cell>
          <cell r="CD48">
            <v>0</v>
          </cell>
          <cell r="CM48">
            <v>0</v>
          </cell>
          <cell r="CV48">
            <v>0</v>
          </cell>
          <cell r="DE48">
            <v>0</v>
          </cell>
        </row>
        <row r="49">
          <cell r="J49">
            <v>0</v>
          </cell>
          <cell r="S49">
            <v>0</v>
          </cell>
          <cell r="AB49">
            <v>0</v>
          </cell>
          <cell r="AK49">
            <v>0</v>
          </cell>
          <cell r="AT49">
            <v>0</v>
          </cell>
          <cell r="BC49">
            <v>0</v>
          </cell>
          <cell r="BL49">
            <v>0</v>
          </cell>
          <cell r="BU49">
            <v>0</v>
          </cell>
          <cell r="CD49">
            <v>0</v>
          </cell>
          <cell r="CM49">
            <v>0</v>
          </cell>
          <cell r="CV49">
            <v>0</v>
          </cell>
          <cell r="DE49">
            <v>0</v>
          </cell>
        </row>
        <row r="50">
          <cell r="J50">
            <v>74.53</v>
          </cell>
          <cell r="S50">
            <v>0</v>
          </cell>
          <cell r="AB50">
            <v>0</v>
          </cell>
          <cell r="AK50">
            <v>0</v>
          </cell>
          <cell r="AT50">
            <v>0</v>
          </cell>
          <cell r="BC50">
            <v>0</v>
          </cell>
          <cell r="BL50">
            <v>0</v>
          </cell>
          <cell r="BU50">
            <v>0</v>
          </cell>
          <cell r="CD50">
            <v>0</v>
          </cell>
          <cell r="CM50">
            <v>0</v>
          </cell>
          <cell r="CV50">
            <v>0</v>
          </cell>
          <cell r="DE50">
            <v>0</v>
          </cell>
        </row>
        <row r="51">
          <cell r="J51">
            <v>0</v>
          </cell>
          <cell r="S51">
            <v>0</v>
          </cell>
          <cell r="AB51">
            <v>0</v>
          </cell>
          <cell r="AK51">
            <v>0</v>
          </cell>
          <cell r="AT51">
            <v>0</v>
          </cell>
          <cell r="BC51">
            <v>0</v>
          </cell>
          <cell r="BL51">
            <v>0</v>
          </cell>
          <cell r="BU51">
            <v>0</v>
          </cell>
          <cell r="CD51">
            <v>0</v>
          </cell>
          <cell r="CM51">
            <v>0</v>
          </cell>
          <cell r="CV51">
            <v>0</v>
          </cell>
          <cell r="DE51">
            <v>0</v>
          </cell>
        </row>
        <row r="52">
          <cell r="J52">
            <v>1.6</v>
          </cell>
          <cell r="S52">
            <v>0</v>
          </cell>
          <cell r="AB52">
            <v>0</v>
          </cell>
          <cell r="AK52">
            <v>0</v>
          </cell>
          <cell r="AT52">
            <v>0</v>
          </cell>
          <cell r="BC52">
            <v>0</v>
          </cell>
          <cell r="BL52">
            <v>0</v>
          </cell>
          <cell r="BU52">
            <v>0</v>
          </cell>
          <cell r="CD52">
            <v>0</v>
          </cell>
          <cell r="CM52">
            <v>0</v>
          </cell>
          <cell r="CV52">
            <v>0</v>
          </cell>
          <cell r="DE52">
            <v>0</v>
          </cell>
        </row>
        <row r="53">
          <cell r="J53">
            <v>0</v>
          </cell>
          <cell r="S53">
            <v>0</v>
          </cell>
          <cell r="AB53">
            <v>0</v>
          </cell>
          <cell r="AK53">
            <v>0</v>
          </cell>
          <cell r="AT53">
            <v>0</v>
          </cell>
          <cell r="BC53">
            <v>0</v>
          </cell>
          <cell r="BL53">
            <v>0</v>
          </cell>
          <cell r="BU53">
            <v>0</v>
          </cell>
          <cell r="CD53">
            <v>0</v>
          </cell>
          <cell r="CM53">
            <v>0</v>
          </cell>
          <cell r="CV53">
            <v>0</v>
          </cell>
          <cell r="DE53">
            <v>0</v>
          </cell>
        </row>
        <row r="54">
          <cell r="J54">
            <v>0</v>
          </cell>
          <cell r="S54">
            <v>0</v>
          </cell>
          <cell r="AB54">
            <v>0</v>
          </cell>
          <cell r="AK54">
            <v>0</v>
          </cell>
          <cell r="AT54">
            <v>0</v>
          </cell>
          <cell r="BC54">
            <v>0</v>
          </cell>
          <cell r="BL54">
            <v>0</v>
          </cell>
          <cell r="BU54">
            <v>0</v>
          </cell>
          <cell r="CD54">
            <v>0</v>
          </cell>
          <cell r="CM54">
            <v>0</v>
          </cell>
          <cell r="CV54">
            <v>0</v>
          </cell>
          <cell r="DE54">
            <v>0</v>
          </cell>
        </row>
        <row r="55">
          <cell r="J55">
            <v>0</v>
          </cell>
          <cell r="S55">
            <v>0</v>
          </cell>
          <cell r="AB55">
            <v>0</v>
          </cell>
          <cell r="AK55">
            <v>0</v>
          </cell>
          <cell r="AT55">
            <v>0</v>
          </cell>
          <cell r="BC55">
            <v>0</v>
          </cell>
          <cell r="BL55">
            <v>0</v>
          </cell>
          <cell r="BU55">
            <v>0</v>
          </cell>
          <cell r="CD55">
            <v>0</v>
          </cell>
          <cell r="CM55">
            <v>0</v>
          </cell>
          <cell r="CV55">
            <v>0</v>
          </cell>
          <cell r="DE55">
            <v>0</v>
          </cell>
        </row>
        <row r="56">
          <cell r="J56">
            <v>1.6</v>
          </cell>
          <cell r="S56">
            <v>0</v>
          </cell>
          <cell r="AB56">
            <v>0</v>
          </cell>
          <cell r="AK56">
            <v>0</v>
          </cell>
          <cell r="AT56">
            <v>0</v>
          </cell>
          <cell r="BC56">
            <v>0</v>
          </cell>
          <cell r="BL56">
            <v>0</v>
          </cell>
          <cell r="BU56">
            <v>0</v>
          </cell>
          <cell r="CD56">
            <v>0</v>
          </cell>
          <cell r="CM56">
            <v>0</v>
          </cell>
          <cell r="CV56">
            <v>0</v>
          </cell>
          <cell r="DE56">
            <v>0</v>
          </cell>
        </row>
        <row r="57">
          <cell r="J57">
            <v>1.94</v>
          </cell>
          <cell r="S57">
            <v>0</v>
          </cell>
          <cell r="AB57">
            <v>0</v>
          </cell>
          <cell r="AK57">
            <v>0</v>
          </cell>
          <cell r="AT57">
            <v>0</v>
          </cell>
          <cell r="BC57">
            <v>0</v>
          </cell>
          <cell r="BL57">
            <v>0</v>
          </cell>
          <cell r="BU57">
            <v>0</v>
          </cell>
          <cell r="CD57">
            <v>0</v>
          </cell>
          <cell r="CM57">
            <v>0</v>
          </cell>
          <cell r="CV57">
            <v>0</v>
          </cell>
          <cell r="DE57">
            <v>0</v>
          </cell>
        </row>
        <row r="58">
          <cell r="J58">
            <v>0</v>
          </cell>
          <cell r="S58">
            <v>0</v>
          </cell>
          <cell r="AB58">
            <v>0</v>
          </cell>
          <cell r="AK58">
            <v>0</v>
          </cell>
          <cell r="AT58">
            <v>0</v>
          </cell>
          <cell r="BC58">
            <v>0</v>
          </cell>
          <cell r="BL58">
            <v>0</v>
          </cell>
          <cell r="BU58">
            <v>0</v>
          </cell>
          <cell r="CD58">
            <v>0</v>
          </cell>
          <cell r="CM58">
            <v>0</v>
          </cell>
          <cell r="CV58">
            <v>0</v>
          </cell>
          <cell r="DE58">
            <v>0</v>
          </cell>
        </row>
        <row r="59">
          <cell r="J59">
            <v>0</v>
          </cell>
          <cell r="S59">
            <v>0</v>
          </cell>
          <cell r="AB59">
            <v>0</v>
          </cell>
          <cell r="AK59">
            <v>0</v>
          </cell>
          <cell r="AT59">
            <v>0</v>
          </cell>
          <cell r="BC59">
            <v>0</v>
          </cell>
          <cell r="BL59">
            <v>0</v>
          </cell>
          <cell r="BU59">
            <v>0</v>
          </cell>
          <cell r="CD59">
            <v>0</v>
          </cell>
          <cell r="CM59">
            <v>0</v>
          </cell>
          <cell r="CV59">
            <v>0</v>
          </cell>
          <cell r="DE59">
            <v>0</v>
          </cell>
        </row>
        <row r="60">
          <cell r="J60">
            <v>0.21</v>
          </cell>
          <cell r="S60">
            <v>0</v>
          </cell>
          <cell r="AB60">
            <v>0</v>
          </cell>
          <cell r="AK60">
            <v>0</v>
          </cell>
          <cell r="AT60">
            <v>0</v>
          </cell>
          <cell r="BC60">
            <v>0</v>
          </cell>
          <cell r="BL60">
            <v>0</v>
          </cell>
          <cell r="BU60">
            <v>0</v>
          </cell>
          <cell r="CD60">
            <v>0</v>
          </cell>
          <cell r="CM60">
            <v>0</v>
          </cell>
          <cell r="CV60">
            <v>0</v>
          </cell>
          <cell r="DE60">
            <v>0</v>
          </cell>
        </row>
        <row r="61">
          <cell r="J61">
            <v>0</v>
          </cell>
          <cell r="S61">
            <v>0</v>
          </cell>
          <cell r="AB61">
            <v>0</v>
          </cell>
          <cell r="AK61">
            <v>0</v>
          </cell>
          <cell r="AT61">
            <v>0</v>
          </cell>
          <cell r="BC61">
            <v>0</v>
          </cell>
          <cell r="BL61">
            <v>0</v>
          </cell>
          <cell r="BU61">
            <v>0</v>
          </cell>
          <cell r="CD61">
            <v>0</v>
          </cell>
          <cell r="CM61">
            <v>0</v>
          </cell>
          <cell r="CV61">
            <v>0</v>
          </cell>
          <cell r="DE61">
            <v>0</v>
          </cell>
        </row>
        <row r="62">
          <cell r="J62">
            <v>0</v>
          </cell>
          <cell r="S62">
            <v>0</v>
          </cell>
          <cell r="AB62">
            <v>0</v>
          </cell>
          <cell r="AK62">
            <v>0</v>
          </cell>
          <cell r="AT62">
            <v>0</v>
          </cell>
          <cell r="BC62">
            <v>0</v>
          </cell>
          <cell r="BL62">
            <v>0</v>
          </cell>
          <cell r="BU62">
            <v>0</v>
          </cell>
          <cell r="CD62">
            <v>0</v>
          </cell>
          <cell r="CM62">
            <v>0</v>
          </cell>
          <cell r="CV62">
            <v>0</v>
          </cell>
          <cell r="DE62">
            <v>0</v>
          </cell>
        </row>
        <row r="63">
          <cell r="J63">
            <v>0</v>
          </cell>
          <cell r="S63">
            <v>0</v>
          </cell>
          <cell r="AB63">
            <v>0</v>
          </cell>
          <cell r="AK63">
            <v>0</v>
          </cell>
          <cell r="AT63">
            <v>0</v>
          </cell>
          <cell r="BC63">
            <v>0</v>
          </cell>
          <cell r="BL63">
            <v>0</v>
          </cell>
          <cell r="BU63">
            <v>0</v>
          </cell>
          <cell r="CD63">
            <v>0</v>
          </cell>
          <cell r="CM63">
            <v>0</v>
          </cell>
          <cell r="CV63">
            <v>0</v>
          </cell>
          <cell r="DE63">
            <v>0</v>
          </cell>
        </row>
        <row r="64">
          <cell r="J64">
            <v>0</v>
          </cell>
          <cell r="S64">
            <v>0</v>
          </cell>
          <cell r="AB64">
            <v>0</v>
          </cell>
          <cell r="AK64">
            <v>0</v>
          </cell>
          <cell r="AT64">
            <v>0</v>
          </cell>
          <cell r="BC64">
            <v>0</v>
          </cell>
          <cell r="BL64">
            <v>0</v>
          </cell>
          <cell r="BU64">
            <v>0</v>
          </cell>
          <cell r="CD64">
            <v>0</v>
          </cell>
          <cell r="CM64">
            <v>0</v>
          </cell>
          <cell r="CV64">
            <v>0</v>
          </cell>
          <cell r="DE64">
            <v>0</v>
          </cell>
        </row>
        <row r="65">
          <cell r="J65">
            <v>0.21</v>
          </cell>
          <cell r="S65">
            <v>0</v>
          </cell>
          <cell r="AB65">
            <v>0</v>
          </cell>
          <cell r="AK65">
            <v>0</v>
          </cell>
          <cell r="AT65">
            <v>0</v>
          </cell>
          <cell r="BC65">
            <v>0</v>
          </cell>
          <cell r="BL65">
            <v>0</v>
          </cell>
          <cell r="BU65">
            <v>0</v>
          </cell>
          <cell r="CD65">
            <v>0</v>
          </cell>
          <cell r="CM65">
            <v>0</v>
          </cell>
          <cell r="CV65">
            <v>0</v>
          </cell>
          <cell r="DE65">
            <v>0</v>
          </cell>
        </row>
        <row r="66">
          <cell r="J66">
            <v>0</v>
          </cell>
          <cell r="S66">
            <v>0</v>
          </cell>
          <cell r="AB66">
            <v>0</v>
          </cell>
          <cell r="AK66">
            <v>0</v>
          </cell>
          <cell r="AT66">
            <v>0</v>
          </cell>
          <cell r="BC66">
            <v>0</v>
          </cell>
          <cell r="BL66">
            <v>0</v>
          </cell>
          <cell r="BU66">
            <v>0</v>
          </cell>
          <cell r="CD66">
            <v>0</v>
          </cell>
          <cell r="CM66">
            <v>0</v>
          </cell>
          <cell r="CV66">
            <v>0</v>
          </cell>
          <cell r="DE66">
            <v>0</v>
          </cell>
        </row>
        <row r="67">
          <cell r="J67">
            <v>0</v>
          </cell>
          <cell r="S67">
            <v>0</v>
          </cell>
          <cell r="AB67">
            <v>0</v>
          </cell>
          <cell r="AK67">
            <v>0</v>
          </cell>
          <cell r="AT67">
            <v>0</v>
          </cell>
          <cell r="BC67">
            <v>0</v>
          </cell>
          <cell r="BL67">
            <v>0</v>
          </cell>
          <cell r="BU67">
            <v>0</v>
          </cell>
          <cell r="CD67">
            <v>0</v>
          </cell>
          <cell r="CM67">
            <v>0</v>
          </cell>
          <cell r="CV67">
            <v>0</v>
          </cell>
          <cell r="DE67">
            <v>0</v>
          </cell>
        </row>
        <row r="68">
          <cell r="J68">
            <v>1.21</v>
          </cell>
          <cell r="S68">
            <v>0</v>
          </cell>
          <cell r="AB68">
            <v>0</v>
          </cell>
          <cell r="AK68">
            <v>0</v>
          </cell>
          <cell r="AT68">
            <v>0</v>
          </cell>
          <cell r="BC68">
            <v>0</v>
          </cell>
          <cell r="BL68">
            <v>0</v>
          </cell>
          <cell r="BU68">
            <v>0</v>
          </cell>
          <cell r="CD68">
            <v>0</v>
          </cell>
          <cell r="CM68">
            <v>0</v>
          </cell>
          <cell r="CV68">
            <v>0</v>
          </cell>
          <cell r="DE68">
            <v>0</v>
          </cell>
        </row>
        <row r="69">
          <cell r="J69">
            <v>0</v>
          </cell>
          <cell r="S69">
            <v>0</v>
          </cell>
          <cell r="AB69">
            <v>0</v>
          </cell>
          <cell r="AK69">
            <v>0</v>
          </cell>
          <cell r="AT69">
            <v>0</v>
          </cell>
          <cell r="BC69">
            <v>0</v>
          </cell>
          <cell r="BL69">
            <v>0</v>
          </cell>
          <cell r="BU69">
            <v>0</v>
          </cell>
          <cell r="CD69">
            <v>0</v>
          </cell>
          <cell r="CM69">
            <v>0</v>
          </cell>
          <cell r="CV69">
            <v>0</v>
          </cell>
          <cell r="DE69">
            <v>0</v>
          </cell>
        </row>
        <row r="70">
          <cell r="J70">
            <v>0</v>
          </cell>
          <cell r="S70">
            <v>0</v>
          </cell>
          <cell r="AB70">
            <v>0</v>
          </cell>
          <cell r="AK70">
            <v>0</v>
          </cell>
          <cell r="AT70">
            <v>0</v>
          </cell>
          <cell r="BC70">
            <v>0</v>
          </cell>
          <cell r="BL70">
            <v>0</v>
          </cell>
          <cell r="BU70">
            <v>0</v>
          </cell>
          <cell r="CD70">
            <v>0</v>
          </cell>
          <cell r="CM70">
            <v>0</v>
          </cell>
          <cell r="CV70">
            <v>0</v>
          </cell>
          <cell r="DE70">
            <v>0</v>
          </cell>
        </row>
        <row r="71">
          <cell r="J71">
            <v>0</v>
          </cell>
          <cell r="S71">
            <v>0</v>
          </cell>
          <cell r="AB71">
            <v>0</v>
          </cell>
          <cell r="AK71">
            <v>0</v>
          </cell>
          <cell r="AT71">
            <v>0</v>
          </cell>
          <cell r="BC71">
            <v>0</v>
          </cell>
          <cell r="BL71">
            <v>0</v>
          </cell>
          <cell r="BU71">
            <v>0</v>
          </cell>
          <cell r="CD71">
            <v>0</v>
          </cell>
          <cell r="CM71">
            <v>0</v>
          </cell>
          <cell r="CV71">
            <v>0</v>
          </cell>
          <cell r="DE71">
            <v>0</v>
          </cell>
        </row>
        <row r="72">
          <cell r="J72">
            <v>1.87</v>
          </cell>
          <cell r="S72">
            <v>0</v>
          </cell>
          <cell r="AB72">
            <v>0</v>
          </cell>
          <cell r="AK72">
            <v>0</v>
          </cell>
          <cell r="AT72">
            <v>0</v>
          </cell>
          <cell r="BC72">
            <v>0</v>
          </cell>
          <cell r="BL72">
            <v>0</v>
          </cell>
          <cell r="BU72">
            <v>0</v>
          </cell>
          <cell r="CD72">
            <v>0</v>
          </cell>
          <cell r="CM72">
            <v>0</v>
          </cell>
          <cell r="CV72">
            <v>0</v>
          </cell>
          <cell r="DE72">
            <v>0</v>
          </cell>
        </row>
        <row r="73">
          <cell r="J73">
            <v>0</v>
          </cell>
          <cell r="S73">
            <v>0</v>
          </cell>
          <cell r="AB73">
            <v>0</v>
          </cell>
          <cell r="AK73">
            <v>0</v>
          </cell>
          <cell r="AT73">
            <v>0</v>
          </cell>
          <cell r="BC73">
            <v>0</v>
          </cell>
          <cell r="BL73">
            <v>0</v>
          </cell>
          <cell r="BU73">
            <v>0</v>
          </cell>
          <cell r="CD73">
            <v>0</v>
          </cell>
          <cell r="CM73">
            <v>0</v>
          </cell>
          <cell r="CV73">
            <v>0</v>
          </cell>
          <cell r="DE73">
            <v>0</v>
          </cell>
        </row>
        <row r="74">
          <cell r="J74">
            <v>0</v>
          </cell>
          <cell r="S74">
            <v>0</v>
          </cell>
          <cell r="AB74">
            <v>0</v>
          </cell>
          <cell r="AK74">
            <v>0</v>
          </cell>
          <cell r="AT74">
            <v>0</v>
          </cell>
          <cell r="BC74">
            <v>0</v>
          </cell>
          <cell r="BL74">
            <v>0</v>
          </cell>
          <cell r="BU74">
            <v>0</v>
          </cell>
          <cell r="CD74">
            <v>0</v>
          </cell>
          <cell r="CM74">
            <v>0</v>
          </cell>
          <cell r="CV74">
            <v>0</v>
          </cell>
          <cell r="DE74">
            <v>0</v>
          </cell>
        </row>
        <row r="75">
          <cell r="J75">
            <v>0</v>
          </cell>
          <cell r="S75">
            <v>0</v>
          </cell>
          <cell r="AB75">
            <v>0</v>
          </cell>
          <cell r="AK75">
            <v>0</v>
          </cell>
          <cell r="AT75">
            <v>0</v>
          </cell>
          <cell r="BC75">
            <v>0</v>
          </cell>
          <cell r="BL75">
            <v>0</v>
          </cell>
          <cell r="BU75">
            <v>0</v>
          </cell>
          <cell r="CD75">
            <v>0</v>
          </cell>
          <cell r="CM75">
            <v>0</v>
          </cell>
          <cell r="CV75">
            <v>0</v>
          </cell>
          <cell r="DE75">
            <v>0</v>
          </cell>
        </row>
        <row r="76">
          <cell r="J76">
            <v>0</v>
          </cell>
          <cell r="S76">
            <v>0</v>
          </cell>
          <cell r="AB76">
            <v>0</v>
          </cell>
          <cell r="AK76">
            <v>0</v>
          </cell>
          <cell r="AT76">
            <v>0</v>
          </cell>
          <cell r="BC76">
            <v>0</v>
          </cell>
          <cell r="BL76">
            <v>0</v>
          </cell>
          <cell r="BU76">
            <v>0</v>
          </cell>
          <cell r="CD76">
            <v>0</v>
          </cell>
          <cell r="CM76">
            <v>0</v>
          </cell>
          <cell r="CV76">
            <v>0</v>
          </cell>
          <cell r="DE76">
            <v>0</v>
          </cell>
        </row>
        <row r="77">
          <cell r="J77">
            <v>26.779999999999998</v>
          </cell>
          <cell r="S77">
            <v>0</v>
          </cell>
          <cell r="AB77">
            <v>0</v>
          </cell>
          <cell r="AK77">
            <v>0</v>
          </cell>
          <cell r="AT77">
            <v>0</v>
          </cell>
          <cell r="BC77">
            <v>0</v>
          </cell>
          <cell r="BL77">
            <v>0</v>
          </cell>
          <cell r="BU77">
            <v>0</v>
          </cell>
          <cell r="CD77">
            <v>0</v>
          </cell>
          <cell r="CM77">
            <v>0</v>
          </cell>
          <cell r="CV77">
            <v>0</v>
          </cell>
          <cell r="DE77">
            <v>0</v>
          </cell>
        </row>
        <row r="78">
          <cell r="J78">
            <v>1.69</v>
          </cell>
          <cell r="S78">
            <v>0</v>
          </cell>
          <cell r="AB78">
            <v>0</v>
          </cell>
          <cell r="AK78">
            <v>0</v>
          </cell>
          <cell r="AT78">
            <v>0</v>
          </cell>
          <cell r="BC78">
            <v>0</v>
          </cell>
          <cell r="BL78">
            <v>0</v>
          </cell>
          <cell r="BU78">
            <v>0</v>
          </cell>
          <cell r="CD78">
            <v>0</v>
          </cell>
          <cell r="CM78">
            <v>0</v>
          </cell>
          <cell r="CV78">
            <v>0</v>
          </cell>
          <cell r="DE78">
            <v>0</v>
          </cell>
        </row>
        <row r="79">
          <cell r="J79">
            <v>0.84</v>
          </cell>
          <cell r="S79">
            <v>0</v>
          </cell>
          <cell r="AB79">
            <v>0</v>
          </cell>
          <cell r="AK79">
            <v>0</v>
          </cell>
          <cell r="AT79">
            <v>0</v>
          </cell>
          <cell r="BC79">
            <v>0</v>
          </cell>
          <cell r="BL79">
            <v>0</v>
          </cell>
          <cell r="BU79">
            <v>0</v>
          </cell>
          <cell r="CD79">
            <v>0</v>
          </cell>
          <cell r="CM79">
            <v>0</v>
          </cell>
          <cell r="CV79">
            <v>0</v>
          </cell>
          <cell r="DE79">
            <v>0</v>
          </cell>
        </row>
        <row r="80">
          <cell r="J80">
            <v>0.32</v>
          </cell>
          <cell r="S80">
            <v>0</v>
          </cell>
          <cell r="AB80">
            <v>0</v>
          </cell>
          <cell r="AK80">
            <v>0</v>
          </cell>
          <cell r="AT80">
            <v>0</v>
          </cell>
          <cell r="BC80">
            <v>0</v>
          </cell>
          <cell r="BL80">
            <v>0</v>
          </cell>
          <cell r="BU80">
            <v>0</v>
          </cell>
          <cell r="CD80">
            <v>0</v>
          </cell>
          <cell r="CM80">
            <v>0</v>
          </cell>
          <cell r="CV80">
            <v>0</v>
          </cell>
          <cell r="DE80">
            <v>0</v>
          </cell>
        </row>
        <row r="81">
          <cell r="J81">
            <v>0</v>
          </cell>
          <cell r="S81">
            <v>0</v>
          </cell>
          <cell r="AB81">
            <v>0</v>
          </cell>
          <cell r="AK81">
            <v>0</v>
          </cell>
          <cell r="AT81">
            <v>0</v>
          </cell>
          <cell r="BC81">
            <v>0</v>
          </cell>
          <cell r="BL81">
            <v>0</v>
          </cell>
          <cell r="BU81">
            <v>0</v>
          </cell>
          <cell r="CD81">
            <v>0</v>
          </cell>
          <cell r="CM81">
            <v>0</v>
          </cell>
          <cell r="CV81">
            <v>0</v>
          </cell>
          <cell r="DE81">
            <v>0</v>
          </cell>
        </row>
        <row r="82">
          <cell r="J82">
            <v>0</v>
          </cell>
          <cell r="S82">
            <v>0</v>
          </cell>
          <cell r="AB82">
            <v>0</v>
          </cell>
          <cell r="AK82">
            <v>0</v>
          </cell>
          <cell r="AT82">
            <v>0</v>
          </cell>
          <cell r="BC82">
            <v>0</v>
          </cell>
          <cell r="BL82">
            <v>0</v>
          </cell>
          <cell r="BU82">
            <v>0</v>
          </cell>
          <cell r="CD82">
            <v>0</v>
          </cell>
          <cell r="CM82">
            <v>0</v>
          </cell>
          <cell r="CV82">
            <v>0</v>
          </cell>
          <cell r="DE82">
            <v>0</v>
          </cell>
        </row>
        <row r="83">
          <cell r="J83">
            <v>0</v>
          </cell>
          <cell r="S83">
            <v>0</v>
          </cell>
          <cell r="AB83">
            <v>0</v>
          </cell>
          <cell r="AK83">
            <v>0</v>
          </cell>
          <cell r="AT83">
            <v>0</v>
          </cell>
          <cell r="BC83">
            <v>0</v>
          </cell>
          <cell r="BL83">
            <v>0</v>
          </cell>
          <cell r="BU83">
            <v>0</v>
          </cell>
          <cell r="CD83">
            <v>0</v>
          </cell>
          <cell r="CM83">
            <v>0</v>
          </cell>
          <cell r="CV83">
            <v>0</v>
          </cell>
          <cell r="DE83">
            <v>0</v>
          </cell>
        </row>
        <row r="84">
          <cell r="J84">
            <v>0</v>
          </cell>
          <cell r="S84">
            <v>0</v>
          </cell>
          <cell r="AB84">
            <v>0</v>
          </cell>
          <cell r="AK84">
            <v>0</v>
          </cell>
          <cell r="AT84">
            <v>0</v>
          </cell>
          <cell r="BC84">
            <v>0</v>
          </cell>
          <cell r="BL84">
            <v>0</v>
          </cell>
          <cell r="BU84">
            <v>0</v>
          </cell>
          <cell r="CD84">
            <v>0</v>
          </cell>
          <cell r="CM84">
            <v>0</v>
          </cell>
          <cell r="CV84">
            <v>0</v>
          </cell>
          <cell r="DE84">
            <v>0</v>
          </cell>
        </row>
        <row r="85">
          <cell r="J85">
            <v>0</v>
          </cell>
          <cell r="S85">
            <v>0</v>
          </cell>
          <cell r="AB85">
            <v>0</v>
          </cell>
          <cell r="AK85">
            <v>0</v>
          </cell>
          <cell r="AT85">
            <v>0</v>
          </cell>
          <cell r="BC85">
            <v>0</v>
          </cell>
          <cell r="BL85">
            <v>0</v>
          </cell>
          <cell r="BU85">
            <v>0</v>
          </cell>
          <cell r="CD85">
            <v>0</v>
          </cell>
          <cell r="CM85">
            <v>0</v>
          </cell>
          <cell r="CV85">
            <v>0</v>
          </cell>
          <cell r="DE85">
            <v>0</v>
          </cell>
        </row>
        <row r="86">
          <cell r="J86">
            <v>0</v>
          </cell>
          <cell r="S86">
            <v>0</v>
          </cell>
          <cell r="AB86">
            <v>0</v>
          </cell>
          <cell r="AK86">
            <v>0</v>
          </cell>
          <cell r="AT86">
            <v>0</v>
          </cell>
          <cell r="BC86">
            <v>0</v>
          </cell>
          <cell r="BL86">
            <v>0</v>
          </cell>
          <cell r="BU86">
            <v>0</v>
          </cell>
          <cell r="CD86">
            <v>0</v>
          </cell>
          <cell r="CM86">
            <v>0</v>
          </cell>
          <cell r="CV86">
            <v>0</v>
          </cell>
          <cell r="DE86">
            <v>0</v>
          </cell>
        </row>
        <row r="87">
          <cell r="J87">
            <v>0</v>
          </cell>
          <cell r="S87">
            <v>0</v>
          </cell>
          <cell r="AB87">
            <v>0</v>
          </cell>
          <cell r="AK87">
            <v>0</v>
          </cell>
          <cell r="AT87">
            <v>0</v>
          </cell>
          <cell r="BC87">
            <v>0</v>
          </cell>
          <cell r="BL87">
            <v>0</v>
          </cell>
          <cell r="BU87">
            <v>0</v>
          </cell>
          <cell r="CD87">
            <v>0</v>
          </cell>
          <cell r="CM87">
            <v>0</v>
          </cell>
          <cell r="CV87">
            <v>0</v>
          </cell>
          <cell r="DE87">
            <v>0</v>
          </cell>
        </row>
        <row r="88">
          <cell r="J88">
            <v>32.71</v>
          </cell>
          <cell r="S88">
            <v>0</v>
          </cell>
          <cell r="AB88">
            <v>0</v>
          </cell>
          <cell r="AK88">
            <v>0</v>
          </cell>
          <cell r="AT88">
            <v>0</v>
          </cell>
          <cell r="BC88">
            <v>0</v>
          </cell>
          <cell r="BL88">
            <v>0</v>
          </cell>
          <cell r="BU88">
            <v>0</v>
          </cell>
          <cell r="CD88">
            <v>0</v>
          </cell>
          <cell r="CM88">
            <v>0</v>
          </cell>
          <cell r="CV88">
            <v>0</v>
          </cell>
          <cell r="DE88">
            <v>0</v>
          </cell>
        </row>
        <row r="89">
          <cell r="J89">
            <v>34.86</v>
          </cell>
          <cell r="S89">
            <v>0</v>
          </cell>
          <cell r="AB89">
            <v>0</v>
          </cell>
          <cell r="AK89">
            <v>0</v>
          </cell>
          <cell r="AT89">
            <v>0</v>
          </cell>
          <cell r="BC89">
            <v>0</v>
          </cell>
          <cell r="BL89">
            <v>0</v>
          </cell>
          <cell r="BU89">
            <v>0</v>
          </cell>
          <cell r="CD89">
            <v>0</v>
          </cell>
          <cell r="CM89">
            <v>0</v>
          </cell>
          <cell r="CV89">
            <v>0</v>
          </cell>
          <cell r="DE89">
            <v>0</v>
          </cell>
        </row>
        <row r="90">
          <cell r="J90">
            <v>0</v>
          </cell>
          <cell r="S90">
            <v>0</v>
          </cell>
          <cell r="AB90">
            <v>0</v>
          </cell>
          <cell r="AK90">
            <v>0</v>
          </cell>
          <cell r="AT90">
            <v>0</v>
          </cell>
          <cell r="BC90">
            <v>0</v>
          </cell>
          <cell r="BL90">
            <v>0</v>
          </cell>
          <cell r="BU90">
            <v>0</v>
          </cell>
          <cell r="CD90">
            <v>0</v>
          </cell>
          <cell r="CM90">
            <v>0</v>
          </cell>
          <cell r="CV90">
            <v>0</v>
          </cell>
          <cell r="DE90">
            <v>0</v>
          </cell>
        </row>
        <row r="91">
          <cell r="J91">
            <v>0</v>
          </cell>
          <cell r="S91">
            <v>0</v>
          </cell>
          <cell r="AB91">
            <v>0</v>
          </cell>
          <cell r="AK91">
            <v>0</v>
          </cell>
          <cell r="AT91">
            <v>0</v>
          </cell>
          <cell r="BC91">
            <v>0</v>
          </cell>
          <cell r="BL91">
            <v>0</v>
          </cell>
          <cell r="BU91">
            <v>0</v>
          </cell>
          <cell r="CD91">
            <v>0</v>
          </cell>
          <cell r="CM91">
            <v>0</v>
          </cell>
          <cell r="CV91">
            <v>0</v>
          </cell>
          <cell r="DE91">
            <v>0</v>
          </cell>
        </row>
        <row r="92">
          <cell r="J92">
            <v>0</v>
          </cell>
          <cell r="S92">
            <v>0</v>
          </cell>
          <cell r="AB92">
            <v>0</v>
          </cell>
          <cell r="AK92">
            <v>0</v>
          </cell>
          <cell r="AT92">
            <v>0</v>
          </cell>
          <cell r="BC92">
            <v>0</v>
          </cell>
          <cell r="BL92">
            <v>0</v>
          </cell>
          <cell r="BU92">
            <v>0</v>
          </cell>
          <cell r="CD92">
            <v>0</v>
          </cell>
          <cell r="CM92">
            <v>0</v>
          </cell>
          <cell r="CV92">
            <v>0</v>
          </cell>
          <cell r="DE92">
            <v>0</v>
          </cell>
        </row>
        <row r="93">
          <cell r="J93">
            <v>110.99</v>
          </cell>
          <cell r="S93">
            <v>0</v>
          </cell>
          <cell r="AB93">
            <v>0</v>
          </cell>
          <cell r="AK93">
            <v>0</v>
          </cell>
          <cell r="AT93">
            <v>0</v>
          </cell>
          <cell r="BC93">
            <v>0</v>
          </cell>
          <cell r="BL93">
            <v>0</v>
          </cell>
          <cell r="BU93">
            <v>0</v>
          </cell>
          <cell r="CD93">
            <v>0</v>
          </cell>
          <cell r="CM93">
            <v>0</v>
          </cell>
          <cell r="CV93">
            <v>0</v>
          </cell>
          <cell r="DE93">
            <v>0</v>
          </cell>
        </row>
        <row r="94">
          <cell r="J94">
            <v>0</v>
          </cell>
          <cell r="S94">
            <v>0</v>
          </cell>
          <cell r="AB94">
            <v>0</v>
          </cell>
          <cell r="AK94">
            <v>0</v>
          </cell>
          <cell r="AT94">
            <v>0</v>
          </cell>
          <cell r="BC94">
            <v>0</v>
          </cell>
          <cell r="BL94">
            <v>0</v>
          </cell>
          <cell r="BU94">
            <v>0</v>
          </cell>
          <cell r="CD94">
            <v>0</v>
          </cell>
          <cell r="CM94">
            <v>0</v>
          </cell>
          <cell r="CV94">
            <v>0</v>
          </cell>
          <cell r="DE94">
            <v>0</v>
          </cell>
        </row>
        <row r="95">
          <cell r="J95">
            <v>4.29</v>
          </cell>
          <cell r="S95">
            <v>0</v>
          </cell>
          <cell r="AB95">
            <v>0</v>
          </cell>
          <cell r="AK95">
            <v>0</v>
          </cell>
          <cell r="AT95">
            <v>0</v>
          </cell>
          <cell r="BC95">
            <v>0</v>
          </cell>
          <cell r="BL95">
            <v>0</v>
          </cell>
          <cell r="BU95">
            <v>0</v>
          </cell>
          <cell r="CD95">
            <v>0</v>
          </cell>
          <cell r="CM95">
            <v>0</v>
          </cell>
          <cell r="CV95">
            <v>0</v>
          </cell>
          <cell r="DE95">
            <v>0</v>
          </cell>
        </row>
        <row r="96">
          <cell r="J96">
            <v>4.29</v>
          </cell>
          <cell r="S96">
            <v>0</v>
          </cell>
          <cell r="AB96">
            <v>0</v>
          </cell>
          <cell r="AK96">
            <v>0</v>
          </cell>
          <cell r="AT96">
            <v>0</v>
          </cell>
          <cell r="BC96">
            <v>0</v>
          </cell>
          <cell r="BL96">
            <v>0</v>
          </cell>
          <cell r="BU96">
            <v>0</v>
          </cell>
          <cell r="CD96">
            <v>0</v>
          </cell>
          <cell r="CM96">
            <v>0</v>
          </cell>
          <cell r="CV96">
            <v>0</v>
          </cell>
          <cell r="DE96">
            <v>0</v>
          </cell>
        </row>
        <row r="97">
          <cell r="J97">
            <v>0.52</v>
          </cell>
          <cell r="S97">
            <v>0</v>
          </cell>
          <cell r="AB97">
            <v>0</v>
          </cell>
          <cell r="AK97">
            <v>0</v>
          </cell>
          <cell r="AT97">
            <v>0</v>
          </cell>
          <cell r="BC97">
            <v>0</v>
          </cell>
          <cell r="BL97">
            <v>0</v>
          </cell>
          <cell r="BU97">
            <v>0</v>
          </cell>
          <cell r="CD97">
            <v>0</v>
          </cell>
          <cell r="CM97">
            <v>0</v>
          </cell>
          <cell r="CV97">
            <v>0</v>
          </cell>
          <cell r="DE97">
            <v>0</v>
          </cell>
        </row>
        <row r="98">
          <cell r="J98">
            <v>-0.16999999999999993</v>
          </cell>
          <cell r="S98">
            <v>0</v>
          </cell>
          <cell r="AB98">
            <v>0</v>
          </cell>
          <cell r="AK98">
            <v>0</v>
          </cell>
          <cell r="AT98">
            <v>0</v>
          </cell>
          <cell r="BC98">
            <v>0</v>
          </cell>
          <cell r="BL98">
            <v>0</v>
          </cell>
          <cell r="BU98">
            <v>0</v>
          </cell>
          <cell r="CD98">
            <v>0</v>
          </cell>
          <cell r="CM98">
            <v>0</v>
          </cell>
          <cell r="CV98">
            <v>0</v>
          </cell>
          <cell r="DE98">
            <v>0</v>
          </cell>
        </row>
        <row r="99">
          <cell r="J99">
            <v>8.2100000000000009</v>
          </cell>
          <cell r="S99">
            <v>0</v>
          </cell>
          <cell r="AB99">
            <v>0</v>
          </cell>
          <cell r="AK99">
            <v>0</v>
          </cell>
          <cell r="AT99">
            <v>0</v>
          </cell>
          <cell r="BC99">
            <v>0</v>
          </cell>
          <cell r="BL99">
            <v>0</v>
          </cell>
          <cell r="BU99">
            <v>0</v>
          </cell>
          <cell r="CD99">
            <v>0</v>
          </cell>
          <cell r="CM99">
            <v>0</v>
          </cell>
          <cell r="CV99">
            <v>0</v>
          </cell>
          <cell r="DE99">
            <v>0</v>
          </cell>
        </row>
        <row r="100">
          <cell r="J100">
            <v>0</v>
          </cell>
          <cell r="S100">
            <v>0</v>
          </cell>
          <cell r="AB100">
            <v>0</v>
          </cell>
          <cell r="AK100">
            <v>0</v>
          </cell>
          <cell r="AT100">
            <v>0</v>
          </cell>
          <cell r="BC100">
            <v>0</v>
          </cell>
          <cell r="BL100">
            <v>0</v>
          </cell>
          <cell r="BU100">
            <v>0</v>
          </cell>
          <cell r="CD100">
            <v>0</v>
          </cell>
          <cell r="CM100">
            <v>0</v>
          </cell>
          <cell r="CV100">
            <v>0</v>
          </cell>
          <cell r="DE100">
            <v>0</v>
          </cell>
        </row>
        <row r="101">
          <cell r="J101">
            <v>0</v>
          </cell>
          <cell r="S101">
            <v>0</v>
          </cell>
          <cell r="AB101">
            <v>0</v>
          </cell>
          <cell r="AK101">
            <v>0</v>
          </cell>
          <cell r="AT101">
            <v>0</v>
          </cell>
          <cell r="BC101">
            <v>0</v>
          </cell>
          <cell r="BL101">
            <v>0</v>
          </cell>
          <cell r="BU101">
            <v>0</v>
          </cell>
          <cell r="CD101">
            <v>0</v>
          </cell>
          <cell r="CM101">
            <v>0</v>
          </cell>
          <cell r="CV101">
            <v>0</v>
          </cell>
          <cell r="DE101">
            <v>0</v>
          </cell>
        </row>
        <row r="102">
          <cell r="J102">
            <v>8.0400000000000009</v>
          </cell>
          <cell r="S102">
            <v>0</v>
          </cell>
          <cell r="AB102">
            <v>0</v>
          </cell>
          <cell r="AK102">
            <v>0</v>
          </cell>
          <cell r="AT102">
            <v>0</v>
          </cell>
          <cell r="BC102">
            <v>0</v>
          </cell>
          <cell r="BL102">
            <v>0</v>
          </cell>
          <cell r="BU102">
            <v>0</v>
          </cell>
          <cell r="CD102">
            <v>0</v>
          </cell>
          <cell r="CM102">
            <v>0</v>
          </cell>
          <cell r="CV102">
            <v>0</v>
          </cell>
          <cell r="DE102">
            <v>0</v>
          </cell>
        </row>
        <row r="103">
          <cell r="J103">
            <v>1.41</v>
          </cell>
          <cell r="S103">
            <v>0</v>
          </cell>
          <cell r="AB103">
            <v>0</v>
          </cell>
          <cell r="AK103">
            <v>0</v>
          </cell>
          <cell r="AT103">
            <v>0</v>
          </cell>
          <cell r="BC103">
            <v>0</v>
          </cell>
          <cell r="BL103">
            <v>0</v>
          </cell>
          <cell r="BU103">
            <v>0</v>
          </cell>
          <cell r="CD103">
            <v>0</v>
          </cell>
          <cell r="CM103">
            <v>0</v>
          </cell>
          <cell r="CV103">
            <v>0</v>
          </cell>
          <cell r="DE103">
            <v>0</v>
          </cell>
        </row>
        <row r="104">
          <cell r="J104">
            <v>0.01</v>
          </cell>
          <cell r="S104">
            <v>0</v>
          </cell>
          <cell r="AB104">
            <v>0</v>
          </cell>
          <cell r="AK104">
            <v>0</v>
          </cell>
          <cell r="AT104">
            <v>0</v>
          </cell>
          <cell r="BC104">
            <v>0</v>
          </cell>
          <cell r="BL104">
            <v>0</v>
          </cell>
          <cell r="BU104">
            <v>0</v>
          </cell>
          <cell r="CD104">
            <v>0</v>
          </cell>
          <cell r="CM104">
            <v>0</v>
          </cell>
          <cell r="CV104">
            <v>0</v>
          </cell>
          <cell r="DE104">
            <v>0</v>
          </cell>
        </row>
        <row r="105">
          <cell r="J105">
            <v>0</v>
          </cell>
          <cell r="S105">
            <v>0</v>
          </cell>
          <cell r="AB105">
            <v>0</v>
          </cell>
          <cell r="AK105">
            <v>0</v>
          </cell>
          <cell r="AT105">
            <v>0</v>
          </cell>
          <cell r="BC105">
            <v>0</v>
          </cell>
          <cell r="BL105">
            <v>0</v>
          </cell>
          <cell r="BU105">
            <v>0</v>
          </cell>
          <cell r="CD105">
            <v>0</v>
          </cell>
          <cell r="CM105">
            <v>0</v>
          </cell>
          <cell r="CV105">
            <v>0</v>
          </cell>
          <cell r="DE105">
            <v>0</v>
          </cell>
        </row>
        <row r="106">
          <cell r="J106">
            <v>0</v>
          </cell>
          <cell r="S106">
            <v>0</v>
          </cell>
          <cell r="AB106">
            <v>0</v>
          </cell>
          <cell r="AK106">
            <v>0</v>
          </cell>
          <cell r="AT106">
            <v>0</v>
          </cell>
          <cell r="BC106">
            <v>0</v>
          </cell>
          <cell r="BL106">
            <v>0</v>
          </cell>
          <cell r="BU106">
            <v>0</v>
          </cell>
          <cell r="CD106">
            <v>0</v>
          </cell>
          <cell r="CM106">
            <v>0</v>
          </cell>
          <cell r="CV106">
            <v>0</v>
          </cell>
          <cell r="DE106">
            <v>0</v>
          </cell>
        </row>
        <row r="107">
          <cell r="J107">
            <v>0</v>
          </cell>
          <cell r="S107">
            <v>0</v>
          </cell>
          <cell r="AB107">
            <v>0</v>
          </cell>
          <cell r="AK107">
            <v>0</v>
          </cell>
          <cell r="AT107">
            <v>0</v>
          </cell>
          <cell r="BC107">
            <v>0</v>
          </cell>
          <cell r="BL107">
            <v>0</v>
          </cell>
          <cell r="BU107">
            <v>0</v>
          </cell>
          <cell r="CD107">
            <v>0</v>
          </cell>
          <cell r="CM107">
            <v>0</v>
          </cell>
          <cell r="CV107">
            <v>0</v>
          </cell>
          <cell r="DE107">
            <v>0</v>
          </cell>
        </row>
        <row r="108">
          <cell r="J108">
            <v>0</v>
          </cell>
          <cell r="S108">
            <v>0</v>
          </cell>
          <cell r="AB108">
            <v>0</v>
          </cell>
          <cell r="AK108">
            <v>0</v>
          </cell>
          <cell r="AT108">
            <v>0</v>
          </cell>
          <cell r="BC108">
            <v>0</v>
          </cell>
          <cell r="BL108">
            <v>0</v>
          </cell>
          <cell r="BU108">
            <v>0</v>
          </cell>
          <cell r="CD108">
            <v>0</v>
          </cell>
          <cell r="CM108">
            <v>0</v>
          </cell>
          <cell r="CV108">
            <v>0</v>
          </cell>
          <cell r="DE108">
            <v>0</v>
          </cell>
        </row>
        <row r="109">
          <cell r="J109">
            <v>0</v>
          </cell>
          <cell r="S109">
            <v>0</v>
          </cell>
          <cell r="AB109">
            <v>0</v>
          </cell>
          <cell r="AK109">
            <v>0</v>
          </cell>
          <cell r="AT109">
            <v>0</v>
          </cell>
          <cell r="BC109">
            <v>0</v>
          </cell>
          <cell r="BL109">
            <v>0</v>
          </cell>
          <cell r="BU109">
            <v>0</v>
          </cell>
          <cell r="CD109">
            <v>0</v>
          </cell>
          <cell r="CM109">
            <v>0</v>
          </cell>
          <cell r="CV109">
            <v>0</v>
          </cell>
          <cell r="DE109">
            <v>0</v>
          </cell>
        </row>
        <row r="110">
          <cell r="J110">
            <v>0</v>
          </cell>
          <cell r="S110">
            <v>0</v>
          </cell>
          <cell r="AB110">
            <v>0</v>
          </cell>
          <cell r="AK110">
            <v>0</v>
          </cell>
          <cell r="AT110">
            <v>0</v>
          </cell>
          <cell r="BC110">
            <v>0</v>
          </cell>
          <cell r="BL110">
            <v>0</v>
          </cell>
          <cell r="BU110">
            <v>0</v>
          </cell>
          <cell r="CD110">
            <v>0</v>
          </cell>
          <cell r="CM110">
            <v>0</v>
          </cell>
          <cell r="CV110">
            <v>0</v>
          </cell>
          <cell r="DE110">
            <v>0</v>
          </cell>
        </row>
        <row r="111">
          <cell r="J111">
            <v>0</v>
          </cell>
          <cell r="S111">
            <v>0</v>
          </cell>
          <cell r="AB111">
            <v>0</v>
          </cell>
          <cell r="AK111">
            <v>0</v>
          </cell>
          <cell r="AT111">
            <v>0</v>
          </cell>
          <cell r="BC111">
            <v>0</v>
          </cell>
          <cell r="BL111">
            <v>0</v>
          </cell>
          <cell r="BU111">
            <v>0</v>
          </cell>
          <cell r="CD111">
            <v>0</v>
          </cell>
          <cell r="CM111">
            <v>0</v>
          </cell>
          <cell r="CV111">
            <v>0</v>
          </cell>
          <cell r="DE111">
            <v>0</v>
          </cell>
        </row>
        <row r="112">
          <cell r="J112">
            <v>0</v>
          </cell>
          <cell r="S112">
            <v>0</v>
          </cell>
          <cell r="AB112">
            <v>0</v>
          </cell>
          <cell r="AK112">
            <v>0</v>
          </cell>
          <cell r="AT112">
            <v>0</v>
          </cell>
          <cell r="BC112">
            <v>0</v>
          </cell>
          <cell r="BL112">
            <v>0</v>
          </cell>
          <cell r="BU112">
            <v>0</v>
          </cell>
          <cell r="CD112">
            <v>0</v>
          </cell>
          <cell r="CM112">
            <v>0</v>
          </cell>
          <cell r="CV112">
            <v>0</v>
          </cell>
          <cell r="DE112">
            <v>0</v>
          </cell>
        </row>
        <row r="113">
          <cell r="J113">
            <v>-3.09</v>
          </cell>
          <cell r="S113">
            <v>0</v>
          </cell>
          <cell r="AB113">
            <v>0</v>
          </cell>
          <cell r="AK113">
            <v>0</v>
          </cell>
          <cell r="AT113">
            <v>0</v>
          </cell>
          <cell r="BC113">
            <v>0</v>
          </cell>
          <cell r="BL113">
            <v>0</v>
          </cell>
          <cell r="BU113">
            <v>0</v>
          </cell>
          <cell r="CD113">
            <v>0</v>
          </cell>
          <cell r="CM113">
            <v>0</v>
          </cell>
          <cell r="CV113">
            <v>0</v>
          </cell>
          <cell r="DE113">
            <v>0</v>
          </cell>
        </row>
        <row r="114">
          <cell r="J114">
            <v>-1.67</v>
          </cell>
          <cell r="S114">
            <v>0</v>
          </cell>
          <cell r="AB114">
            <v>0</v>
          </cell>
          <cell r="AK114">
            <v>0</v>
          </cell>
          <cell r="AT114">
            <v>0</v>
          </cell>
          <cell r="BC114">
            <v>0</v>
          </cell>
          <cell r="BL114">
            <v>0</v>
          </cell>
          <cell r="BU114">
            <v>0</v>
          </cell>
          <cell r="CD114">
            <v>0</v>
          </cell>
          <cell r="CM114">
            <v>0</v>
          </cell>
          <cell r="CV114">
            <v>0</v>
          </cell>
          <cell r="DE114">
            <v>0</v>
          </cell>
        </row>
        <row r="115">
          <cell r="J115">
            <v>11.180000000000001</v>
          </cell>
          <cell r="S115">
            <v>0</v>
          </cell>
          <cell r="AB115">
            <v>0</v>
          </cell>
          <cell r="AK115">
            <v>0</v>
          </cell>
          <cell r="AT115">
            <v>0</v>
          </cell>
          <cell r="BC115">
            <v>0</v>
          </cell>
          <cell r="BL115">
            <v>0</v>
          </cell>
          <cell r="BU115">
            <v>0</v>
          </cell>
          <cell r="CD115">
            <v>0</v>
          </cell>
          <cell r="CM115">
            <v>0</v>
          </cell>
          <cell r="CV115">
            <v>0</v>
          </cell>
          <cell r="DE115">
            <v>0</v>
          </cell>
        </row>
        <row r="116">
          <cell r="J116">
            <v>0</v>
          </cell>
          <cell r="S116">
            <v>0</v>
          </cell>
          <cell r="AB116">
            <v>0</v>
          </cell>
          <cell r="AK116">
            <v>0</v>
          </cell>
          <cell r="AT116">
            <v>0</v>
          </cell>
          <cell r="BC116">
            <v>0</v>
          </cell>
          <cell r="BL116">
            <v>0</v>
          </cell>
          <cell r="BU116">
            <v>0</v>
          </cell>
          <cell r="CD116">
            <v>0</v>
          </cell>
          <cell r="CM116">
            <v>0</v>
          </cell>
          <cell r="CV116">
            <v>0</v>
          </cell>
          <cell r="DE116">
            <v>0</v>
          </cell>
        </row>
        <row r="117">
          <cell r="J117">
            <v>0</v>
          </cell>
          <cell r="S117">
            <v>0</v>
          </cell>
          <cell r="AB117">
            <v>0</v>
          </cell>
          <cell r="AK117">
            <v>0</v>
          </cell>
          <cell r="AT117">
            <v>0</v>
          </cell>
          <cell r="BC117">
            <v>0</v>
          </cell>
          <cell r="BL117">
            <v>0</v>
          </cell>
          <cell r="BU117">
            <v>0</v>
          </cell>
          <cell r="CD117">
            <v>0</v>
          </cell>
          <cell r="CM117">
            <v>0</v>
          </cell>
          <cell r="CV117">
            <v>0</v>
          </cell>
          <cell r="DE117">
            <v>0</v>
          </cell>
        </row>
        <row r="118">
          <cell r="J118">
            <v>0</v>
          </cell>
          <cell r="S118">
            <v>0</v>
          </cell>
          <cell r="AB118">
            <v>0</v>
          </cell>
          <cell r="AK118">
            <v>0</v>
          </cell>
          <cell r="AT118">
            <v>0</v>
          </cell>
          <cell r="BC118">
            <v>0</v>
          </cell>
          <cell r="BL118">
            <v>0</v>
          </cell>
          <cell r="BU118">
            <v>0</v>
          </cell>
          <cell r="CD118">
            <v>0</v>
          </cell>
          <cell r="CM118">
            <v>0</v>
          </cell>
          <cell r="CV118">
            <v>0</v>
          </cell>
          <cell r="DE118">
            <v>0</v>
          </cell>
        </row>
        <row r="119">
          <cell r="J119">
            <v>0</v>
          </cell>
          <cell r="S119">
            <v>0</v>
          </cell>
          <cell r="AB119">
            <v>0</v>
          </cell>
          <cell r="AK119">
            <v>0</v>
          </cell>
          <cell r="AT119">
            <v>0</v>
          </cell>
          <cell r="BC119">
            <v>0</v>
          </cell>
          <cell r="BL119">
            <v>0</v>
          </cell>
          <cell r="BU119">
            <v>0</v>
          </cell>
          <cell r="CD119">
            <v>0</v>
          </cell>
          <cell r="CM119">
            <v>0</v>
          </cell>
          <cell r="CV119">
            <v>0</v>
          </cell>
          <cell r="DE119">
            <v>0</v>
          </cell>
        </row>
        <row r="120">
          <cell r="J120">
            <v>0</v>
          </cell>
          <cell r="S120">
            <v>0</v>
          </cell>
          <cell r="AB120">
            <v>0</v>
          </cell>
          <cell r="AK120">
            <v>0</v>
          </cell>
          <cell r="AT120">
            <v>0</v>
          </cell>
          <cell r="BC120">
            <v>0</v>
          </cell>
          <cell r="BL120">
            <v>0</v>
          </cell>
          <cell r="BU120">
            <v>0</v>
          </cell>
          <cell r="CD120">
            <v>0</v>
          </cell>
          <cell r="CM120">
            <v>0</v>
          </cell>
          <cell r="CV120">
            <v>0</v>
          </cell>
          <cell r="DE120">
            <v>0</v>
          </cell>
        </row>
        <row r="121">
          <cell r="J121">
            <v>0</v>
          </cell>
          <cell r="S121">
            <v>0</v>
          </cell>
          <cell r="AB121">
            <v>0</v>
          </cell>
          <cell r="AK121">
            <v>0</v>
          </cell>
          <cell r="AT121">
            <v>0</v>
          </cell>
          <cell r="BC121">
            <v>0</v>
          </cell>
          <cell r="BL121">
            <v>0</v>
          </cell>
          <cell r="BU121">
            <v>0</v>
          </cell>
          <cell r="CD121">
            <v>0</v>
          </cell>
          <cell r="CM121">
            <v>0</v>
          </cell>
          <cell r="CV121">
            <v>0</v>
          </cell>
          <cell r="DE121">
            <v>0</v>
          </cell>
        </row>
        <row r="122">
          <cell r="J122">
            <v>0</v>
          </cell>
          <cell r="S122">
            <v>0</v>
          </cell>
          <cell r="AB122">
            <v>0</v>
          </cell>
          <cell r="AK122">
            <v>0</v>
          </cell>
          <cell r="AT122">
            <v>0</v>
          </cell>
          <cell r="BC122">
            <v>0</v>
          </cell>
          <cell r="BL122">
            <v>0</v>
          </cell>
          <cell r="BU122">
            <v>0</v>
          </cell>
          <cell r="CD122">
            <v>0</v>
          </cell>
          <cell r="CM122">
            <v>0</v>
          </cell>
          <cell r="CV122">
            <v>0</v>
          </cell>
          <cell r="DE122">
            <v>0</v>
          </cell>
        </row>
        <row r="123">
          <cell r="J123">
            <v>0</v>
          </cell>
          <cell r="S123">
            <v>0</v>
          </cell>
          <cell r="AB123">
            <v>0</v>
          </cell>
          <cell r="AK123">
            <v>0</v>
          </cell>
          <cell r="AT123">
            <v>0</v>
          </cell>
          <cell r="BC123">
            <v>0</v>
          </cell>
          <cell r="BL123">
            <v>0</v>
          </cell>
          <cell r="BU123">
            <v>0</v>
          </cell>
          <cell r="CD123">
            <v>0</v>
          </cell>
          <cell r="CM123">
            <v>0</v>
          </cell>
          <cell r="CV123">
            <v>0</v>
          </cell>
          <cell r="DE123">
            <v>0</v>
          </cell>
        </row>
        <row r="124">
          <cell r="J124">
            <v>0</v>
          </cell>
          <cell r="S124">
            <v>0</v>
          </cell>
          <cell r="AB124">
            <v>0</v>
          </cell>
          <cell r="AK124">
            <v>0</v>
          </cell>
          <cell r="AT124">
            <v>0</v>
          </cell>
          <cell r="BC124">
            <v>0</v>
          </cell>
          <cell r="BL124">
            <v>0</v>
          </cell>
          <cell r="BU124">
            <v>0</v>
          </cell>
          <cell r="CD124">
            <v>0</v>
          </cell>
          <cell r="CM124">
            <v>0</v>
          </cell>
          <cell r="CV124">
            <v>0</v>
          </cell>
          <cell r="DE124">
            <v>0</v>
          </cell>
        </row>
        <row r="125">
          <cell r="J125">
            <v>0</v>
          </cell>
          <cell r="S125">
            <v>0</v>
          </cell>
          <cell r="AB125">
            <v>0</v>
          </cell>
          <cell r="AK125">
            <v>0</v>
          </cell>
          <cell r="AT125">
            <v>0</v>
          </cell>
          <cell r="BC125">
            <v>0</v>
          </cell>
          <cell r="BL125">
            <v>0</v>
          </cell>
          <cell r="BU125">
            <v>0</v>
          </cell>
          <cell r="CD125">
            <v>0</v>
          </cell>
          <cell r="CM125">
            <v>0</v>
          </cell>
          <cell r="CV125">
            <v>0</v>
          </cell>
          <cell r="DE125">
            <v>0</v>
          </cell>
        </row>
        <row r="126">
          <cell r="J126">
            <v>0</v>
          </cell>
          <cell r="S126">
            <v>0</v>
          </cell>
          <cell r="AB126">
            <v>0</v>
          </cell>
          <cell r="AK126">
            <v>0</v>
          </cell>
          <cell r="AT126">
            <v>0</v>
          </cell>
          <cell r="BC126">
            <v>0</v>
          </cell>
          <cell r="BL126">
            <v>0</v>
          </cell>
          <cell r="BU126">
            <v>0</v>
          </cell>
          <cell r="CD126">
            <v>0</v>
          </cell>
          <cell r="CM126">
            <v>0</v>
          </cell>
          <cell r="CV126">
            <v>0</v>
          </cell>
          <cell r="DE126">
            <v>0</v>
          </cell>
        </row>
        <row r="127">
          <cell r="J127">
            <v>0</v>
          </cell>
          <cell r="S127">
            <v>0</v>
          </cell>
          <cell r="AB127">
            <v>0</v>
          </cell>
          <cell r="AK127">
            <v>0</v>
          </cell>
          <cell r="AT127">
            <v>0</v>
          </cell>
          <cell r="BC127">
            <v>0</v>
          </cell>
          <cell r="BL127">
            <v>0</v>
          </cell>
          <cell r="BU127">
            <v>0</v>
          </cell>
          <cell r="CD127">
            <v>0</v>
          </cell>
          <cell r="CM127">
            <v>0</v>
          </cell>
          <cell r="CV127">
            <v>0</v>
          </cell>
          <cell r="DE127">
            <v>0</v>
          </cell>
        </row>
        <row r="128">
          <cell r="J128">
            <v>0</v>
          </cell>
          <cell r="S128">
            <v>0</v>
          </cell>
          <cell r="AB128">
            <v>0</v>
          </cell>
          <cell r="AK128">
            <v>0</v>
          </cell>
          <cell r="AT128">
            <v>0</v>
          </cell>
          <cell r="BC128">
            <v>0</v>
          </cell>
          <cell r="BL128">
            <v>0</v>
          </cell>
          <cell r="BU128">
            <v>0</v>
          </cell>
          <cell r="CD128">
            <v>0</v>
          </cell>
          <cell r="CM128">
            <v>0</v>
          </cell>
          <cell r="CV128">
            <v>0</v>
          </cell>
          <cell r="DE128">
            <v>0</v>
          </cell>
        </row>
        <row r="129">
          <cell r="J129">
            <v>0</v>
          </cell>
          <cell r="S129">
            <v>0</v>
          </cell>
          <cell r="AB129">
            <v>0</v>
          </cell>
          <cell r="AK129">
            <v>0</v>
          </cell>
          <cell r="AT129">
            <v>0</v>
          </cell>
          <cell r="BC129">
            <v>0</v>
          </cell>
          <cell r="BL129">
            <v>0</v>
          </cell>
          <cell r="BU129">
            <v>0</v>
          </cell>
          <cell r="CD129">
            <v>0</v>
          </cell>
          <cell r="CM129">
            <v>0</v>
          </cell>
          <cell r="CV129">
            <v>0</v>
          </cell>
          <cell r="DE129">
            <v>0</v>
          </cell>
        </row>
        <row r="130">
          <cell r="J130">
            <v>0</v>
          </cell>
          <cell r="S130">
            <v>0</v>
          </cell>
          <cell r="AB130">
            <v>0</v>
          </cell>
          <cell r="AK130">
            <v>0</v>
          </cell>
          <cell r="AT130">
            <v>0</v>
          </cell>
          <cell r="BC130">
            <v>0</v>
          </cell>
          <cell r="BL130">
            <v>0</v>
          </cell>
          <cell r="BU130">
            <v>0</v>
          </cell>
          <cell r="CD130">
            <v>0</v>
          </cell>
          <cell r="CM130">
            <v>0</v>
          </cell>
          <cell r="CV130">
            <v>0</v>
          </cell>
          <cell r="DE130">
            <v>0</v>
          </cell>
        </row>
        <row r="131">
          <cell r="J131">
            <v>0</v>
          </cell>
          <cell r="S131">
            <v>0</v>
          </cell>
          <cell r="AB131">
            <v>0</v>
          </cell>
          <cell r="AK131">
            <v>0</v>
          </cell>
          <cell r="AT131">
            <v>0</v>
          </cell>
          <cell r="BC131">
            <v>0</v>
          </cell>
          <cell r="BL131">
            <v>0</v>
          </cell>
          <cell r="BU131">
            <v>0</v>
          </cell>
          <cell r="CD131">
            <v>0</v>
          </cell>
          <cell r="CM131">
            <v>0</v>
          </cell>
          <cell r="CV131">
            <v>0</v>
          </cell>
          <cell r="DE131">
            <v>0</v>
          </cell>
        </row>
        <row r="132">
          <cell r="J132">
            <v>0</v>
          </cell>
          <cell r="S132">
            <v>0</v>
          </cell>
          <cell r="AB132">
            <v>0</v>
          </cell>
          <cell r="AK132">
            <v>0</v>
          </cell>
          <cell r="AT132">
            <v>0</v>
          </cell>
          <cell r="BC132">
            <v>0</v>
          </cell>
          <cell r="BL132">
            <v>0</v>
          </cell>
          <cell r="BU132">
            <v>0</v>
          </cell>
          <cell r="CD132">
            <v>0</v>
          </cell>
          <cell r="CM132">
            <v>0</v>
          </cell>
          <cell r="CV132">
            <v>0</v>
          </cell>
          <cell r="DE132">
            <v>0</v>
          </cell>
        </row>
        <row r="133">
          <cell r="J133">
            <v>0</v>
          </cell>
          <cell r="S133">
            <v>0</v>
          </cell>
          <cell r="AB133">
            <v>0</v>
          </cell>
          <cell r="AK133">
            <v>0</v>
          </cell>
          <cell r="AT133">
            <v>0</v>
          </cell>
          <cell r="BC133">
            <v>0</v>
          </cell>
          <cell r="BL133">
            <v>0</v>
          </cell>
          <cell r="BU133">
            <v>0</v>
          </cell>
          <cell r="CD133">
            <v>0</v>
          </cell>
          <cell r="CM133">
            <v>0</v>
          </cell>
          <cell r="CV133">
            <v>0</v>
          </cell>
          <cell r="DE133">
            <v>0</v>
          </cell>
        </row>
        <row r="134">
          <cell r="J134">
            <v>0</v>
          </cell>
          <cell r="S134">
            <v>0</v>
          </cell>
          <cell r="AB134">
            <v>0</v>
          </cell>
          <cell r="AK134">
            <v>0</v>
          </cell>
          <cell r="AT134">
            <v>0</v>
          </cell>
          <cell r="BC134">
            <v>0</v>
          </cell>
          <cell r="BL134">
            <v>0</v>
          </cell>
          <cell r="BU134">
            <v>0</v>
          </cell>
          <cell r="CD134">
            <v>0</v>
          </cell>
          <cell r="CM134">
            <v>0</v>
          </cell>
          <cell r="CV134">
            <v>0</v>
          </cell>
          <cell r="DE134">
            <v>0</v>
          </cell>
        </row>
        <row r="135">
          <cell r="J135">
            <v>122.17</v>
          </cell>
          <cell r="S135">
            <v>0</v>
          </cell>
          <cell r="AB135">
            <v>0</v>
          </cell>
          <cell r="AK135">
            <v>0</v>
          </cell>
          <cell r="AT135">
            <v>0</v>
          </cell>
          <cell r="BC135">
            <v>0</v>
          </cell>
          <cell r="BL135">
            <v>0</v>
          </cell>
          <cell r="BU135">
            <v>0</v>
          </cell>
          <cell r="CD135">
            <v>0</v>
          </cell>
          <cell r="CM135">
            <v>0</v>
          </cell>
          <cell r="CV135">
            <v>0</v>
          </cell>
          <cell r="DE135">
            <v>0</v>
          </cell>
        </row>
        <row r="136">
          <cell r="J136">
            <v>445.19000000000011</v>
          </cell>
          <cell r="S136">
            <v>0</v>
          </cell>
          <cell r="AB136">
            <v>0</v>
          </cell>
          <cell r="AK136">
            <v>0</v>
          </cell>
          <cell r="AT136">
            <v>0</v>
          </cell>
          <cell r="BC136">
            <v>0</v>
          </cell>
          <cell r="BL136">
            <v>0</v>
          </cell>
          <cell r="BU136">
            <v>0</v>
          </cell>
          <cell r="CD136">
            <v>0</v>
          </cell>
          <cell r="CM136">
            <v>0</v>
          </cell>
          <cell r="CV136">
            <v>0</v>
          </cell>
          <cell r="DE136">
            <v>0</v>
          </cell>
        </row>
        <row r="137">
          <cell r="J137">
            <v>0.15955772987115391</v>
          </cell>
          <cell r="S137">
            <v>0</v>
          </cell>
          <cell r="AB137">
            <v>0</v>
          </cell>
          <cell r="AK137">
            <v>0</v>
          </cell>
          <cell r="AT137">
            <v>0</v>
          </cell>
          <cell r="BC137">
            <v>0</v>
          </cell>
          <cell r="BL137">
            <v>0</v>
          </cell>
          <cell r="BU137">
            <v>0</v>
          </cell>
          <cell r="CD137">
            <v>0</v>
          </cell>
          <cell r="CM137">
            <v>0</v>
          </cell>
          <cell r="CV137">
            <v>0</v>
          </cell>
          <cell r="DE137">
            <v>0</v>
          </cell>
        </row>
      </sheetData>
      <sheetData sheetId="12" refreshError="1">
        <row r="12">
          <cell r="F12">
            <v>300.82</v>
          </cell>
          <cell r="K12">
            <v>0</v>
          </cell>
          <cell r="P12">
            <v>0</v>
          </cell>
          <cell r="U12">
            <v>0</v>
          </cell>
          <cell r="Z12">
            <v>0</v>
          </cell>
          <cell r="AE12">
            <v>0</v>
          </cell>
          <cell r="AJ12">
            <v>0</v>
          </cell>
          <cell r="AO12">
            <v>0</v>
          </cell>
          <cell r="AT12">
            <v>0</v>
          </cell>
          <cell r="AY12">
            <v>0</v>
          </cell>
          <cell r="BD12">
            <v>0</v>
          </cell>
          <cell r="BI12">
            <v>0</v>
          </cell>
        </row>
        <row r="13">
          <cell r="F13">
            <v>0</v>
          </cell>
          <cell r="K13">
            <v>0</v>
          </cell>
          <cell r="P13">
            <v>0</v>
          </cell>
          <cell r="U13">
            <v>0</v>
          </cell>
          <cell r="Z13">
            <v>0</v>
          </cell>
          <cell r="AE13">
            <v>0</v>
          </cell>
          <cell r="AJ13">
            <v>0</v>
          </cell>
          <cell r="AO13">
            <v>0</v>
          </cell>
          <cell r="AT13">
            <v>0</v>
          </cell>
          <cell r="AY13">
            <v>0</v>
          </cell>
          <cell r="BD13">
            <v>0</v>
          </cell>
          <cell r="BI13">
            <v>0</v>
          </cell>
        </row>
        <row r="14">
          <cell r="F14">
            <v>0</v>
          </cell>
          <cell r="K14">
            <v>0</v>
          </cell>
          <cell r="P14">
            <v>0</v>
          </cell>
          <cell r="U14">
            <v>0</v>
          </cell>
          <cell r="Z14">
            <v>0</v>
          </cell>
          <cell r="AE14">
            <v>0</v>
          </cell>
          <cell r="AJ14">
            <v>0</v>
          </cell>
          <cell r="AO14">
            <v>0</v>
          </cell>
          <cell r="AT14">
            <v>0</v>
          </cell>
          <cell r="AY14">
            <v>0</v>
          </cell>
          <cell r="BD14">
            <v>0</v>
          </cell>
          <cell r="BI14">
            <v>0</v>
          </cell>
        </row>
        <row r="15">
          <cell r="F15">
            <v>0</v>
          </cell>
          <cell r="K15">
            <v>0</v>
          </cell>
          <cell r="P15">
            <v>0</v>
          </cell>
          <cell r="U15">
            <v>0</v>
          </cell>
          <cell r="Z15">
            <v>0</v>
          </cell>
          <cell r="AE15">
            <v>0</v>
          </cell>
          <cell r="AJ15">
            <v>0</v>
          </cell>
          <cell r="AO15">
            <v>0</v>
          </cell>
          <cell r="AT15">
            <v>0</v>
          </cell>
          <cell r="AY15">
            <v>0</v>
          </cell>
          <cell r="BD15">
            <v>0</v>
          </cell>
          <cell r="BI15">
            <v>0</v>
          </cell>
        </row>
        <row r="16">
          <cell r="F16">
            <v>300.82</v>
          </cell>
          <cell r="K16">
            <v>0</v>
          </cell>
          <cell r="P16">
            <v>0</v>
          </cell>
          <cell r="U16">
            <v>0</v>
          </cell>
          <cell r="Z16">
            <v>0</v>
          </cell>
          <cell r="AE16">
            <v>0</v>
          </cell>
          <cell r="AJ16">
            <v>0</v>
          </cell>
          <cell r="AO16">
            <v>0</v>
          </cell>
          <cell r="AT16">
            <v>0</v>
          </cell>
          <cell r="AY16">
            <v>0</v>
          </cell>
          <cell r="BD16">
            <v>0</v>
          </cell>
          <cell r="BI16">
            <v>0</v>
          </cell>
        </row>
        <row r="17">
          <cell r="F17">
            <v>6.14</v>
          </cell>
          <cell r="K17">
            <v>0</v>
          </cell>
          <cell r="P17">
            <v>0</v>
          </cell>
          <cell r="U17">
            <v>0</v>
          </cell>
          <cell r="Z17">
            <v>0</v>
          </cell>
          <cell r="AE17">
            <v>0</v>
          </cell>
          <cell r="AJ17">
            <v>0</v>
          </cell>
          <cell r="AO17">
            <v>0</v>
          </cell>
          <cell r="AT17">
            <v>0</v>
          </cell>
          <cell r="AY17">
            <v>0</v>
          </cell>
          <cell r="BD17">
            <v>0</v>
          </cell>
          <cell r="BI17">
            <v>0</v>
          </cell>
        </row>
        <row r="18">
          <cell r="F18">
            <v>0</v>
          </cell>
          <cell r="K18">
            <v>0</v>
          </cell>
          <cell r="P18">
            <v>0</v>
          </cell>
          <cell r="U18">
            <v>0</v>
          </cell>
          <cell r="Z18">
            <v>0</v>
          </cell>
          <cell r="AE18">
            <v>0</v>
          </cell>
          <cell r="AJ18">
            <v>0</v>
          </cell>
          <cell r="AO18">
            <v>0</v>
          </cell>
          <cell r="AT18">
            <v>0</v>
          </cell>
          <cell r="AY18">
            <v>0</v>
          </cell>
          <cell r="BD18">
            <v>0</v>
          </cell>
          <cell r="BI18">
            <v>0</v>
          </cell>
        </row>
        <row r="19">
          <cell r="F19">
            <v>0</v>
          </cell>
          <cell r="K19">
            <v>0</v>
          </cell>
          <cell r="P19">
            <v>0</v>
          </cell>
          <cell r="U19">
            <v>0</v>
          </cell>
          <cell r="Z19">
            <v>0</v>
          </cell>
          <cell r="AE19">
            <v>0</v>
          </cell>
          <cell r="AJ19">
            <v>0</v>
          </cell>
          <cell r="AO19">
            <v>0</v>
          </cell>
          <cell r="AT19">
            <v>0</v>
          </cell>
          <cell r="AY19">
            <v>0</v>
          </cell>
          <cell r="BD19">
            <v>0</v>
          </cell>
          <cell r="BI19">
            <v>0</v>
          </cell>
        </row>
        <row r="20">
          <cell r="F20">
            <v>6.14</v>
          </cell>
          <cell r="K20">
            <v>0</v>
          </cell>
          <cell r="P20">
            <v>0</v>
          </cell>
          <cell r="U20">
            <v>0</v>
          </cell>
          <cell r="Z20">
            <v>0</v>
          </cell>
          <cell r="AE20">
            <v>0</v>
          </cell>
          <cell r="AJ20">
            <v>0</v>
          </cell>
          <cell r="AO20">
            <v>0</v>
          </cell>
          <cell r="AT20">
            <v>0</v>
          </cell>
          <cell r="AY20">
            <v>0</v>
          </cell>
          <cell r="BD20">
            <v>0</v>
          </cell>
          <cell r="BI20">
            <v>0</v>
          </cell>
        </row>
        <row r="21">
          <cell r="F21">
            <v>306.95999999999998</v>
          </cell>
          <cell r="K21">
            <v>0</v>
          </cell>
          <cell r="P21">
            <v>0</v>
          </cell>
          <cell r="U21">
            <v>0</v>
          </cell>
          <cell r="Z21">
            <v>0</v>
          </cell>
          <cell r="AE21">
            <v>0</v>
          </cell>
          <cell r="AJ21">
            <v>0</v>
          </cell>
          <cell r="AO21">
            <v>0</v>
          </cell>
          <cell r="AT21">
            <v>0</v>
          </cell>
          <cell r="AY21">
            <v>0</v>
          </cell>
          <cell r="BD21">
            <v>0</v>
          </cell>
          <cell r="BI21">
            <v>0</v>
          </cell>
        </row>
        <row r="22">
          <cell r="F22">
            <v>160.99</v>
          </cell>
          <cell r="K22">
            <v>0</v>
          </cell>
          <cell r="P22">
            <v>0</v>
          </cell>
          <cell r="U22">
            <v>0</v>
          </cell>
          <cell r="Z22">
            <v>0</v>
          </cell>
          <cell r="AE22">
            <v>0</v>
          </cell>
          <cell r="AJ22">
            <v>0</v>
          </cell>
          <cell r="AO22">
            <v>0</v>
          </cell>
          <cell r="AT22">
            <v>0</v>
          </cell>
          <cell r="AY22">
            <v>0</v>
          </cell>
          <cell r="BD22">
            <v>0</v>
          </cell>
          <cell r="BI22">
            <v>0</v>
          </cell>
        </row>
        <row r="23">
          <cell r="F23">
            <v>0</v>
          </cell>
          <cell r="K23">
            <v>0</v>
          </cell>
          <cell r="P23">
            <v>0</v>
          </cell>
          <cell r="U23">
            <v>0</v>
          </cell>
          <cell r="Z23">
            <v>0</v>
          </cell>
          <cell r="AE23">
            <v>0</v>
          </cell>
          <cell r="AJ23">
            <v>0</v>
          </cell>
          <cell r="AO23">
            <v>0</v>
          </cell>
          <cell r="AT23">
            <v>0</v>
          </cell>
          <cell r="AY23">
            <v>0</v>
          </cell>
          <cell r="BD23">
            <v>0</v>
          </cell>
          <cell r="BI23">
            <v>0</v>
          </cell>
        </row>
        <row r="24">
          <cell r="F24">
            <v>0.34</v>
          </cell>
          <cell r="K24">
            <v>0</v>
          </cell>
          <cell r="P24">
            <v>0</v>
          </cell>
          <cell r="U24">
            <v>0</v>
          </cell>
          <cell r="Z24">
            <v>0</v>
          </cell>
          <cell r="AE24">
            <v>0</v>
          </cell>
          <cell r="AJ24">
            <v>0</v>
          </cell>
          <cell r="AO24">
            <v>0</v>
          </cell>
          <cell r="AT24">
            <v>0</v>
          </cell>
          <cell r="AY24">
            <v>0</v>
          </cell>
          <cell r="BD24">
            <v>0</v>
          </cell>
          <cell r="BI24">
            <v>0</v>
          </cell>
        </row>
        <row r="25">
          <cell r="F25">
            <v>-0.35</v>
          </cell>
          <cell r="K25">
            <v>0</v>
          </cell>
          <cell r="P25">
            <v>0</v>
          </cell>
          <cell r="U25">
            <v>0</v>
          </cell>
          <cell r="Z25">
            <v>0</v>
          </cell>
          <cell r="AE25">
            <v>0</v>
          </cell>
          <cell r="AJ25">
            <v>0</v>
          </cell>
          <cell r="AO25">
            <v>0</v>
          </cell>
          <cell r="AT25">
            <v>0</v>
          </cell>
          <cell r="AY25">
            <v>0</v>
          </cell>
          <cell r="BD25">
            <v>0</v>
          </cell>
          <cell r="BI25">
            <v>0</v>
          </cell>
        </row>
        <row r="26">
          <cell r="F26">
            <v>0</v>
          </cell>
          <cell r="K26">
            <v>0</v>
          </cell>
          <cell r="P26">
            <v>0</v>
          </cell>
          <cell r="U26">
            <v>0</v>
          </cell>
          <cell r="Z26">
            <v>0</v>
          </cell>
          <cell r="AE26">
            <v>0</v>
          </cell>
          <cell r="AJ26">
            <v>0</v>
          </cell>
          <cell r="AO26">
            <v>0</v>
          </cell>
          <cell r="AT26">
            <v>0</v>
          </cell>
          <cell r="AY26">
            <v>0</v>
          </cell>
          <cell r="BD26">
            <v>0</v>
          </cell>
          <cell r="BI26">
            <v>0</v>
          </cell>
        </row>
        <row r="27">
          <cell r="F27">
            <v>-6.46</v>
          </cell>
          <cell r="K27">
            <v>0</v>
          </cell>
          <cell r="P27">
            <v>0</v>
          </cell>
          <cell r="U27">
            <v>0</v>
          </cell>
          <cell r="Z27">
            <v>0</v>
          </cell>
          <cell r="AE27">
            <v>0</v>
          </cell>
          <cell r="AJ27">
            <v>0</v>
          </cell>
          <cell r="AO27">
            <v>0</v>
          </cell>
          <cell r="AT27">
            <v>0</v>
          </cell>
          <cell r="AY27">
            <v>0</v>
          </cell>
          <cell r="BD27">
            <v>0</v>
          </cell>
          <cell r="BI27">
            <v>0</v>
          </cell>
        </row>
        <row r="28">
          <cell r="F28">
            <v>154.52000000000001</v>
          </cell>
          <cell r="K28">
            <v>0</v>
          </cell>
          <cell r="P28">
            <v>0</v>
          </cell>
          <cell r="U28">
            <v>0</v>
          </cell>
          <cell r="Z28">
            <v>0</v>
          </cell>
          <cell r="AE28">
            <v>0</v>
          </cell>
          <cell r="AJ28">
            <v>0</v>
          </cell>
          <cell r="AO28">
            <v>0</v>
          </cell>
          <cell r="AT28">
            <v>0</v>
          </cell>
          <cell r="AY28">
            <v>0</v>
          </cell>
          <cell r="BD28">
            <v>0</v>
          </cell>
          <cell r="BI28">
            <v>0</v>
          </cell>
        </row>
        <row r="29">
          <cell r="F29">
            <v>0</v>
          </cell>
          <cell r="K29">
            <v>0</v>
          </cell>
          <cell r="P29">
            <v>0</v>
          </cell>
          <cell r="U29">
            <v>0</v>
          </cell>
          <cell r="Z29">
            <v>0</v>
          </cell>
          <cell r="AE29">
            <v>0</v>
          </cell>
          <cell r="AJ29">
            <v>0</v>
          </cell>
          <cell r="AO29">
            <v>0</v>
          </cell>
          <cell r="AT29">
            <v>0</v>
          </cell>
          <cell r="AY29">
            <v>0</v>
          </cell>
          <cell r="BD29">
            <v>0</v>
          </cell>
          <cell r="BI29">
            <v>0</v>
          </cell>
        </row>
        <row r="30">
          <cell r="F30">
            <v>25.08</v>
          </cell>
          <cell r="K30">
            <v>0</v>
          </cell>
          <cell r="P30">
            <v>0</v>
          </cell>
          <cell r="U30">
            <v>0</v>
          </cell>
          <cell r="Z30">
            <v>0</v>
          </cell>
          <cell r="AE30">
            <v>0</v>
          </cell>
          <cell r="AJ30">
            <v>0</v>
          </cell>
          <cell r="AO30">
            <v>0</v>
          </cell>
          <cell r="AT30">
            <v>0</v>
          </cell>
          <cell r="AY30">
            <v>0</v>
          </cell>
          <cell r="BD30">
            <v>0</v>
          </cell>
          <cell r="BI30">
            <v>0</v>
          </cell>
        </row>
        <row r="31">
          <cell r="F31">
            <v>0</v>
          </cell>
          <cell r="K31">
            <v>0</v>
          </cell>
          <cell r="P31">
            <v>0</v>
          </cell>
          <cell r="U31">
            <v>0</v>
          </cell>
          <cell r="Z31">
            <v>0</v>
          </cell>
          <cell r="AE31">
            <v>0</v>
          </cell>
          <cell r="AJ31">
            <v>0</v>
          </cell>
          <cell r="AO31">
            <v>0</v>
          </cell>
          <cell r="AT31">
            <v>0</v>
          </cell>
          <cell r="AY31">
            <v>0</v>
          </cell>
          <cell r="BD31">
            <v>0</v>
          </cell>
          <cell r="BI31">
            <v>0</v>
          </cell>
        </row>
        <row r="32">
          <cell r="F32">
            <v>25.08</v>
          </cell>
          <cell r="K32">
            <v>0</v>
          </cell>
          <cell r="P32">
            <v>0</v>
          </cell>
          <cell r="U32">
            <v>0</v>
          </cell>
          <cell r="Z32">
            <v>0</v>
          </cell>
          <cell r="AE32">
            <v>0</v>
          </cell>
          <cell r="AJ32">
            <v>0</v>
          </cell>
          <cell r="AO32">
            <v>0</v>
          </cell>
          <cell r="AT32">
            <v>0</v>
          </cell>
          <cell r="AY32">
            <v>0</v>
          </cell>
          <cell r="BD32">
            <v>0</v>
          </cell>
          <cell r="BI32">
            <v>0</v>
          </cell>
        </row>
        <row r="33">
          <cell r="F33">
            <v>179.60000000000002</v>
          </cell>
          <cell r="K33">
            <v>0</v>
          </cell>
          <cell r="P33">
            <v>0</v>
          </cell>
          <cell r="U33">
            <v>0</v>
          </cell>
          <cell r="Z33">
            <v>0</v>
          </cell>
          <cell r="AE33">
            <v>0</v>
          </cell>
          <cell r="AJ33">
            <v>0</v>
          </cell>
          <cell r="AO33">
            <v>0</v>
          </cell>
          <cell r="AT33">
            <v>0</v>
          </cell>
          <cell r="AY33">
            <v>0</v>
          </cell>
          <cell r="BD33">
            <v>0</v>
          </cell>
          <cell r="BI33">
            <v>0</v>
          </cell>
        </row>
        <row r="34">
          <cell r="F34">
            <v>127.35999999999996</v>
          </cell>
          <cell r="K34">
            <v>0</v>
          </cell>
          <cell r="P34">
            <v>0</v>
          </cell>
          <cell r="U34">
            <v>0</v>
          </cell>
          <cell r="Z34">
            <v>0</v>
          </cell>
          <cell r="AE34">
            <v>0</v>
          </cell>
          <cell r="AJ34">
            <v>0</v>
          </cell>
          <cell r="AO34">
            <v>0</v>
          </cell>
          <cell r="AT34">
            <v>0</v>
          </cell>
          <cell r="AY34">
            <v>0</v>
          </cell>
          <cell r="BD34">
            <v>0</v>
          </cell>
          <cell r="BI34">
            <v>0</v>
          </cell>
        </row>
        <row r="35">
          <cell r="F35">
            <v>0.41490747980192849</v>
          </cell>
          <cell r="K35">
            <v>0</v>
          </cell>
          <cell r="P35">
            <v>0</v>
          </cell>
          <cell r="U35">
            <v>0</v>
          </cell>
          <cell r="Z35">
            <v>0</v>
          </cell>
          <cell r="AE35">
            <v>0</v>
          </cell>
          <cell r="AJ35">
            <v>0</v>
          </cell>
          <cell r="AO35">
            <v>0</v>
          </cell>
          <cell r="AT35">
            <v>0</v>
          </cell>
          <cell r="AY35">
            <v>0</v>
          </cell>
          <cell r="BD35">
            <v>0</v>
          </cell>
          <cell r="BI35">
            <v>0</v>
          </cell>
        </row>
        <row r="36">
          <cell r="F36">
            <v>28.22</v>
          </cell>
          <cell r="K36">
            <v>0</v>
          </cell>
          <cell r="P36">
            <v>0</v>
          </cell>
          <cell r="U36">
            <v>0</v>
          </cell>
          <cell r="Z36">
            <v>0</v>
          </cell>
          <cell r="AE36">
            <v>0</v>
          </cell>
          <cell r="AJ36">
            <v>0</v>
          </cell>
          <cell r="AO36">
            <v>0</v>
          </cell>
          <cell r="AT36">
            <v>0</v>
          </cell>
          <cell r="AY36">
            <v>0</v>
          </cell>
          <cell r="BD36">
            <v>0</v>
          </cell>
          <cell r="BI36">
            <v>0</v>
          </cell>
        </row>
        <row r="37">
          <cell r="F37">
            <v>0</v>
          </cell>
          <cell r="K37">
            <v>0</v>
          </cell>
          <cell r="P37">
            <v>0</v>
          </cell>
          <cell r="U37">
            <v>0</v>
          </cell>
          <cell r="Z37">
            <v>0</v>
          </cell>
          <cell r="AE37">
            <v>0</v>
          </cell>
          <cell r="AJ37">
            <v>0</v>
          </cell>
          <cell r="AO37">
            <v>0</v>
          </cell>
          <cell r="AT37">
            <v>0</v>
          </cell>
          <cell r="AY37">
            <v>0</v>
          </cell>
          <cell r="BD37">
            <v>0</v>
          </cell>
          <cell r="BI37">
            <v>0</v>
          </cell>
        </row>
        <row r="38">
          <cell r="F38">
            <v>1.29</v>
          </cell>
          <cell r="K38">
            <v>0</v>
          </cell>
          <cell r="P38">
            <v>0</v>
          </cell>
          <cell r="U38">
            <v>0</v>
          </cell>
          <cell r="Z38">
            <v>0</v>
          </cell>
          <cell r="AE38">
            <v>0</v>
          </cell>
          <cell r="AJ38">
            <v>0</v>
          </cell>
          <cell r="AO38">
            <v>0</v>
          </cell>
          <cell r="AT38">
            <v>0</v>
          </cell>
          <cell r="AY38">
            <v>0</v>
          </cell>
          <cell r="BD38">
            <v>0</v>
          </cell>
          <cell r="BI38">
            <v>0</v>
          </cell>
        </row>
        <row r="39">
          <cell r="F39">
            <v>0.09</v>
          </cell>
          <cell r="K39">
            <v>0</v>
          </cell>
          <cell r="P39">
            <v>0</v>
          </cell>
          <cell r="U39">
            <v>0</v>
          </cell>
          <cell r="Z39">
            <v>0</v>
          </cell>
          <cell r="AE39">
            <v>0</v>
          </cell>
          <cell r="AJ39">
            <v>0</v>
          </cell>
          <cell r="AO39">
            <v>0</v>
          </cell>
          <cell r="AT39">
            <v>0</v>
          </cell>
          <cell r="AY39">
            <v>0</v>
          </cell>
          <cell r="BD39">
            <v>0</v>
          </cell>
          <cell r="BI39">
            <v>0</v>
          </cell>
        </row>
        <row r="40">
          <cell r="F40">
            <v>21.200000000000003</v>
          </cell>
          <cell r="K40">
            <v>0</v>
          </cell>
          <cell r="P40">
            <v>0</v>
          </cell>
          <cell r="U40">
            <v>0</v>
          </cell>
          <cell r="Z40">
            <v>0</v>
          </cell>
          <cell r="AE40">
            <v>0</v>
          </cell>
          <cell r="AJ40">
            <v>0</v>
          </cell>
          <cell r="AO40">
            <v>0</v>
          </cell>
          <cell r="AT40">
            <v>0</v>
          </cell>
          <cell r="AY40">
            <v>0</v>
          </cell>
          <cell r="BD40">
            <v>0</v>
          </cell>
          <cell r="BI40">
            <v>0</v>
          </cell>
        </row>
        <row r="41">
          <cell r="F41">
            <v>0</v>
          </cell>
          <cell r="K41">
            <v>0</v>
          </cell>
          <cell r="P41">
            <v>0</v>
          </cell>
          <cell r="U41">
            <v>0</v>
          </cell>
          <cell r="Z41">
            <v>0</v>
          </cell>
          <cell r="AE41">
            <v>0</v>
          </cell>
          <cell r="AJ41">
            <v>0</v>
          </cell>
          <cell r="AO41">
            <v>0</v>
          </cell>
          <cell r="AT41">
            <v>0</v>
          </cell>
          <cell r="AY41">
            <v>0</v>
          </cell>
          <cell r="BD41">
            <v>0</v>
          </cell>
          <cell r="BI41">
            <v>0</v>
          </cell>
        </row>
        <row r="42">
          <cell r="F42">
            <v>0</v>
          </cell>
          <cell r="K42">
            <v>0</v>
          </cell>
          <cell r="P42">
            <v>0</v>
          </cell>
          <cell r="U42">
            <v>0</v>
          </cell>
          <cell r="Z42">
            <v>0</v>
          </cell>
          <cell r="AE42">
            <v>0</v>
          </cell>
          <cell r="AJ42">
            <v>0</v>
          </cell>
          <cell r="AO42">
            <v>0</v>
          </cell>
          <cell r="AT42">
            <v>0</v>
          </cell>
          <cell r="AY42">
            <v>0</v>
          </cell>
          <cell r="BD42">
            <v>0</v>
          </cell>
          <cell r="BI42">
            <v>0</v>
          </cell>
        </row>
        <row r="43">
          <cell r="F43">
            <v>0</v>
          </cell>
          <cell r="K43">
            <v>0</v>
          </cell>
          <cell r="P43">
            <v>0</v>
          </cell>
          <cell r="U43">
            <v>0</v>
          </cell>
          <cell r="Z43">
            <v>0</v>
          </cell>
          <cell r="AE43">
            <v>0</v>
          </cell>
          <cell r="AJ43">
            <v>0</v>
          </cell>
          <cell r="AO43">
            <v>0</v>
          </cell>
          <cell r="AT43">
            <v>0</v>
          </cell>
          <cell r="AY43">
            <v>0</v>
          </cell>
          <cell r="BD43">
            <v>0</v>
          </cell>
          <cell r="BI43">
            <v>0</v>
          </cell>
        </row>
        <row r="44">
          <cell r="F44">
            <v>2.5299999999999998</v>
          </cell>
          <cell r="K44">
            <v>0</v>
          </cell>
          <cell r="P44">
            <v>0</v>
          </cell>
          <cell r="U44">
            <v>0</v>
          </cell>
          <cell r="Z44">
            <v>0</v>
          </cell>
          <cell r="AE44">
            <v>0</v>
          </cell>
          <cell r="AJ44">
            <v>0</v>
          </cell>
          <cell r="AO44">
            <v>0</v>
          </cell>
          <cell r="AT44">
            <v>0</v>
          </cell>
          <cell r="AY44">
            <v>0</v>
          </cell>
          <cell r="BD44">
            <v>0</v>
          </cell>
          <cell r="BI44">
            <v>0</v>
          </cell>
        </row>
        <row r="45">
          <cell r="F45">
            <v>0</v>
          </cell>
          <cell r="K45">
            <v>0</v>
          </cell>
          <cell r="P45">
            <v>0</v>
          </cell>
          <cell r="U45">
            <v>0</v>
          </cell>
          <cell r="Z45">
            <v>0</v>
          </cell>
          <cell r="AE45">
            <v>0</v>
          </cell>
          <cell r="AJ45">
            <v>0</v>
          </cell>
          <cell r="AO45">
            <v>0</v>
          </cell>
          <cell r="AT45">
            <v>0</v>
          </cell>
          <cell r="AY45">
            <v>0</v>
          </cell>
          <cell r="BD45">
            <v>0</v>
          </cell>
          <cell r="BI45">
            <v>0</v>
          </cell>
        </row>
        <row r="46">
          <cell r="F46">
            <v>0</v>
          </cell>
          <cell r="K46">
            <v>0</v>
          </cell>
          <cell r="P46">
            <v>0</v>
          </cell>
          <cell r="U46">
            <v>0</v>
          </cell>
          <cell r="Z46">
            <v>0</v>
          </cell>
          <cell r="AE46">
            <v>0</v>
          </cell>
          <cell r="AJ46">
            <v>0</v>
          </cell>
          <cell r="AO46">
            <v>0</v>
          </cell>
          <cell r="AT46">
            <v>0</v>
          </cell>
          <cell r="AY46">
            <v>0</v>
          </cell>
          <cell r="BD46">
            <v>0</v>
          </cell>
          <cell r="BI46">
            <v>0</v>
          </cell>
        </row>
        <row r="47">
          <cell r="F47">
            <v>0</v>
          </cell>
          <cell r="K47">
            <v>0</v>
          </cell>
          <cell r="P47">
            <v>0</v>
          </cell>
          <cell r="U47">
            <v>0</v>
          </cell>
          <cell r="Z47">
            <v>0</v>
          </cell>
          <cell r="AE47">
            <v>0</v>
          </cell>
          <cell r="AJ47">
            <v>0</v>
          </cell>
          <cell r="AO47">
            <v>0</v>
          </cell>
          <cell r="AT47">
            <v>0</v>
          </cell>
          <cell r="AY47">
            <v>0</v>
          </cell>
          <cell r="BD47">
            <v>0</v>
          </cell>
          <cell r="BI47">
            <v>0</v>
          </cell>
        </row>
        <row r="48">
          <cell r="F48">
            <v>0</v>
          </cell>
          <cell r="K48">
            <v>0</v>
          </cell>
          <cell r="P48">
            <v>0</v>
          </cell>
          <cell r="U48">
            <v>0</v>
          </cell>
          <cell r="Z48">
            <v>0</v>
          </cell>
          <cell r="AE48">
            <v>0</v>
          </cell>
          <cell r="AJ48">
            <v>0</v>
          </cell>
          <cell r="AO48">
            <v>0</v>
          </cell>
          <cell r="AT48">
            <v>0</v>
          </cell>
          <cell r="AY48">
            <v>0</v>
          </cell>
          <cell r="BD48">
            <v>0</v>
          </cell>
          <cell r="BI48">
            <v>0</v>
          </cell>
        </row>
        <row r="49">
          <cell r="F49">
            <v>0</v>
          </cell>
          <cell r="K49">
            <v>0</v>
          </cell>
          <cell r="P49">
            <v>0</v>
          </cell>
          <cell r="U49">
            <v>0</v>
          </cell>
          <cell r="Z49">
            <v>0</v>
          </cell>
          <cell r="AE49">
            <v>0</v>
          </cell>
          <cell r="AJ49">
            <v>0</v>
          </cell>
          <cell r="AO49">
            <v>0</v>
          </cell>
          <cell r="AT49">
            <v>0</v>
          </cell>
          <cell r="AY49">
            <v>0</v>
          </cell>
          <cell r="BD49">
            <v>0</v>
          </cell>
          <cell r="BI49">
            <v>0</v>
          </cell>
        </row>
        <row r="50">
          <cell r="F50">
            <v>53.33</v>
          </cell>
          <cell r="K50">
            <v>0</v>
          </cell>
          <cell r="P50">
            <v>0</v>
          </cell>
          <cell r="U50">
            <v>0</v>
          </cell>
          <cell r="Z50">
            <v>0</v>
          </cell>
          <cell r="AE50">
            <v>0</v>
          </cell>
          <cell r="AJ50">
            <v>0</v>
          </cell>
          <cell r="AO50">
            <v>0</v>
          </cell>
          <cell r="AT50">
            <v>0</v>
          </cell>
          <cell r="AY50">
            <v>0</v>
          </cell>
          <cell r="BD50">
            <v>0</v>
          </cell>
          <cell r="BI50">
            <v>0</v>
          </cell>
        </row>
        <row r="51">
          <cell r="F51">
            <v>0</v>
          </cell>
          <cell r="K51">
            <v>0</v>
          </cell>
          <cell r="P51">
            <v>0</v>
          </cell>
          <cell r="U51">
            <v>0</v>
          </cell>
          <cell r="Z51">
            <v>0</v>
          </cell>
          <cell r="AE51">
            <v>0</v>
          </cell>
          <cell r="AJ51">
            <v>0</v>
          </cell>
          <cell r="AO51">
            <v>0</v>
          </cell>
          <cell r="AT51">
            <v>0</v>
          </cell>
          <cell r="AY51">
            <v>0</v>
          </cell>
          <cell r="BD51">
            <v>0</v>
          </cell>
          <cell r="BI51">
            <v>0</v>
          </cell>
        </row>
        <row r="52">
          <cell r="F52">
            <v>4.22</v>
          </cell>
          <cell r="K52">
            <v>0</v>
          </cell>
          <cell r="P52">
            <v>0</v>
          </cell>
          <cell r="U52">
            <v>0</v>
          </cell>
          <cell r="Z52">
            <v>0</v>
          </cell>
          <cell r="AE52">
            <v>0</v>
          </cell>
          <cell r="AJ52">
            <v>0</v>
          </cell>
          <cell r="AO52">
            <v>0</v>
          </cell>
          <cell r="AT52">
            <v>0</v>
          </cell>
          <cell r="AY52">
            <v>0</v>
          </cell>
          <cell r="BD52">
            <v>0</v>
          </cell>
          <cell r="BI52">
            <v>0</v>
          </cell>
        </row>
        <row r="53">
          <cell r="F53">
            <v>0</v>
          </cell>
          <cell r="K53">
            <v>0</v>
          </cell>
          <cell r="P53">
            <v>0</v>
          </cell>
          <cell r="U53">
            <v>0</v>
          </cell>
          <cell r="Z53">
            <v>0</v>
          </cell>
          <cell r="AE53">
            <v>0</v>
          </cell>
          <cell r="AJ53">
            <v>0</v>
          </cell>
          <cell r="AO53">
            <v>0</v>
          </cell>
          <cell r="AT53">
            <v>0</v>
          </cell>
          <cell r="AY53">
            <v>0</v>
          </cell>
          <cell r="BD53">
            <v>0</v>
          </cell>
          <cell r="BI53">
            <v>0</v>
          </cell>
        </row>
        <row r="54">
          <cell r="F54">
            <v>0</v>
          </cell>
          <cell r="K54">
            <v>0</v>
          </cell>
          <cell r="P54">
            <v>0</v>
          </cell>
          <cell r="U54">
            <v>0</v>
          </cell>
          <cell r="Z54">
            <v>0</v>
          </cell>
          <cell r="AE54">
            <v>0</v>
          </cell>
          <cell r="AJ54">
            <v>0</v>
          </cell>
          <cell r="AO54">
            <v>0</v>
          </cell>
          <cell r="AT54">
            <v>0</v>
          </cell>
          <cell r="AY54">
            <v>0</v>
          </cell>
          <cell r="BD54">
            <v>0</v>
          </cell>
          <cell r="BI54">
            <v>0</v>
          </cell>
        </row>
        <row r="55">
          <cell r="F55">
            <v>0</v>
          </cell>
          <cell r="K55">
            <v>0</v>
          </cell>
          <cell r="P55">
            <v>0</v>
          </cell>
          <cell r="U55">
            <v>0</v>
          </cell>
          <cell r="Z55">
            <v>0</v>
          </cell>
          <cell r="AE55">
            <v>0</v>
          </cell>
          <cell r="AJ55">
            <v>0</v>
          </cell>
          <cell r="AO55">
            <v>0</v>
          </cell>
          <cell r="AT55">
            <v>0</v>
          </cell>
          <cell r="AY55">
            <v>0</v>
          </cell>
          <cell r="BD55">
            <v>0</v>
          </cell>
          <cell r="BI55">
            <v>0</v>
          </cell>
        </row>
        <row r="56">
          <cell r="F56">
            <v>4.22</v>
          </cell>
          <cell r="K56">
            <v>0</v>
          </cell>
          <cell r="P56">
            <v>0</v>
          </cell>
          <cell r="U56">
            <v>0</v>
          </cell>
          <cell r="Z56">
            <v>0</v>
          </cell>
          <cell r="AE56">
            <v>0</v>
          </cell>
          <cell r="AJ56">
            <v>0</v>
          </cell>
          <cell r="AO56">
            <v>0</v>
          </cell>
          <cell r="AT56">
            <v>0</v>
          </cell>
          <cell r="AY56">
            <v>0</v>
          </cell>
          <cell r="BD56">
            <v>0</v>
          </cell>
          <cell r="BI56">
            <v>0</v>
          </cell>
        </row>
        <row r="57">
          <cell r="F57">
            <v>0.29000000000000004</v>
          </cell>
          <cell r="K57">
            <v>0</v>
          </cell>
          <cell r="P57">
            <v>0</v>
          </cell>
          <cell r="U57">
            <v>0</v>
          </cell>
          <cell r="Z57">
            <v>0</v>
          </cell>
          <cell r="AE57">
            <v>0</v>
          </cell>
          <cell r="AJ57">
            <v>0</v>
          </cell>
          <cell r="AO57">
            <v>0</v>
          </cell>
          <cell r="AT57">
            <v>0</v>
          </cell>
          <cell r="AY57">
            <v>0</v>
          </cell>
          <cell r="BD57">
            <v>0</v>
          </cell>
          <cell r="BI57">
            <v>0</v>
          </cell>
        </row>
        <row r="58">
          <cell r="F58">
            <v>0</v>
          </cell>
          <cell r="K58">
            <v>0</v>
          </cell>
          <cell r="P58">
            <v>0</v>
          </cell>
          <cell r="U58">
            <v>0</v>
          </cell>
          <cell r="Z58">
            <v>0</v>
          </cell>
          <cell r="AE58">
            <v>0</v>
          </cell>
          <cell r="AJ58">
            <v>0</v>
          </cell>
          <cell r="AO58">
            <v>0</v>
          </cell>
          <cell r="AT58">
            <v>0</v>
          </cell>
          <cell r="AY58">
            <v>0</v>
          </cell>
          <cell r="BD58">
            <v>0</v>
          </cell>
          <cell r="BI58">
            <v>0</v>
          </cell>
        </row>
        <row r="59">
          <cell r="F59">
            <v>0</v>
          </cell>
          <cell r="K59">
            <v>0</v>
          </cell>
          <cell r="P59">
            <v>0</v>
          </cell>
          <cell r="U59">
            <v>0</v>
          </cell>
          <cell r="Z59">
            <v>0</v>
          </cell>
          <cell r="AE59">
            <v>0</v>
          </cell>
          <cell r="AJ59">
            <v>0</v>
          </cell>
          <cell r="AO59">
            <v>0</v>
          </cell>
          <cell r="AT59">
            <v>0</v>
          </cell>
          <cell r="AY59">
            <v>0</v>
          </cell>
          <cell r="BD59">
            <v>0</v>
          </cell>
          <cell r="BI59">
            <v>0</v>
          </cell>
        </row>
        <row r="60">
          <cell r="F60">
            <v>0</v>
          </cell>
          <cell r="K60">
            <v>0</v>
          </cell>
          <cell r="P60">
            <v>0</v>
          </cell>
          <cell r="U60">
            <v>0</v>
          </cell>
          <cell r="Z60">
            <v>0</v>
          </cell>
          <cell r="AE60">
            <v>0</v>
          </cell>
          <cell r="AJ60">
            <v>0</v>
          </cell>
          <cell r="AO60">
            <v>0</v>
          </cell>
          <cell r="AT60">
            <v>0</v>
          </cell>
          <cell r="AY60">
            <v>0</v>
          </cell>
          <cell r="BD60">
            <v>0</v>
          </cell>
          <cell r="BI60">
            <v>0</v>
          </cell>
        </row>
        <row r="61">
          <cell r="F61">
            <v>12.64</v>
          </cell>
          <cell r="K61">
            <v>0</v>
          </cell>
          <cell r="P61">
            <v>0</v>
          </cell>
          <cell r="U61">
            <v>0</v>
          </cell>
          <cell r="Z61">
            <v>0</v>
          </cell>
          <cell r="AE61">
            <v>0</v>
          </cell>
          <cell r="AJ61">
            <v>0</v>
          </cell>
          <cell r="AO61">
            <v>0</v>
          </cell>
          <cell r="AT61">
            <v>0</v>
          </cell>
          <cell r="AY61">
            <v>0</v>
          </cell>
          <cell r="BD61">
            <v>0</v>
          </cell>
          <cell r="BI61">
            <v>0</v>
          </cell>
        </row>
        <row r="62">
          <cell r="F62">
            <v>0</v>
          </cell>
          <cell r="K62">
            <v>0</v>
          </cell>
          <cell r="P62">
            <v>0</v>
          </cell>
          <cell r="U62">
            <v>0</v>
          </cell>
          <cell r="Z62">
            <v>0</v>
          </cell>
          <cell r="AE62">
            <v>0</v>
          </cell>
          <cell r="AJ62">
            <v>0</v>
          </cell>
          <cell r="AO62">
            <v>0</v>
          </cell>
          <cell r="AT62">
            <v>0</v>
          </cell>
          <cell r="AY62">
            <v>0</v>
          </cell>
          <cell r="BD62">
            <v>0</v>
          </cell>
          <cell r="BI62">
            <v>0</v>
          </cell>
        </row>
        <row r="63">
          <cell r="F63">
            <v>0</v>
          </cell>
          <cell r="K63">
            <v>0</v>
          </cell>
          <cell r="P63">
            <v>0</v>
          </cell>
          <cell r="U63">
            <v>0</v>
          </cell>
          <cell r="Z63">
            <v>0</v>
          </cell>
          <cell r="AE63">
            <v>0</v>
          </cell>
          <cell r="AJ63">
            <v>0</v>
          </cell>
          <cell r="AO63">
            <v>0</v>
          </cell>
          <cell r="AT63">
            <v>0</v>
          </cell>
          <cell r="AY63">
            <v>0</v>
          </cell>
          <cell r="BD63">
            <v>0</v>
          </cell>
          <cell r="BI63">
            <v>0</v>
          </cell>
        </row>
        <row r="64">
          <cell r="F64">
            <v>0</v>
          </cell>
          <cell r="K64">
            <v>0</v>
          </cell>
          <cell r="P64">
            <v>0</v>
          </cell>
          <cell r="U64">
            <v>0</v>
          </cell>
          <cell r="Z64">
            <v>0</v>
          </cell>
          <cell r="AE64">
            <v>0</v>
          </cell>
          <cell r="AJ64">
            <v>0</v>
          </cell>
          <cell r="AO64">
            <v>0</v>
          </cell>
          <cell r="AT64">
            <v>0</v>
          </cell>
          <cell r="AY64">
            <v>0</v>
          </cell>
          <cell r="BD64">
            <v>0</v>
          </cell>
          <cell r="BI64">
            <v>0</v>
          </cell>
        </row>
        <row r="65">
          <cell r="F65">
            <v>12.64</v>
          </cell>
          <cell r="K65">
            <v>0</v>
          </cell>
          <cell r="P65">
            <v>0</v>
          </cell>
          <cell r="U65">
            <v>0</v>
          </cell>
          <cell r="Z65">
            <v>0</v>
          </cell>
          <cell r="AE65">
            <v>0</v>
          </cell>
          <cell r="AJ65">
            <v>0</v>
          </cell>
          <cell r="AO65">
            <v>0</v>
          </cell>
          <cell r="AT65">
            <v>0</v>
          </cell>
          <cell r="AY65">
            <v>0</v>
          </cell>
          <cell r="BD65">
            <v>0</v>
          </cell>
          <cell r="BI65">
            <v>0</v>
          </cell>
        </row>
        <row r="66">
          <cell r="F66">
            <v>0.57000000000000006</v>
          </cell>
          <cell r="K66">
            <v>0</v>
          </cell>
          <cell r="P66">
            <v>0</v>
          </cell>
          <cell r="U66">
            <v>0</v>
          </cell>
          <cell r="Z66">
            <v>0</v>
          </cell>
          <cell r="AE66">
            <v>0</v>
          </cell>
          <cell r="AJ66">
            <v>0</v>
          </cell>
          <cell r="AO66">
            <v>0</v>
          </cell>
          <cell r="AT66">
            <v>0</v>
          </cell>
          <cell r="AY66">
            <v>0</v>
          </cell>
          <cell r="BD66">
            <v>0</v>
          </cell>
          <cell r="BI66">
            <v>0</v>
          </cell>
        </row>
        <row r="67">
          <cell r="F67">
            <v>0</v>
          </cell>
          <cell r="K67">
            <v>0</v>
          </cell>
          <cell r="P67">
            <v>0</v>
          </cell>
          <cell r="U67">
            <v>0</v>
          </cell>
          <cell r="Z67">
            <v>0</v>
          </cell>
          <cell r="AE67">
            <v>0</v>
          </cell>
          <cell r="AJ67">
            <v>0</v>
          </cell>
          <cell r="AO67">
            <v>0</v>
          </cell>
          <cell r="AT67">
            <v>0</v>
          </cell>
          <cell r="AY67">
            <v>0</v>
          </cell>
          <cell r="BD67">
            <v>0</v>
          </cell>
          <cell r="BI67">
            <v>0</v>
          </cell>
        </row>
        <row r="68">
          <cell r="F68">
            <v>2.12</v>
          </cell>
          <cell r="K68">
            <v>0</v>
          </cell>
          <cell r="P68">
            <v>0</v>
          </cell>
          <cell r="U68">
            <v>0</v>
          </cell>
          <cell r="Z68">
            <v>0</v>
          </cell>
          <cell r="AE68">
            <v>0</v>
          </cell>
          <cell r="AJ68">
            <v>0</v>
          </cell>
          <cell r="AO68">
            <v>0</v>
          </cell>
          <cell r="AT68">
            <v>0</v>
          </cell>
          <cell r="AY68">
            <v>0</v>
          </cell>
          <cell r="BD68">
            <v>0</v>
          </cell>
          <cell r="BI68">
            <v>0</v>
          </cell>
        </row>
        <row r="69">
          <cell r="F69">
            <v>0</v>
          </cell>
          <cell r="K69">
            <v>0</v>
          </cell>
          <cell r="P69">
            <v>0</v>
          </cell>
          <cell r="U69">
            <v>0</v>
          </cell>
          <cell r="Z69">
            <v>0</v>
          </cell>
          <cell r="AE69">
            <v>0</v>
          </cell>
          <cell r="AJ69">
            <v>0</v>
          </cell>
          <cell r="AO69">
            <v>0</v>
          </cell>
          <cell r="AT69">
            <v>0</v>
          </cell>
          <cell r="AY69">
            <v>0</v>
          </cell>
          <cell r="BD69">
            <v>0</v>
          </cell>
          <cell r="BI69">
            <v>0</v>
          </cell>
        </row>
        <row r="70">
          <cell r="F70">
            <v>0</v>
          </cell>
          <cell r="K70">
            <v>0</v>
          </cell>
          <cell r="P70">
            <v>0</v>
          </cell>
          <cell r="U70">
            <v>0</v>
          </cell>
          <cell r="Z70">
            <v>0</v>
          </cell>
          <cell r="AE70">
            <v>0</v>
          </cell>
          <cell r="AJ70">
            <v>0</v>
          </cell>
          <cell r="AO70">
            <v>0</v>
          </cell>
          <cell r="AT70">
            <v>0</v>
          </cell>
          <cell r="AY70">
            <v>0</v>
          </cell>
          <cell r="BD70">
            <v>0</v>
          </cell>
          <cell r="BI70">
            <v>0</v>
          </cell>
        </row>
        <row r="71">
          <cell r="F71">
            <v>0</v>
          </cell>
          <cell r="K71">
            <v>0</v>
          </cell>
          <cell r="P71">
            <v>0</v>
          </cell>
          <cell r="U71">
            <v>0</v>
          </cell>
          <cell r="Z71">
            <v>0</v>
          </cell>
          <cell r="AE71">
            <v>0</v>
          </cell>
          <cell r="AJ71">
            <v>0</v>
          </cell>
          <cell r="AO71">
            <v>0</v>
          </cell>
          <cell r="AT71">
            <v>0</v>
          </cell>
          <cell r="AY71">
            <v>0</v>
          </cell>
          <cell r="BD71">
            <v>0</v>
          </cell>
          <cell r="BI71">
            <v>0</v>
          </cell>
        </row>
        <row r="72">
          <cell r="F72">
            <v>0.65</v>
          </cell>
          <cell r="K72">
            <v>0</v>
          </cell>
          <cell r="P72">
            <v>0</v>
          </cell>
          <cell r="U72">
            <v>0</v>
          </cell>
          <cell r="Z72">
            <v>0</v>
          </cell>
          <cell r="AE72">
            <v>0</v>
          </cell>
          <cell r="AJ72">
            <v>0</v>
          </cell>
          <cell r="AO72">
            <v>0</v>
          </cell>
          <cell r="AT72">
            <v>0</v>
          </cell>
          <cell r="AY72">
            <v>0</v>
          </cell>
          <cell r="BD72">
            <v>0</v>
          </cell>
          <cell r="BI72">
            <v>0</v>
          </cell>
        </row>
        <row r="73">
          <cell r="F73">
            <v>0</v>
          </cell>
          <cell r="K73">
            <v>0</v>
          </cell>
          <cell r="P73">
            <v>0</v>
          </cell>
          <cell r="U73">
            <v>0</v>
          </cell>
          <cell r="Z73">
            <v>0</v>
          </cell>
          <cell r="AE73">
            <v>0</v>
          </cell>
          <cell r="AJ73">
            <v>0</v>
          </cell>
          <cell r="AO73">
            <v>0</v>
          </cell>
          <cell r="AT73">
            <v>0</v>
          </cell>
          <cell r="AY73">
            <v>0</v>
          </cell>
          <cell r="BD73">
            <v>0</v>
          </cell>
          <cell r="BI73">
            <v>0</v>
          </cell>
        </row>
        <row r="74">
          <cell r="F74">
            <v>0</v>
          </cell>
          <cell r="K74">
            <v>0</v>
          </cell>
          <cell r="P74">
            <v>0</v>
          </cell>
          <cell r="U74">
            <v>0</v>
          </cell>
          <cell r="Z74">
            <v>0</v>
          </cell>
          <cell r="AE74">
            <v>0</v>
          </cell>
          <cell r="AJ74">
            <v>0</v>
          </cell>
          <cell r="AO74">
            <v>0</v>
          </cell>
          <cell r="AT74">
            <v>0</v>
          </cell>
          <cell r="AY74">
            <v>0</v>
          </cell>
          <cell r="BD74">
            <v>0</v>
          </cell>
          <cell r="BI74">
            <v>0</v>
          </cell>
        </row>
        <row r="75">
          <cell r="F75">
            <v>0</v>
          </cell>
          <cell r="K75">
            <v>0</v>
          </cell>
          <cell r="P75">
            <v>0</v>
          </cell>
          <cell r="U75">
            <v>0</v>
          </cell>
          <cell r="Z75">
            <v>0</v>
          </cell>
          <cell r="AE75">
            <v>0</v>
          </cell>
          <cell r="AJ75">
            <v>0</v>
          </cell>
          <cell r="AO75">
            <v>0</v>
          </cell>
          <cell r="AT75">
            <v>0</v>
          </cell>
          <cell r="AY75">
            <v>0</v>
          </cell>
          <cell r="BD75">
            <v>0</v>
          </cell>
          <cell r="BI75">
            <v>0</v>
          </cell>
        </row>
        <row r="76">
          <cell r="F76">
            <v>0</v>
          </cell>
          <cell r="K76">
            <v>0</v>
          </cell>
          <cell r="P76">
            <v>0</v>
          </cell>
          <cell r="U76">
            <v>0</v>
          </cell>
          <cell r="Z76">
            <v>0</v>
          </cell>
          <cell r="AE76">
            <v>0</v>
          </cell>
          <cell r="AJ76">
            <v>0</v>
          </cell>
          <cell r="AO76">
            <v>0</v>
          </cell>
          <cell r="AT76">
            <v>0</v>
          </cell>
          <cell r="AY76">
            <v>0</v>
          </cell>
          <cell r="BD76">
            <v>0</v>
          </cell>
          <cell r="BI76">
            <v>0</v>
          </cell>
        </row>
        <row r="77">
          <cell r="F77">
            <v>1.89</v>
          </cell>
          <cell r="K77">
            <v>0</v>
          </cell>
          <cell r="P77">
            <v>0</v>
          </cell>
          <cell r="U77">
            <v>0</v>
          </cell>
          <cell r="Z77">
            <v>0</v>
          </cell>
          <cell r="AE77">
            <v>0</v>
          </cell>
          <cell r="AJ77">
            <v>0</v>
          </cell>
          <cell r="AO77">
            <v>0</v>
          </cell>
          <cell r="AT77">
            <v>0</v>
          </cell>
          <cell r="AY77">
            <v>0</v>
          </cell>
          <cell r="BD77">
            <v>0</v>
          </cell>
          <cell r="BI77">
            <v>0</v>
          </cell>
        </row>
        <row r="78">
          <cell r="F78">
            <v>2.79</v>
          </cell>
          <cell r="K78">
            <v>0</v>
          </cell>
          <cell r="P78">
            <v>0</v>
          </cell>
          <cell r="U78">
            <v>0</v>
          </cell>
          <cell r="Z78">
            <v>0</v>
          </cell>
          <cell r="AE78">
            <v>0</v>
          </cell>
          <cell r="AJ78">
            <v>0</v>
          </cell>
          <cell r="AO78">
            <v>0</v>
          </cell>
          <cell r="AT78">
            <v>0</v>
          </cell>
          <cell r="AY78">
            <v>0</v>
          </cell>
          <cell r="BD78">
            <v>0</v>
          </cell>
          <cell r="BI78">
            <v>0</v>
          </cell>
        </row>
        <row r="79">
          <cell r="F79">
            <v>1.03</v>
          </cell>
          <cell r="K79">
            <v>0</v>
          </cell>
          <cell r="P79">
            <v>0</v>
          </cell>
          <cell r="U79">
            <v>0</v>
          </cell>
          <cell r="Z79">
            <v>0</v>
          </cell>
          <cell r="AE79">
            <v>0</v>
          </cell>
          <cell r="AJ79">
            <v>0</v>
          </cell>
          <cell r="AO79">
            <v>0</v>
          </cell>
          <cell r="AT79">
            <v>0</v>
          </cell>
          <cell r="AY79">
            <v>0</v>
          </cell>
          <cell r="BD79">
            <v>0</v>
          </cell>
          <cell r="BI79">
            <v>0</v>
          </cell>
        </row>
        <row r="80">
          <cell r="F80">
            <v>6.2200000000000006</v>
          </cell>
          <cell r="K80">
            <v>0</v>
          </cell>
          <cell r="P80">
            <v>0</v>
          </cell>
          <cell r="U80">
            <v>0</v>
          </cell>
          <cell r="Z80">
            <v>0</v>
          </cell>
          <cell r="AE80">
            <v>0</v>
          </cell>
          <cell r="AJ80">
            <v>0</v>
          </cell>
          <cell r="AO80">
            <v>0</v>
          </cell>
          <cell r="AT80">
            <v>0</v>
          </cell>
          <cell r="AY80">
            <v>0</v>
          </cell>
          <cell r="BD80">
            <v>0</v>
          </cell>
          <cell r="BI80">
            <v>0</v>
          </cell>
        </row>
        <row r="81">
          <cell r="F81">
            <v>0</v>
          </cell>
          <cell r="K81">
            <v>0</v>
          </cell>
          <cell r="P81">
            <v>0</v>
          </cell>
          <cell r="U81">
            <v>0</v>
          </cell>
          <cell r="Z81">
            <v>0</v>
          </cell>
          <cell r="AE81">
            <v>0</v>
          </cell>
          <cell r="AJ81">
            <v>0</v>
          </cell>
          <cell r="AO81">
            <v>0</v>
          </cell>
          <cell r="AT81">
            <v>0</v>
          </cell>
          <cell r="AY81">
            <v>0</v>
          </cell>
          <cell r="BD81">
            <v>0</v>
          </cell>
          <cell r="BI81">
            <v>0</v>
          </cell>
        </row>
        <row r="82">
          <cell r="F82">
            <v>0</v>
          </cell>
          <cell r="K82">
            <v>0</v>
          </cell>
          <cell r="P82">
            <v>0</v>
          </cell>
          <cell r="U82">
            <v>0</v>
          </cell>
          <cell r="Z82">
            <v>0</v>
          </cell>
          <cell r="AE82">
            <v>0</v>
          </cell>
          <cell r="AJ82">
            <v>0</v>
          </cell>
          <cell r="AO82">
            <v>0</v>
          </cell>
          <cell r="AT82">
            <v>0</v>
          </cell>
          <cell r="AY82">
            <v>0</v>
          </cell>
          <cell r="BD82">
            <v>0</v>
          </cell>
          <cell r="BI82">
            <v>0</v>
          </cell>
        </row>
        <row r="83">
          <cell r="F83">
            <v>0</v>
          </cell>
          <cell r="K83">
            <v>0</v>
          </cell>
          <cell r="P83">
            <v>0</v>
          </cell>
          <cell r="U83">
            <v>0</v>
          </cell>
          <cell r="Z83">
            <v>0</v>
          </cell>
          <cell r="AE83">
            <v>0</v>
          </cell>
          <cell r="AJ83">
            <v>0</v>
          </cell>
          <cell r="AO83">
            <v>0</v>
          </cell>
          <cell r="AT83">
            <v>0</v>
          </cell>
          <cell r="AY83">
            <v>0</v>
          </cell>
          <cell r="BD83">
            <v>0</v>
          </cell>
          <cell r="BI83">
            <v>0</v>
          </cell>
        </row>
        <row r="84">
          <cell r="F84">
            <v>0</v>
          </cell>
          <cell r="K84">
            <v>0</v>
          </cell>
          <cell r="P84">
            <v>0</v>
          </cell>
          <cell r="U84">
            <v>0</v>
          </cell>
          <cell r="Z84">
            <v>0</v>
          </cell>
          <cell r="AE84">
            <v>0</v>
          </cell>
          <cell r="AJ84">
            <v>0</v>
          </cell>
          <cell r="AO84">
            <v>0</v>
          </cell>
          <cell r="AT84">
            <v>0</v>
          </cell>
          <cell r="AY84">
            <v>0</v>
          </cell>
          <cell r="BD84">
            <v>0</v>
          </cell>
          <cell r="BI84">
            <v>0</v>
          </cell>
        </row>
        <row r="85">
          <cell r="F85">
            <v>0</v>
          </cell>
          <cell r="K85">
            <v>0</v>
          </cell>
          <cell r="P85">
            <v>0</v>
          </cell>
          <cell r="U85">
            <v>0</v>
          </cell>
          <cell r="Z85">
            <v>0</v>
          </cell>
          <cell r="AE85">
            <v>0</v>
          </cell>
          <cell r="AJ85">
            <v>0</v>
          </cell>
          <cell r="AO85">
            <v>0</v>
          </cell>
          <cell r="AT85">
            <v>0</v>
          </cell>
          <cell r="AY85">
            <v>0</v>
          </cell>
          <cell r="BD85">
            <v>0</v>
          </cell>
          <cell r="BI85">
            <v>0</v>
          </cell>
        </row>
        <row r="86">
          <cell r="F86">
            <v>0</v>
          </cell>
          <cell r="K86">
            <v>0</v>
          </cell>
          <cell r="P86">
            <v>0</v>
          </cell>
          <cell r="U86">
            <v>0</v>
          </cell>
          <cell r="Z86">
            <v>0</v>
          </cell>
          <cell r="AE86">
            <v>0</v>
          </cell>
          <cell r="AJ86">
            <v>0</v>
          </cell>
          <cell r="AO86">
            <v>0</v>
          </cell>
          <cell r="AT86">
            <v>0</v>
          </cell>
          <cell r="AY86">
            <v>0</v>
          </cell>
          <cell r="BD86">
            <v>0</v>
          </cell>
          <cell r="BI86">
            <v>0</v>
          </cell>
        </row>
        <row r="87">
          <cell r="F87">
            <v>0</v>
          </cell>
          <cell r="K87">
            <v>0</v>
          </cell>
          <cell r="P87">
            <v>0</v>
          </cell>
          <cell r="U87">
            <v>0</v>
          </cell>
          <cell r="Z87">
            <v>0</v>
          </cell>
          <cell r="AE87">
            <v>0</v>
          </cell>
          <cell r="AJ87">
            <v>0</v>
          </cell>
          <cell r="AO87">
            <v>0</v>
          </cell>
          <cell r="AT87">
            <v>0</v>
          </cell>
          <cell r="AY87">
            <v>0</v>
          </cell>
          <cell r="BD87">
            <v>0</v>
          </cell>
          <cell r="BI87">
            <v>0</v>
          </cell>
        </row>
        <row r="88">
          <cell r="F88">
            <v>14.700000000000001</v>
          </cell>
          <cell r="K88">
            <v>0</v>
          </cell>
          <cell r="P88">
            <v>0</v>
          </cell>
          <cell r="U88">
            <v>0</v>
          </cell>
          <cell r="Z88">
            <v>0</v>
          </cell>
          <cell r="AE88">
            <v>0</v>
          </cell>
          <cell r="AJ88">
            <v>0</v>
          </cell>
          <cell r="AO88">
            <v>0</v>
          </cell>
          <cell r="AT88">
            <v>0</v>
          </cell>
          <cell r="AY88">
            <v>0</v>
          </cell>
          <cell r="BD88">
            <v>0</v>
          </cell>
          <cell r="BI88">
            <v>0</v>
          </cell>
        </row>
        <row r="89">
          <cell r="F89">
            <v>28.200000000000003</v>
          </cell>
          <cell r="K89">
            <v>0</v>
          </cell>
          <cell r="P89">
            <v>0</v>
          </cell>
          <cell r="U89">
            <v>0</v>
          </cell>
          <cell r="Z89">
            <v>0</v>
          </cell>
          <cell r="AE89">
            <v>0</v>
          </cell>
          <cell r="AJ89">
            <v>0</v>
          </cell>
          <cell r="AO89">
            <v>0</v>
          </cell>
          <cell r="AT89">
            <v>0</v>
          </cell>
          <cell r="AY89">
            <v>0</v>
          </cell>
          <cell r="BD89">
            <v>0</v>
          </cell>
          <cell r="BI89">
            <v>0</v>
          </cell>
        </row>
        <row r="90">
          <cell r="F90">
            <v>0</v>
          </cell>
          <cell r="K90">
            <v>0</v>
          </cell>
          <cell r="P90">
            <v>0</v>
          </cell>
          <cell r="U90">
            <v>0</v>
          </cell>
          <cell r="Z90">
            <v>0</v>
          </cell>
          <cell r="AE90">
            <v>0</v>
          </cell>
          <cell r="AJ90">
            <v>0</v>
          </cell>
          <cell r="AO90">
            <v>0</v>
          </cell>
          <cell r="AT90">
            <v>0</v>
          </cell>
          <cell r="AY90">
            <v>0</v>
          </cell>
          <cell r="BD90">
            <v>0</v>
          </cell>
          <cell r="BI90">
            <v>0</v>
          </cell>
        </row>
        <row r="91">
          <cell r="F91">
            <v>0</v>
          </cell>
          <cell r="K91">
            <v>0</v>
          </cell>
          <cell r="P91">
            <v>0</v>
          </cell>
          <cell r="U91">
            <v>0</v>
          </cell>
          <cell r="Z91">
            <v>0</v>
          </cell>
          <cell r="AE91">
            <v>0</v>
          </cell>
          <cell r="AJ91">
            <v>0</v>
          </cell>
          <cell r="AO91">
            <v>0</v>
          </cell>
          <cell r="AT91">
            <v>0</v>
          </cell>
          <cell r="AY91">
            <v>0</v>
          </cell>
          <cell r="BD91">
            <v>0</v>
          </cell>
          <cell r="BI91">
            <v>0</v>
          </cell>
        </row>
        <row r="92">
          <cell r="F92">
            <v>0</v>
          </cell>
          <cell r="K92">
            <v>0</v>
          </cell>
          <cell r="P92">
            <v>0</v>
          </cell>
          <cell r="U92">
            <v>0</v>
          </cell>
          <cell r="Z92">
            <v>0</v>
          </cell>
          <cell r="AE92">
            <v>0</v>
          </cell>
          <cell r="AJ92">
            <v>0</v>
          </cell>
          <cell r="AO92">
            <v>0</v>
          </cell>
          <cell r="AT92">
            <v>0</v>
          </cell>
          <cell r="AY92">
            <v>0</v>
          </cell>
          <cell r="BD92">
            <v>0</v>
          </cell>
          <cell r="BI92">
            <v>0</v>
          </cell>
        </row>
        <row r="93">
          <cell r="F93">
            <v>85.75</v>
          </cell>
          <cell r="K93">
            <v>0</v>
          </cell>
          <cell r="P93">
            <v>0</v>
          </cell>
          <cell r="U93">
            <v>0</v>
          </cell>
          <cell r="Z93">
            <v>0</v>
          </cell>
          <cell r="AE93">
            <v>0</v>
          </cell>
          <cell r="AJ93">
            <v>0</v>
          </cell>
          <cell r="AO93">
            <v>0</v>
          </cell>
          <cell r="AT93">
            <v>0</v>
          </cell>
          <cell r="AY93">
            <v>0</v>
          </cell>
          <cell r="BD93">
            <v>0</v>
          </cell>
          <cell r="BI93">
            <v>0</v>
          </cell>
        </row>
        <row r="94">
          <cell r="F94">
            <v>0</v>
          </cell>
          <cell r="K94">
            <v>0</v>
          </cell>
          <cell r="P94">
            <v>0</v>
          </cell>
          <cell r="U94">
            <v>0</v>
          </cell>
          <cell r="Z94">
            <v>0</v>
          </cell>
          <cell r="AE94">
            <v>0</v>
          </cell>
          <cell r="AJ94">
            <v>0</v>
          </cell>
          <cell r="AO94">
            <v>0</v>
          </cell>
          <cell r="AT94">
            <v>0</v>
          </cell>
          <cell r="AY94">
            <v>0</v>
          </cell>
          <cell r="BD94">
            <v>0</v>
          </cell>
          <cell r="BI94">
            <v>0</v>
          </cell>
        </row>
        <row r="95">
          <cell r="F95">
            <v>1.4899999999999998</v>
          </cell>
          <cell r="K95">
            <v>0</v>
          </cell>
          <cell r="P95">
            <v>0</v>
          </cell>
          <cell r="U95">
            <v>0</v>
          </cell>
          <cell r="Z95">
            <v>0</v>
          </cell>
          <cell r="AE95">
            <v>0</v>
          </cell>
          <cell r="AJ95">
            <v>0</v>
          </cell>
          <cell r="AO95">
            <v>0</v>
          </cell>
          <cell r="AT95">
            <v>0</v>
          </cell>
          <cell r="AY95">
            <v>0</v>
          </cell>
          <cell r="BD95">
            <v>0</v>
          </cell>
          <cell r="BI95">
            <v>0</v>
          </cell>
        </row>
        <row r="96">
          <cell r="F96">
            <v>1.4899999999999998</v>
          </cell>
          <cell r="K96">
            <v>0</v>
          </cell>
          <cell r="P96">
            <v>0</v>
          </cell>
          <cell r="U96">
            <v>0</v>
          </cell>
          <cell r="Z96">
            <v>0</v>
          </cell>
          <cell r="AE96">
            <v>0</v>
          </cell>
          <cell r="AJ96">
            <v>0</v>
          </cell>
          <cell r="AO96">
            <v>0</v>
          </cell>
          <cell r="AT96">
            <v>0</v>
          </cell>
          <cell r="AY96">
            <v>0</v>
          </cell>
          <cell r="BD96">
            <v>0</v>
          </cell>
          <cell r="BI96">
            <v>0</v>
          </cell>
        </row>
        <row r="97">
          <cell r="F97">
            <v>2.64</v>
          </cell>
          <cell r="K97">
            <v>0</v>
          </cell>
          <cell r="P97">
            <v>0</v>
          </cell>
          <cell r="U97">
            <v>0</v>
          </cell>
          <cell r="Z97">
            <v>0</v>
          </cell>
          <cell r="AE97">
            <v>0</v>
          </cell>
          <cell r="AJ97">
            <v>0</v>
          </cell>
          <cell r="AO97">
            <v>0</v>
          </cell>
          <cell r="AT97">
            <v>0</v>
          </cell>
          <cell r="AY97">
            <v>0</v>
          </cell>
          <cell r="BD97">
            <v>0</v>
          </cell>
          <cell r="BI97">
            <v>0</v>
          </cell>
        </row>
        <row r="98">
          <cell r="F98">
            <v>13.65</v>
          </cell>
          <cell r="K98">
            <v>0</v>
          </cell>
          <cell r="P98">
            <v>0</v>
          </cell>
          <cell r="U98">
            <v>0</v>
          </cell>
          <cell r="Z98">
            <v>0</v>
          </cell>
          <cell r="AE98">
            <v>0</v>
          </cell>
          <cell r="AJ98">
            <v>0</v>
          </cell>
          <cell r="AO98">
            <v>0</v>
          </cell>
          <cell r="AT98">
            <v>0</v>
          </cell>
          <cell r="AY98">
            <v>0</v>
          </cell>
          <cell r="BD98">
            <v>0</v>
          </cell>
          <cell r="BI98">
            <v>0</v>
          </cell>
        </row>
        <row r="99">
          <cell r="F99">
            <v>4.8999999999999995</v>
          </cell>
          <cell r="K99">
            <v>0</v>
          </cell>
          <cell r="P99">
            <v>0</v>
          </cell>
          <cell r="U99">
            <v>0</v>
          </cell>
          <cell r="Z99">
            <v>0</v>
          </cell>
          <cell r="AE99">
            <v>0</v>
          </cell>
          <cell r="AJ99">
            <v>0</v>
          </cell>
          <cell r="AO99">
            <v>0</v>
          </cell>
          <cell r="AT99">
            <v>0</v>
          </cell>
          <cell r="AY99">
            <v>0</v>
          </cell>
          <cell r="BD99">
            <v>0</v>
          </cell>
          <cell r="BI99">
            <v>0</v>
          </cell>
        </row>
        <row r="100">
          <cell r="F100">
            <v>41.300000000000004</v>
          </cell>
          <cell r="K100">
            <v>0</v>
          </cell>
          <cell r="P100">
            <v>0</v>
          </cell>
          <cell r="U100">
            <v>0</v>
          </cell>
          <cell r="Z100">
            <v>0</v>
          </cell>
          <cell r="AE100">
            <v>0</v>
          </cell>
          <cell r="AJ100">
            <v>0</v>
          </cell>
          <cell r="AO100">
            <v>0</v>
          </cell>
          <cell r="AT100">
            <v>0</v>
          </cell>
          <cell r="AY100">
            <v>0</v>
          </cell>
          <cell r="BD100">
            <v>0</v>
          </cell>
          <cell r="BI100">
            <v>0</v>
          </cell>
        </row>
        <row r="101">
          <cell r="F101">
            <v>0</v>
          </cell>
          <cell r="K101">
            <v>0</v>
          </cell>
          <cell r="P101">
            <v>0</v>
          </cell>
          <cell r="U101">
            <v>0</v>
          </cell>
          <cell r="Z101">
            <v>0</v>
          </cell>
          <cell r="AE101">
            <v>0</v>
          </cell>
          <cell r="AJ101">
            <v>0</v>
          </cell>
          <cell r="AO101">
            <v>0</v>
          </cell>
          <cell r="AT101">
            <v>0</v>
          </cell>
          <cell r="AY101">
            <v>0</v>
          </cell>
          <cell r="BD101">
            <v>0</v>
          </cell>
          <cell r="BI101">
            <v>0</v>
          </cell>
        </row>
        <row r="102">
          <cell r="F102">
            <v>59.850000000000009</v>
          </cell>
          <cell r="K102">
            <v>0</v>
          </cell>
          <cell r="P102">
            <v>0</v>
          </cell>
          <cell r="U102">
            <v>0</v>
          </cell>
          <cell r="Z102">
            <v>0</v>
          </cell>
          <cell r="AE102">
            <v>0</v>
          </cell>
          <cell r="AJ102">
            <v>0</v>
          </cell>
          <cell r="AO102">
            <v>0</v>
          </cell>
          <cell r="AT102">
            <v>0</v>
          </cell>
          <cell r="AY102">
            <v>0</v>
          </cell>
          <cell r="BD102">
            <v>0</v>
          </cell>
          <cell r="BI102">
            <v>0</v>
          </cell>
        </row>
        <row r="103">
          <cell r="F103">
            <v>0.24</v>
          </cell>
          <cell r="K103">
            <v>0</v>
          </cell>
          <cell r="P103">
            <v>0</v>
          </cell>
          <cell r="U103">
            <v>0</v>
          </cell>
          <cell r="Z103">
            <v>0</v>
          </cell>
          <cell r="AE103">
            <v>0</v>
          </cell>
          <cell r="AJ103">
            <v>0</v>
          </cell>
          <cell r="AO103">
            <v>0</v>
          </cell>
          <cell r="AT103">
            <v>0</v>
          </cell>
          <cell r="AY103">
            <v>0</v>
          </cell>
          <cell r="BD103">
            <v>0</v>
          </cell>
          <cell r="BI103">
            <v>0</v>
          </cell>
        </row>
        <row r="104">
          <cell r="F104">
            <v>0.03</v>
          </cell>
          <cell r="K104">
            <v>0</v>
          </cell>
          <cell r="P104">
            <v>0</v>
          </cell>
          <cell r="U104">
            <v>0</v>
          </cell>
          <cell r="Z104">
            <v>0</v>
          </cell>
          <cell r="AE104">
            <v>0</v>
          </cell>
          <cell r="AJ104">
            <v>0</v>
          </cell>
          <cell r="AO104">
            <v>0</v>
          </cell>
          <cell r="AT104">
            <v>0</v>
          </cell>
          <cell r="AY104">
            <v>0</v>
          </cell>
          <cell r="BD104">
            <v>0</v>
          </cell>
          <cell r="BI104">
            <v>0</v>
          </cell>
        </row>
        <row r="105">
          <cell r="F105">
            <v>0</v>
          </cell>
          <cell r="K105">
            <v>0</v>
          </cell>
          <cell r="P105">
            <v>0</v>
          </cell>
          <cell r="U105">
            <v>0</v>
          </cell>
          <cell r="Z105">
            <v>0</v>
          </cell>
          <cell r="AE105">
            <v>0</v>
          </cell>
          <cell r="AJ105">
            <v>0</v>
          </cell>
          <cell r="AO105">
            <v>0</v>
          </cell>
          <cell r="AT105">
            <v>0</v>
          </cell>
          <cell r="AY105">
            <v>0</v>
          </cell>
          <cell r="BD105">
            <v>0</v>
          </cell>
          <cell r="BI105">
            <v>0</v>
          </cell>
        </row>
        <row r="106">
          <cell r="F106">
            <v>0</v>
          </cell>
          <cell r="K106">
            <v>0</v>
          </cell>
          <cell r="P106">
            <v>0</v>
          </cell>
          <cell r="U106">
            <v>0</v>
          </cell>
          <cell r="Z106">
            <v>0</v>
          </cell>
          <cell r="AE106">
            <v>0</v>
          </cell>
          <cell r="AJ106">
            <v>0</v>
          </cell>
          <cell r="AO106">
            <v>0</v>
          </cell>
          <cell r="AT106">
            <v>0</v>
          </cell>
          <cell r="AY106">
            <v>0</v>
          </cell>
          <cell r="BD106">
            <v>0</v>
          </cell>
          <cell r="BI106">
            <v>0</v>
          </cell>
        </row>
        <row r="107">
          <cell r="F107">
            <v>0</v>
          </cell>
          <cell r="K107">
            <v>0</v>
          </cell>
          <cell r="P107">
            <v>0</v>
          </cell>
          <cell r="U107">
            <v>0</v>
          </cell>
          <cell r="Z107">
            <v>0</v>
          </cell>
          <cell r="AE107">
            <v>0</v>
          </cell>
          <cell r="AJ107">
            <v>0</v>
          </cell>
          <cell r="AO107">
            <v>0</v>
          </cell>
          <cell r="AT107">
            <v>0</v>
          </cell>
          <cell r="AY107">
            <v>0</v>
          </cell>
          <cell r="BD107">
            <v>0</v>
          </cell>
          <cell r="BI107">
            <v>0</v>
          </cell>
        </row>
        <row r="108">
          <cell r="F108">
            <v>0</v>
          </cell>
          <cell r="K108">
            <v>0</v>
          </cell>
          <cell r="P108">
            <v>0</v>
          </cell>
          <cell r="U108">
            <v>0</v>
          </cell>
          <cell r="Z108">
            <v>0</v>
          </cell>
          <cell r="AE108">
            <v>0</v>
          </cell>
          <cell r="AJ108">
            <v>0</v>
          </cell>
          <cell r="AO108">
            <v>0</v>
          </cell>
          <cell r="AT108">
            <v>0</v>
          </cell>
          <cell r="AY108">
            <v>0</v>
          </cell>
          <cell r="BD108">
            <v>0</v>
          </cell>
          <cell r="BI108">
            <v>0</v>
          </cell>
        </row>
        <row r="109">
          <cell r="F109">
            <v>0</v>
          </cell>
          <cell r="K109">
            <v>0</v>
          </cell>
          <cell r="P109">
            <v>0</v>
          </cell>
          <cell r="U109">
            <v>0</v>
          </cell>
          <cell r="Z109">
            <v>0</v>
          </cell>
          <cell r="AE109">
            <v>0</v>
          </cell>
          <cell r="AJ109">
            <v>0</v>
          </cell>
          <cell r="AO109">
            <v>0</v>
          </cell>
          <cell r="AT109">
            <v>0</v>
          </cell>
          <cell r="AY109">
            <v>0</v>
          </cell>
          <cell r="BD109">
            <v>0</v>
          </cell>
          <cell r="BI109">
            <v>0</v>
          </cell>
        </row>
        <row r="110">
          <cell r="F110">
            <v>0</v>
          </cell>
          <cell r="K110">
            <v>0</v>
          </cell>
          <cell r="P110">
            <v>0</v>
          </cell>
          <cell r="U110">
            <v>0</v>
          </cell>
          <cell r="Z110">
            <v>0</v>
          </cell>
          <cell r="AE110">
            <v>0</v>
          </cell>
          <cell r="AJ110">
            <v>0</v>
          </cell>
          <cell r="AO110">
            <v>0</v>
          </cell>
          <cell r="AT110">
            <v>0</v>
          </cell>
          <cell r="AY110">
            <v>0</v>
          </cell>
          <cell r="BD110">
            <v>0</v>
          </cell>
          <cell r="BI110">
            <v>0</v>
          </cell>
        </row>
        <row r="111">
          <cell r="F111">
            <v>0</v>
          </cell>
          <cell r="K111">
            <v>0</v>
          </cell>
          <cell r="P111">
            <v>0</v>
          </cell>
          <cell r="U111">
            <v>0</v>
          </cell>
          <cell r="Z111">
            <v>0</v>
          </cell>
          <cell r="AE111">
            <v>0</v>
          </cell>
          <cell r="AJ111">
            <v>0</v>
          </cell>
          <cell r="AO111">
            <v>0</v>
          </cell>
          <cell r="AT111">
            <v>0</v>
          </cell>
          <cell r="AY111">
            <v>0</v>
          </cell>
          <cell r="BD111">
            <v>0</v>
          </cell>
          <cell r="BI111">
            <v>0</v>
          </cell>
        </row>
        <row r="112">
          <cell r="F112">
            <v>0</v>
          </cell>
          <cell r="K112">
            <v>0</v>
          </cell>
          <cell r="P112">
            <v>0</v>
          </cell>
          <cell r="U112">
            <v>0</v>
          </cell>
          <cell r="Z112">
            <v>0</v>
          </cell>
          <cell r="AE112">
            <v>0</v>
          </cell>
          <cell r="AJ112">
            <v>0</v>
          </cell>
          <cell r="AO112">
            <v>0</v>
          </cell>
          <cell r="AT112">
            <v>0</v>
          </cell>
          <cell r="AY112">
            <v>0</v>
          </cell>
          <cell r="BD112">
            <v>0</v>
          </cell>
          <cell r="BI112">
            <v>0</v>
          </cell>
        </row>
        <row r="113">
          <cell r="F113">
            <v>0.51</v>
          </cell>
          <cell r="K113">
            <v>0</v>
          </cell>
          <cell r="P113">
            <v>0</v>
          </cell>
          <cell r="U113">
            <v>0</v>
          </cell>
          <cell r="Z113">
            <v>0</v>
          </cell>
          <cell r="AE113">
            <v>0</v>
          </cell>
          <cell r="AJ113">
            <v>0</v>
          </cell>
          <cell r="AO113">
            <v>0</v>
          </cell>
          <cell r="AT113">
            <v>0</v>
          </cell>
          <cell r="AY113">
            <v>0</v>
          </cell>
          <cell r="BD113">
            <v>0</v>
          </cell>
          <cell r="BI113">
            <v>0</v>
          </cell>
        </row>
        <row r="114">
          <cell r="F114">
            <v>0.78</v>
          </cell>
          <cell r="K114">
            <v>0</v>
          </cell>
          <cell r="P114">
            <v>0</v>
          </cell>
          <cell r="U114">
            <v>0</v>
          </cell>
          <cell r="Z114">
            <v>0</v>
          </cell>
          <cell r="AE114">
            <v>0</v>
          </cell>
          <cell r="AJ114">
            <v>0</v>
          </cell>
          <cell r="AO114">
            <v>0</v>
          </cell>
          <cell r="AT114">
            <v>0</v>
          </cell>
          <cell r="AY114">
            <v>0</v>
          </cell>
          <cell r="BD114">
            <v>0</v>
          </cell>
          <cell r="BI114">
            <v>0</v>
          </cell>
        </row>
        <row r="115">
          <cell r="F115">
            <v>64.760000000000005</v>
          </cell>
          <cell r="K115">
            <v>0</v>
          </cell>
          <cell r="P115">
            <v>0</v>
          </cell>
          <cell r="U115">
            <v>0</v>
          </cell>
          <cell r="Z115">
            <v>0</v>
          </cell>
          <cell r="AE115">
            <v>0</v>
          </cell>
          <cell r="AJ115">
            <v>0</v>
          </cell>
          <cell r="AO115">
            <v>0</v>
          </cell>
          <cell r="AT115">
            <v>0</v>
          </cell>
          <cell r="AY115">
            <v>0</v>
          </cell>
          <cell r="BD115">
            <v>0</v>
          </cell>
          <cell r="BI115">
            <v>0</v>
          </cell>
        </row>
        <row r="116">
          <cell r="F116">
            <v>0</v>
          </cell>
          <cell r="K116">
            <v>0</v>
          </cell>
          <cell r="P116">
            <v>0</v>
          </cell>
          <cell r="U116">
            <v>0</v>
          </cell>
          <cell r="Z116">
            <v>0</v>
          </cell>
          <cell r="AE116">
            <v>0</v>
          </cell>
          <cell r="AJ116">
            <v>0</v>
          </cell>
          <cell r="AO116">
            <v>0</v>
          </cell>
          <cell r="AT116">
            <v>0</v>
          </cell>
          <cell r="AY116">
            <v>0</v>
          </cell>
          <cell r="BD116">
            <v>0</v>
          </cell>
          <cell r="BI116">
            <v>0</v>
          </cell>
        </row>
        <row r="117">
          <cell r="F117">
            <v>0</v>
          </cell>
          <cell r="K117">
            <v>0</v>
          </cell>
          <cell r="P117">
            <v>0</v>
          </cell>
          <cell r="U117">
            <v>0</v>
          </cell>
          <cell r="Z117">
            <v>0</v>
          </cell>
          <cell r="AE117">
            <v>0</v>
          </cell>
          <cell r="AJ117">
            <v>0</v>
          </cell>
          <cell r="AO117">
            <v>0</v>
          </cell>
          <cell r="AT117">
            <v>0</v>
          </cell>
          <cell r="AY117">
            <v>0</v>
          </cell>
          <cell r="BD117">
            <v>0</v>
          </cell>
          <cell r="BI117">
            <v>0</v>
          </cell>
        </row>
        <row r="118">
          <cell r="F118">
            <v>0</v>
          </cell>
          <cell r="K118">
            <v>0</v>
          </cell>
          <cell r="P118">
            <v>0</v>
          </cell>
          <cell r="U118">
            <v>0</v>
          </cell>
          <cell r="Z118">
            <v>0</v>
          </cell>
          <cell r="AE118">
            <v>0</v>
          </cell>
          <cell r="AJ118">
            <v>0</v>
          </cell>
          <cell r="AO118">
            <v>0</v>
          </cell>
          <cell r="AT118">
            <v>0</v>
          </cell>
          <cell r="AY118">
            <v>0</v>
          </cell>
          <cell r="BD118">
            <v>0</v>
          </cell>
          <cell r="BI118">
            <v>0</v>
          </cell>
        </row>
        <row r="119">
          <cell r="F119">
            <v>0</v>
          </cell>
          <cell r="K119">
            <v>0</v>
          </cell>
          <cell r="P119">
            <v>0</v>
          </cell>
          <cell r="U119">
            <v>0</v>
          </cell>
          <cell r="Z119">
            <v>0</v>
          </cell>
          <cell r="AE119">
            <v>0</v>
          </cell>
          <cell r="AJ119">
            <v>0</v>
          </cell>
          <cell r="AO119">
            <v>0</v>
          </cell>
          <cell r="AT119">
            <v>0</v>
          </cell>
          <cell r="AY119">
            <v>0</v>
          </cell>
          <cell r="BD119">
            <v>0</v>
          </cell>
          <cell r="BI119">
            <v>0</v>
          </cell>
        </row>
        <row r="120">
          <cell r="F120">
            <v>0</v>
          </cell>
          <cell r="K120">
            <v>0</v>
          </cell>
          <cell r="P120">
            <v>0</v>
          </cell>
          <cell r="U120">
            <v>0</v>
          </cell>
          <cell r="Z120">
            <v>0</v>
          </cell>
          <cell r="AE120">
            <v>0</v>
          </cell>
          <cell r="AJ120">
            <v>0</v>
          </cell>
          <cell r="AO120">
            <v>0</v>
          </cell>
          <cell r="AT120">
            <v>0</v>
          </cell>
          <cell r="AY120">
            <v>0</v>
          </cell>
          <cell r="BD120">
            <v>0</v>
          </cell>
          <cell r="BI120">
            <v>0</v>
          </cell>
        </row>
        <row r="121">
          <cell r="F121">
            <v>0</v>
          </cell>
          <cell r="K121">
            <v>0</v>
          </cell>
          <cell r="P121">
            <v>0</v>
          </cell>
          <cell r="U121">
            <v>0</v>
          </cell>
          <cell r="Z121">
            <v>0</v>
          </cell>
          <cell r="AE121">
            <v>0</v>
          </cell>
          <cell r="AJ121">
            <v>0</v>
          </cell>
          <cell r="AO121">
            <v>0</v>
          </cell>
          <cell r="AT121">
            <v>0</v>
          </cell>
          <cell r="AY121">
            <v>0</v>
          </cell>
          <cell r="BD121">
            <v>0</v>
          </cell>
          <cell r="BI121">
            <v>0</v>
          </cell>
        </row>
        <row r="122">
          <cell r="F122">
            <v>0</v>
          </cell>
          <cell r="K122">
            <v>0</v>
          </cell>
          <cell r="P122">
            <v>0</v>
          </cell>
          <cell r="U122">
            <v>0</v>
          </cell>
          <cell r="Z122">
            <v>0</v>
          </cell>
          <cell r="AE122">
            <v>0</v>
          </cell>
          <cell r="AJ122">
            <v>0</v>
          </cell>
          <cell r="AO122">
            <v>0</v>
          </cell>
          <cell r="AT122">
            <v>0</v>
          </cell>
          <cell r="AY122">
            <v>0</v>
          </cell>
          <cell r="BD122">
            <v>0</v>
          </cell>
          <cell r="BI122">
            <v>0</v>
          </cell>
        </row>
        <row r="123">
          <cell r="F123">
            <v>0</v>
          </cell>
          <cell r="K123">
            <v>0</v>
          </cell>
          <cell r="P123">
            <v>0</v>
          </cell>
          <cell r="U123">
            <v>0</v>
          </cell>
          <cell r="Z123">
            <v>0</v>
          </cell>
          <cell r="AE123">
            <v>0</v>
          </cell>
          <cell r="AJ123">
            <v>0</v>
          </cell>
          <cell r="AO123">
            <v>0</v>
          </cell>
          <cell r="AT123">
            <v>0</v>
          </cell>
          <cell r="AY123">
            <v>0</v>
          </cell>
          <cell r="BD123">
            <v>0</v>
          </cell>
          <cell r="BI123">
            <v>0</v>
          </cell>
        </row>
        <row r="124">
          <cell r="F124">
            <v>0</v>
          </cell>
          <cell r="K124">
            <v>0</v>
          </cell>
          <cell r="P124">
            <v>0</v>
          </cell>
          <cell r="U124">
            <v>0</v>
          </cell>
          <cell r="Z124">
            <v>0</v>
          </cell>
          <cell r="AE124">
            <v>0</v>
          </cell>
          <cell r="AJ124">
            <v>0</v>
          </cell>
          <cell r="AO124">
            <v>0</v>
          </cell>
          <cell r="AT124">
            <v>0</v>
          </cell>
          <cell r="AY124">
            <v>0</v>
          </cell>
          <cell r="BD124">
            <v>0</v>
          </cell>
          <cell r="BI124">
            <v>0</v>
          </cell>
        </row>
        <row r="125">
          <cell r="F125">
            <v>0</v>
          </cell>
          <cell r="K125">
            <v>0</v>
          </cell>
          <cell r="P125">
            <v>0</v>
          </cell>
          <cell r="U125">
            <v>0</v>
          </cell>
          <cell r="Z125">
            <v>0</v>
          </cell>
          <cell r="AE125">
            <v>0</v>
          </cell>
          <cell r="AJ125">
            <v>0</v>
          </cell>
          <cell r="AO125">
            <v>0</v>
          </cell>
          <cell r="AT125">
            <v>0</v>
          </cell>
          <cell r="AY125">
            <v>0</v>
          </cell>
          <cell r="BD125">
            <v>0</v>
          </cell>
          <cell r="BI125">
            <v>0</v>
          </cell>
        </row>
        <row r="126">
          <cell r="F126">
            <v>0</v>
          </cell>
          <cell r="K126">
            <v>0</v>
          </cell>
          <cell r="P126">
            <v>0</v>
          </cell>
          <cell r="U126">
            <v>0</v>
          </cell>
          <cell r="Z126">
            <v>0</v>
          </cell>
          <cell r="AE126">
            <v>0</v>
          </cell>
          <cell r="AJ126">
            <v>0</v>
          </cell>
          <cell r="AO126">
            <v>0</v>
          </cell>
          <cell r="AT126">
            <v>0</v>
          </cell>
          <cell r="AY126">
            <v>0</v>
          </cell>
          <cell r="BD126">
            <v>0</v>
          </cell>
          <cell r="BI126">
            <v>0</v>
          </cell>
        </row>
        <row r="127">
          <cell r="F127">
            <v>0</v>
          </cell>
          <cell r="K127">
            <v>0</v>
          </cell>
          <cell r="P127">
            <v>0</v>
          </cell>
          <cell r="U127">
            <v>0</v>
          </cell>
          <cell r="Z127">
            <v>0</v>
          </cell>
          <cell r="AE127">
            <v>0</v>
          </cell>
          <cell r="AJ127">
            <v>0</v>
          </cell>
          <cell r="AO127">
            <v>0</v>
          </cell>
          <cell r="AT127">
            <v>0</v>
          </cell>
          <cell r="AY127">
            <v>0</v>
          </cell>
          <cell r="BD127">
            <v>0</v>
          </cell>
          <cell r="BI127">
            <v>0</v>
          </cell>
        </row>
        <row r="128">
          <cell r="F128">
            <v>0</v>
          </cell>
          <cell r="K128">
            <v>0</v>
          </cell>
          <cell r="P128">
            <v>0</v>
          </cell>
          <cell r="U128">
            <v>0</v>
          </cell>
          <cell r="Z128">
            <v>0</v>
          </cell>
          <cell r="AE128">
            <v>0</v>
          </cell>
          <cell r="AJ128">
            <v>0</v>
          </cell>
          <cell r="AO128">
            <v>0</v>
          </cell>
          <cell r="AT128">
            <v>0</v>
          </cell>
          <cell r="AY128">
            <v>0</v>
          </cell>
          <cell r="BD128">
            <v>0</v>
          </cell>
          <cell r="BI128">
            <v>0</v>
          </cell>
        </row>
        <row r="129">
          <cell r="F129">
            <v>0</v>
          </cell>
          <cell r="K129">
            <v>0</v>
          </cell>
          <cell r="P129">
            <v>0</v>
          </cell>
          <cell r="U129">
            <v>0</v>
          </cell>
          <cell r="Z129">
            <v>0</v>
          </cell>
          <cell r="AE129">
            <v>0</v>
          </cell>
          <cell r="AJ129">
            <v>0</v>
          </cell>
          <cell r="AO129">
            <v>0</v>
          </cell>
          <cell r="AT129">
            <v>0</v>
          </cell>
          <cell r="AY129">
            <v>0</v>
          </cell>
          <cell r="BD129">
            <v>0</v>
          </cell>
          <cell r="BI129">
            <v>0</v>
          </cell>
        </row>
        <row r="130">
          <cell r="F130">
            <v>0</v>
          </cell>
          <cell r="K130">
            <v>0</v>
          </cell>
          <cell r="P130">
            <v>0</v>
          </cell>
          <cell r="U130">
            <v>0</v>
          </cell>
          <cell r="Z130">
            <v>0</v>
          </cell>
          <cell r="AE130">
            <v>0</v>
          </cell>
          <cell r="AJ130">
            <v>0</v>
          </cell>
          <cell r="AO130">
            <v>0</v>
          </cell>
          <cell r="AT130">
            <v>0</v>
          </cell>
          <cell r="AY130">
            <v>0</v>
          </cell>
          <cell r="BD130">
            <v>0</v>
          </cell>
          <cell r="BI130">
            <v>0</v>
          </cell>
        </row>
        <row r="131">
          <cell r="F131">
            <v>0</v>
          </cell>
          <cell r="K131">
            <v>0</v>
          </cell>
          <cell r="P131">
            <v>0</v>
          </cell>
          <cell r="U131">
            <v>0</v>
          </cell>
          <cell r="Z131">
            <v>0</v>
          </cell>
          <cell r="AE131">
            <v>0</v>
          </cell>
          <cell r="AJ131">
            <v>0</v>
          </cell>
          <cell r="AO131">
            <v>0</v>
          </cell>
          <cell r="AT131">
            <v>0</v>
          </cell>
          <cell r="AY131">
            <v>0</v>
          </cell>
          <cell r="BD131">
            <v>0</v>
          </cell>
          <cell r="BI131">
            <v>0</v>
          </cell>
        </row>
        <row r="132">
          <cell r="F132">
            <v>0</v>
          </cell>
          <cell r="K132">
            <v>0</v>
          </cell>
          <cell r="P132">
            <v>0</v>
          </cell>
          <cell r="U132">
            <v>0</v>
          </cell>
          <cell r="Z132">
            <v>0</v>
          </cell>
          <cell r="AE132">
            <v>0</v>
          </cell>
          <cell r="AJ132">
            <v>0</v>
          </cell>
          <cell r="AO132">
            <v>0</v>
          </cell>
          <cell r="AT132">
            <v>0</v>
          </cell>
          <cell r="AY132">
            <v>0</v>
          </cell>
          <cell r="BD132">
            <v>0</v>
          </cell>
          <cell r="BI132">
            <v>0</v>
          </cell>
        </row>
        <row r="133">
          <cell r="F133">
            <v>0</v>
          </cell>
          <cell r="K133">
            <v>0</v>
          </cell>
          <cell r="P133">
            <v>0</v>
          </cell>
          <cell r="U133">
            <v>0</v>
          </cell>
          <cell r="Z133">
            <v>0</v>
          </cell>
          <cell r="AE133">
            <v>0</v>
          </cell>
          <cell r="AJ133">
            <v>0</v>
          </cell>
          <cell r="AO133">
            <v>0</v>
          </cell>
          <cell r="AT133">
            <v>0</v>
          </cell>
          <cell r="AY133">
            <v>0</v>
          </cell>
          <cell r="BD133">
            <v>0</v>
          </cell>
          <cell r="BI133">
            <v>0</v>
          </cell>
        </row>
        <row r="134">
          <cell r="F134">
            <v>0</v>
          </cell>
          <cell r="K134">
            <v>0</v>
          </cell>
          <cell r="P134">
            <v>0</v>
          </cell>
          <cell r="U134">
            <v>0</v>
          </cell>
          <cell r="Z134">
            <v>0</v>
          </cell>
          <cell r="AE134">
            <v>0</v>
          </cell>
          <cell r="AJ134">
            <v>0</v>
          </cell>
          <cell r="AO134">
            <v>0</v>
          </cell>
          <cell r="AT134">
            <v>0</v>
          </cell>
          <cell r="AY134">
            <v>0</v>
          </cell>
          <cell r="BD134">
            <v>0</v>
          </cell>
          <cell r="BI134">
            <v>0</v>
          </cell>
        </row>
        <row r="135">
          <cell r="F135">
            <v>150.51</v>
          </cell>
          <cell r="K135">
            <v>0</v>
          </cell>
          <cell r="P135">
            <v>0</v>
          </cell>
          <cell r="U135">
            <v>0</v>
          </cell>
          <cell r="Z135">
            <v>0</v>
          </cell>
          <cell r="AE135">
            <v>0</v>
          </cell>
          <cell r="AJ135">
            <v>0</v>
          </cell>
          <cell r="AO135">
            <v>0</v>
          </cell>
          <cell r="AT135">
            <v>0</v>
          </cell>
          <cell r="AY135">
            <v>0</v>
          </cell>
          <cell r="BD135">
            <v>0</v>
          </cell>
          <cell r="BI135">
            <v>0</v>
          </cell>
        </row>
        <row r="136">
          <cell r="F136">
            <v>-23.150000000000034</v>
          </cell>
          <cell r="K136">
            <v>0</v>
          </cell>
          <cell r="P136">
            <v>0</v>
          </cell>
          <cell r="U136">
            <v>0</v>
          </cell>
          <cell r="Z136">
            <v>0</v>
          </cell>
          <cell r="AE136">
            <v>0</v>
          </cell>
          <cell r="AJ136">
            <v>0</v>
          </cell>
          <cell r="AO136">
            <v>0</v>
          </cell>
          <cell r="AT136">
            <v>0</v>
          </cell>
          <cell r="AY136">
            <v>0</v>
          </cell>
          <cell r="BD136">
            <v>0</v>
          </cell>
          <cell r="BI136">
            <v>0</v>
          </cell>
        </row>
        <row r="137">
          <cell r="F137">
            <v>-7.541699244201211E-2</v>
          </cell>
          <cell r="K137">
            <v>0</v>
          </cell>
          <cell r="P137">
            <v>0</v>
          </cell>
          <cell r="U137">
            <v>0</v>
          </cell>
          <cell r="Z137">
            <v>0</v>
          </cell>
          <cell r="AE137">
            <v>0</v>
          </cell>
          <cell r="AJ137">
            <v>0</v>
          </cell>
          <cell r="AO137">
            <v>0</v>
          </cell>
          <cell r="AT137">
            <v>0</v>
          </cell>
          <cell r="AY137">
            <v>0</v>
          </cell>
          <cell r="BD137">
            <v>0</v>
          </cell>
          <cell r="BI137">
            <v>0</v>
          </cell>
        </row>
      </sheetData>
      <sheetData sheetId="13" refreshError="1">
        <row r="12">
          <cell r="D12">
            <v>68.900000000000006</v>
          </cell>
          <cell r="G12">
            <v>0</v>
          </cell>
          <cell r="J12">
            <v>0</v>
          </cell>
          <cell r="M12">
            <v>0</v>
          </cell>
          <cell r="P12">
            <v>0</v>
          </cell>
          <cell r="S12">
            <v>0</v>
          </cell>
          <cell r="V12">
            <v>0</v>
          </cell>
          <cell r="Y12">
            <v>0</v>
          </cell>
          <cell r="AB12">
            <v>0</v>
          </cell>
          <cell r="AE12">
            <v>0</v>
          </cell>
          <cell r="AH12">
            <v>0</v>
          </cell>
          <cell r="AK12">
            <v>0</v>
          </cell>
        </row>
        <row r="13">
          <cell r="D13">
            <v>0</v>
          </cell>
          <cell r="G13">
            <v>0</v>
          </cell>
          <cell r="J13">
            <v>0</v>
          </cell>
          <cell r="M13">
            <v>0</v>
          </cell>
          <cell r="P13">
            <v>0</v>
          </cell>
          <cell r="S13">
            <v>0</v>
          </cell>
          <cell r="V13">
            <v>0</v>
          </cell>
          <cell r="Y13">
            <v>0</v>
          </cell>
          <cell r="AB13">
            <v>0</v>
          </cell>
          <cell r="AE13">
            <v>0</v>
          </cell>
          <cell r="AH13">
            <v>0</v>
          </cell>
          <cell r="AK13">
            <v>0</v>
          </cell>
        </row>
        <row r="14">
          <cell r="D14">
            <v>0</v>
          </cell>
          <cell r="G14">
            <v>0</v>
          </cell>
          <cell r="J14">
            <v>0</v>
          </cell>
          <cell r="M14">
            <v>0</v>
          </cell>
          <cell r="P14">
            <v>0</v>
          </cell>
          <cell r="S14">
            <v>0</v>
          </cell>
          <cell r="V14">
            <v>0</v>
          </cell>
          <cell r="Y14">
            <v>0</v>
          </cell>
          <cell r="AB14">
            <v>0</v>
          </cell>
          <cell r="AE14">
            <v>0</v>
          </cell>
          <cell r="AH14">
            <v>0</v>
          </cell>
          <cell r="AK14">
            <v>0</v>
          </cell>
        </row>
        <row r="15">
          <cell r="D15">
            <v>0</v>
          </cell>
          <cell r="G15">
            <v>0</v>
          </cell>
          <cell r="J15">
            <v>0</v>
          </cell>
          <cell r="M15">
            <v>0</v>
          </cell>
          <cell r="P15">
            <v>0</v>
          </cell>
          <cell r="S15">
            <v>0</v>
          </cell>
          <cell r="V15">
            <v>0</v>
          </cell>
          <cell r="Y15">
            <v>0</v>
          </cell>
          <cell r="AB15">
            <v>0</v>
          </cell>
          <cell r="AE15">
            <v>0</v>
          </cell>
          <cell r="AH15">
            <v>0</v>
          </cell>
          <cell r="AK15">
            <v>0</v>
          </cell>
        </row>
        <row r="16">
          <cell r="D16">
            <v>68.900000000000006</v>
          </cell>
          <cell r="G16">
            <v>0</v>
          </cell>
          <cell r="J16">
            <v>0</v>
          </cell>
          <cell r="M16">
            <v>0</v>
          </cell>
          <cell r="P16">
            <v>0</v>
          </cell>
          <cell r="S16">
            <v>0</v>
          </cell>
          <cell r="V16">
            <v>0</v>
          </cell>
          <cell r="Y16">
            <v>0</v>
          </cell>
          <cell r="AB16">
            <v>0</v>
          </cell>
          <cell r="AE16">
            <v>0</v>
          </cell>
          <cell r="AH16">
            <v>0</v>
          </cell>
          <cell r="AK16">
            <v>0</v>
          </cell>
        </row>
        <row r="17">
          <cell r="D17">
            <v>0</v>
          </cell>
          <cell r="G17">
            <v>0</v>
          </cell>
          <cell r="J17">
            <v>0</v>
          </cell>
          <cell r="M17">
            <v>0</v>
          </cell>
          <cell r="P17">
            <v>0</v>
          </cell>
          <cell r="S17">
            <v>0</v>
          </cell>
          <cell r="V17">
            <v>0</v>
          </cell>
          <cell r="Y17">
            <v>0</v>
          </cell>
          <cell r="AB17">
            <v>0</v>
          </cell>
          <cell r="AE17">
            <v>0</v>
          </cell>
          <cell r="AH17">
            <v>0</v>
          </cell>
          <cell r="AK17">
            <v>0</v>
          </cell>
        </row>
        <row r="18">
          <cell r="D18">
            <v>0</v>
          </cell>
          <cell r="G18">
            <v>0</v>
          </cell>
          <cell r="J18">
            <v>0</v>
          </cell>
          <cell r="M18">
            <v>0</v>
          </cell>
          <cell r="P18">
            <v>0</v>
          </cell>
          <cell r="S18">
            <v>0</v>
          </cell>
          <cell r="V18">
            <v>0</v>
          </cell>
          <cell r="Y18">
            <v>0</v>
          </cell>
          <cell r="AB18">
            <v>0</v>
          </cell>
          <cell r="AE18">
            <v>0</v>
          </cell>
          <cell r="AH18">
            <v>0</v>
          </cell>
          <cell r="AK18">
            <v>0</v>
          </cell>
        </row>
        <row r="19">
          <cell r="D19">
            <v>0</v>
          </cell>
          <cell r="G19">
            <v>0</v>
          </cell>
          <cell r="J19">
            <v>0</v>
          </cell>
          <cell r="M19">
            <v>0</v>
          </cell>
          <cell r="P19">
            <v>0</v>
          </cell>
          <cell r="S19">
            <v>0</v>
          </cell>
          <cell r="V19">
            <v>0</v>
          </cell>
          <cell r="Y19">
            <v>0</v>
          </cell>
          <cell r="AB19">
            <v>0</v>
          </cell>
          <cell r="AE19">
            <v>0</v>
          </cell>
          <cell r="AH19">
            <v>0</v>
          </cell>
          <cell r="AK19">
            <v>0</v>
          </cell>
        </row>
        <row r="20">
          <cell r="D20">
            <v>0</v>
          </cell>
          <cell r="G20">
            <v>0</v>
          </cell>
          <cell r="J20">
            <v>0</v>
          </cell>
          <cell r="M20">
            <v>0</v>
          </cell>
          <cell r="P20">
            <v>0</v>
          </cell>
          <cell r="S20">
            <v>0</v>
          </cell>
          <cell r="V20">
            <v>0</v>
          </cell>
          <cell r="Y20">
            <v>0</v>
          </cell>
          <cell r="AB20">
            <v>0</v>
          </cell>
          <cell r="AE20">
            <v>0</v>
          </cell>
          <cell r="AH20">
            <v>0</v>
          </cell>
          <cell r="AK20">
            <v>0</v>
          </cell>
        </row>
        <row r="21">
          <cell r="D21">
            <v>68.900000000000006</v>
          </cell>
          <cell r="G21">
            <v>0</v>
          </cell>
          <cell r="J21">
            <v>0</v>
          </cell>
          <cell r="M21">
            <v>0</v>
          </cell>
          <cell r="P21">
            <v>0</v>
          </cell>
          <cell r="S21">
            <v>0</v>
          </cell>
          <cell r="V21">
            <v>0</v>
          </cell>
          <cell r="Y21">
            <v>0</v>
          </cell>
          <cell r="AB21">
            <v>0</v>
          </cell>
          <cell r="AE21">
            <v>0</v>
          </cell>
          <cell r="AH21">
            <v>0</v>
          </cell>
          <cell r="AK21">
            <v>0</v>
          </cell>
        </row>
        <row r="22">
          <cell r="D22">
            <v>10.56</v>
          </cell>
          <cell r="G22">
            <v>0</v>
          </cell>
          <cell r="J22">
            <v>0</v>
          </cell>
          <cell r="M22">
            <v>0</v>
          </cell>
          <cell r="P22">
            <v>0</v>
          </cell>
          <cell r="S22">
            <v>0</v>
          </cell>
          <cell r="V22">
            <v>0</v>
          </cell>
          <cell r="Y22">
            <v>0</v>
          </cell>
          <cell r="AB22">
            <v>0</v>
          </cell>
          <cell r="AE22">
            <v>0</v>
          </cell>
          <cell r="AH22">
            <v>0</v>
          </cell>
          <cell r="AK22">
            <v>0</v>
          </cell>
        </row>
        <row r="23">
          <cell r="D23">
            <v>0</v>
          </cell>
          <cell r="G23">
            <v>0</v>
          </cell>
          <cell r="J23">
            <v>0</v>
          </cell>
          <cell r="M23">
            <v>0</v>
          </cell>
          <cell r="P23">
            <v>0</v>
          </cell>
          <cell r="S23">
            <v>0</v>
          </cell>
          <cell r="V23">
            <v>0</v>
          </cell>
          <cell r="Y23">
            <v>0</v>
          </cell>
          <cell r="AB23">
            <v>0</v>
          </cell>
          <cell r="AE23">
            <v>0</v>
          </cell>
          <cell r="AH23">
            <v>0</v>
          </cell>
          <cell r="AK23">
            <v>0</v>
          </cell>
        </row>
        <row r="24">
          <cell r="D24">
            <v>0</v>
          </cell>
          <cell r="G24">
            <v>0</v>
          </cell>
          <cell r="J24">
            <v>0</v>
          </cell>
          <cell r="M24">
            <v>0</v>
          </cell>
          <cell r="P24">
            <v>0</v>
          </cell>
          <cell r="S24">
            <v>0</v>
          </cell>
          <cell r="V24">
            <v>0</v>
          </cell>
          <cell r="Y24">
            <v>0</v>
          </cell>
          <cell r="AB24">
            <v>0</v>
          </cell>
          <cell r="AE24">
            <v>0</v>
          </cell>
          <cell r="AH24">
            <v>0</v>
          </cell>
          <cell r="AK24">
            <v>0</v>
          </cell>
        </row>
        <row r="25">
          <cell r="D25">
            <v>0</v>
          </cell>
          <cell r="G25">
            <v>0</v>
          </cell>
          <cell r="J25">
            <v>0</v>
          </cell>
          <cell r="M25">
            <v>0</v>
          </cell>
          <cell r="P25">
            <v>0</v>
          </cell>
          <cell r="S25">
            <v>0</v>
          </cell>
          <cell r="V25">
            <v>0</v>
          </cell>
          <cell r="Y25">
            <v>0</v>
          </cell>
          <cell r="AB25">
            <v>0</v>
          </cell>
          <cell r="AE25">
            <v>0</v>
          </cell>
          <cell r="AH25">
            <v>0</v>
          </cell>
          <cell r="AK25">
            <v>0</v>
          </cell>
        </row>
        <row r="26">
          <cell r="D26">
            <v>0</v>
          </cell>
          <cell r="G26">
            <v>0</v>
          </cell>
          <cell r="J26">
            <v>0</v>
          </cell>
          <cell r="M26">
            <v>0</v>
          </cell>
          <cell r="P26">
            <v>0</v>
          </cell>
          <cell r="S26">
            <v>0</v>
          </cell>
          <cell r="V26">
            <v>0</v>
          </cell>
          <cell r="Y26">
            <v>0</v>
          </cell>
          <cell r="AB26">
            <v>0</v>
          </cell>
          <cell r="AE26">
            <v>0</v>
          </cell>
          <cell r="AH26">
            <v>0</v>
          </cell>
          <cell r="AK26">
            <v>0</v>
          </cell>
        </row>
        <row r="27">
          <cell r="D27">
            <v>0</v>
          </cell>
          <cell r="G27">
            <v>0</v>
          </cell>
          <cell r="J27">
            <v>0</v>
          </cell>
          <cell r="M27">
            <v>0</v>
          </cell>
          <cell r="P27">
            <v>0</v>
          </cell>
          <cell r="S27">
            <v>0</v>
          </cell>
          <cell r="V27">
            <v>0</v>
          </cell>
          <cell r="Y27">
            <v>0</v>
          </cell>
          <cell r="AB27">
            <v>0</v>
          </cell>
          <cell r="AE27">
            <v>0</v>
          </cell>
          <cell r="AH27">
            <v>0</v>
          </cell>
          <cell r="AK27">
            <v>0</v>
          </cell>
        </row>
        <row r="28">
          <cell r="D28">
            <v>10.56</v>
          </cell>
          <cell r="G28">
            <v>0</v>
          </cell>
          <cell r="J28">
            <v>0</v>
          </cell>
          <cell r="M28">
            <v>0</v>
          </cell>
          <cell r="P28">
            <v>0</v>
          </cell>
          <cell r="S28">
            <v>0</v>
          </cell>
          <cell r="V28">
            <v>0</v>
          </cell>
          <cell r="Y28">
            <v>0</v>
          </cell>
          <cell r="AB28">
            <v>0</v>
          </cell>
          <cell r="AE28">
            <v>0</v>
          </cell>
          <cell r="AH28">
            <v>0</v>
          </cell>
          <cell r="AK28">
            <v>0</v>
          </cell>
        </row>
        <row r="29">
          <cell r="D29">
            <v>0</v>
          </cell>
          <cell r="G29">
            <v>0</v>
          </cell>
          <cell r="J29">
            <v>0</v>
          </cell>
          <cell r="M29">
            <v>0</v>
          </cell>
          <cell r="P29">
            <v>0</v>
          </cell>
          <cell r="S29">
            <v>0</v>
          </cell>
          <cell r="V29">
            <v>0</v>
          </cell>
          <cell r="Y29">
            <v>0</v>
          </cell>
          <cell r="AB29">
            <v>0</v>
          </cell>
          <cell r="AE29">
            <v>0</v>
          </cell>
          <cell r="AH29">
            <v>0</v>
          </cell>
          <cell r="AK29">
            <v>0</v>
          </cell>
        </row>
        <row r="30">
          <cell r="D30">
            <v>0</v>
          </cell>
          <cell r="G30">
            <v>0</v>
          </cell>
          <cell r="J30">
            <v>0</v>
          </cell>
          <cell r="M30">
            <v>0</v>
          </cell>
          <cell r="P30">
            <v>0</v>
          </cell>
          <cell r="S30">
            <v>0</v>
          </cell>
          <cell r="V30">
            <v>0</v>
          </cell>
          <cell r="Y30">
            <v>0</v>
          </cell>
          <cell r="AB30">
            <v>0</v>
          </cell>
          <cell r="AE30">
            <v>0</v>
          </cell>
          <cell r="AH30">
            <v>0</v>
          </cell>
          <cell r="AK30">
            <v>0</v>
          </cell>
        </row>
        <row r="31">
          <cell r="D31">
            <v>0</v>
          </cell>
          <cell r="G31">
            <v>0</v>
          </cell>
          <cell r="J31">
            <v>0</v>
          </cell>
          <cell r="M31">
            <v>0</v>
          </cell>
          <cell r="P31">
            <v>0</v>
          </cell>
          <cell r="S31">
            <v>0</v>
          </cell>
          <cell r="V31">
            <v>0</v>
          </cell>
          <cell r="Y31">
            <v>0</v>
          </cell>
          <cell r="AB31">
            <v>0</v>
          </cell>
          <cell r="AE31">
            <v>0</v>
          </cell>
          <cell r="AH31">
            <v>0</v>
          </cell>
          <cell r="AK31">
            <v>0</v>
          </cell>
        </row>
        <row r="32">
          <cell r="D32">
            <v>0</v>
          </cell>
          <cell r="G32">
            <v>0</v>
          </cell>
          <cell r="J32">
            <v>0</v>
          </cell>
          <cell r="M32">
            <v>0</v>
          </cell>
          <cell r="P32">
            <v>0</v>
          </cell>
          <cell r="S32">
            <v>0</v>
          </cell>
          <cell r="V32">
            <v>0</v>
          </cell>
          <cell r="Y32">
            <v>0</v>
          </cell>
          <cell r="AB32">
            <v>0</v>
          </cell>
          <cell r="AE32">
            <v>0</v>
          </cell>
          <cell r="AH32">
            <v>0</v>
          </cell>
          <cell r="AK32">
            <v>0</v>
          </cell>
        </row>
        <row r="33">
          <cell r="D33">
            <v>10.56</v>
          </cell>
          <cell r="G33">
            <v>0</v>
          </cell>
          <cell r="J33">
            <v>0</v>
          </cell>
          <cell r="M33">
            <v>0</v>
          </cell>
          <cell r="P33">
            <v>0</v>
          </cell>
          <cell r="S33">
            <v>0</v>
          </cell>
          <cell r="V33">
            <v>0</v>
          </cell>
          <cell r="Y33">
            <v>0</v>
          </cell>
          <cell r="AB33">
            <v>0</v>
          </cell>
          <cell r="AE33">
            <v>0</v>
          </cell>
          <cell r="AH33">
            <v>0</v>
          </cell>
          <cell r="AK33">
            <v>0</v>
          </cell>
        </row>
        <row r="34">
          <cell r="D34">
            <v>58.34</v>
          </cell>
          <cell r="G34">
            <v>0</v>
          </cell>
          <cell r="J34">
            <v>0</v>
          </cell>
          <cell r="M34">
            <v>0</v>
          </cell>
          <cell r="P34">
            <v>0</v>
          </cell>
          <cell r="S34">
            <v>0</v>
          </cell>
          <cell r="V34">
            <v>0</v>
          </cell>
          <cell r="Y34">
            <v>0</v>
          </cell>
          <cell r="AB34">
            <v>0</v>
          </cell>
          <cell r="AE34">
            <v>0</v>
          </cell>
          <cell r="AH34">
            <v>0</v>
          </cell>
          <cell r="AK34">
            <v>0</v>
          </cell>
        </row>
        <row r="35">
          <cell r="D35">
            <v>0.8467343976777939</v>
          </cell>
          <cell r="G35">
            <v>0</v>
          </cell>
          <cell r="J35">
            <v>0</v>
          </cell>
          <cell r="M35">
            <v>0</v>
          </cell>
          <cell r="P35">
            <v>0</v>
          </cell>
          <cell r="S35">
            <v>0</v>
          </cell>
          <cell r="V35">
            <v>0</v>
          </cell>
          <cell r="Y35">
            <v>0</v>
          </cell>
          <cell r="AB35">
            <v>0</v>
          </cell>
          <cell r="AE35">
            <v>0</v>
          </cell>
          <cell r="AH35">
            <v>0</v>
          </cell>
          <cell r="AK35">
            <v>0</v>
          </cell>
        </row>
        <row r="36">
          <cell r="D36">
            <v>18.009999999999998</v>
          </cell>
          <cell r="G36">
            <v>0</v>
          </cell>
          <cell r="J36">
            <v>0</v>
          </cell>
          <cell r="M36">
            <v>0</v>
          </cell>
          <cell r="P36">
            <v>0</v>
          </cell>
          <cell r="S36">
            <v>0</v>
          </cell>
          <cell r="V36">
            <v>0</v>
          </cell>
          <cell r="Y36">
            <v>0</v>
          </cell>
          <cell r="AB36">
            <v>0</v>
          </cell>
          <cell r="AE36">
            <v>0</v>
          </cell>
          <cell r="AH36">
            <v>0</v>
          </cell>
          <cell r="AK36">
            <v>0</v>
          </cell>
        </row>
        <row r="37">
          <cell r="D37">
            <v>0</v>
          </cell>
          <cell r="G37">
            <v>0</v>
          </cell>
          <cell r="J37">
            <v>0</v>
          </cell>
          <cell r="M37">
            <v>0</v>
          </cell>
          <cell r="P37">
            <v>0</v>
          </cell>
          <cell r="S37">
            <v>0</v>
          </cell>
          <cell r="V37">
            <v>0</v>
          </cell>
          <cell r="Y37">
            <v>0</v>
          </cell>
          <cell r="AB37">
            <v>0</v>
          </cell>
          <cell r="AE37">
            <v>0</v>
          </cell>
          <cell r="AH37">
            <v>0</v>
          </cell>
          <cell r="AK37">
            <v>0</v>
          </cell>
        </row>
        <row r="38">
          <cell r="D38">
            <v>1.0900000000000001</v>
          </cell>
          <cell r="G38">
            <v>0</v>
          </cell>
          <cell r="J38">
            <v>0</v>
          </cell>
          <cell r="M38">
            <v>0</v>
          </cell>
          <cell r="P38">
            <v>0</v>
          </cell>
          <cell r="S38">
            <v>0</v>
          </cell>
          <cell r="V38">
            <v>0</v>
          </cell>
          <cell r="Y38">
            <v>0</v>
          </cell>
          <cell r="AB38">
            <v>0</v>
          </cell>
          <cell r="AE38">
            <v>0</v>
          </cell>
          <cell r="AH38">
            <v>0</v>
          </cell>
          <cell r="AK38">
            <v>0</v>
          </cell>
        </row>
        <row r="39">
          <cell r="D39">
            <v>0.09</v>
          </cell>
          <cell r="G39">
            <v>0</v>
          </cell>
          <cell r="J39">
            <v>0</v>
          </cell>
          <cell r="M39">
            <v>0</v>
          </cell>
          <cell r="P39">
            <v>0</v>
          </cell>
          <cell r="S39">
            <v>0</v>
          </cell>
          <cell r="V39">
            <v>0</v>
          </cell>
          <cell r="Y39">
            <v>0</v>
          </cell>
          <cell r="AB39">
            <v>0</v>
          </cell>
          <cell r="AE39">
            <v>0</v>
          </cell>
          <cell r="AH39">
            <v>0</v>
          </cell>
          <cell r="AK39">
            <v>0</v>
          </cell>
        </row>
        <row r="40">
          <cell r="D40">
            <v>0</v>
          </cell>
          <cell r="G40">
            <v>0</v>
          </cell>
          <cell r="J40">
            <v>0</v>
          </cell>
          <cell r="M40">
            <v>0</v>
          </cell>
          <cell r="P40">
            <v>0</v>
          </cell>
          <cell r="S40">
            <v>0</v>
          </cell>
          <cell r="V40">
            <v>0</v>
          </cell>
          <cell r="Y40">
            <v>0</v>
          </cell>
          <cell r="AB40">
            <v>0</v>
          </cell>
          <cell r="AE40">
            <v>0</v>
          </cell>
          <cell r="AH40">
            <v>0</v>
          </cell>
          <cell r="AK40">
            <v>0</v>
          </cell>
        </row>
        <row r="41">
          <cell r="D41">
            <v>0</v>
          </cell>
          <cell r="G41">
            <v>0</v>
          </cell>
          <cell r="J41">
            <v>0</v>
          </cell>
          <cell r="M41">
            <v>0</v>
          </cell>
          <cell r="P41">
            <v>0</v>
          </cell>
          <cell r="S41">
            <v>0</v>
          </cell>
          <cell r="V41">
            <v>0</v>
          </cell>
          <cell r="Y41">
            <v>0</v>
          </cell>
          <cell r="AB41">
            <v>0</v>
          </cell>
          <cell r="AE41">
            <v>0</v>
          </cell>
          <cell r="AH41">
            <v>0</v>
          </cell>
          <cell r="AK41">
            <v>0</v>
          </cell>
        </row>
        <row r="42">
          <cell r="D42">
            <v>0</v>
          </cell>
          <cell r="G42">
            <v>0</v>
          </cell>
          <cell r="J42">
            <v>0</v>
          </cell>
          <cell r="M42">
            <v>0</v>
          </cell>
          <cell r="P42">
            <v>0</v>
          </cell>
          <cell r="S42">
            <v>0</v>
          </cell>
          <cell r="V42">
            <v>0</v>
          </cell>
          <cell r="Y42">
            <v>0</v>
          </cell>
          <cell r="AB42">
            <v>0</v>
          </cell>
          <cell r="AE42">
            <v>0</v>
          </cell>
          <cell r="AH42">
            <v>0</v>
          </cell>
          <cell r="AK42">
            <v>0</v>
          </cell>
        </row>
        <row r="43">
          <cell r="D43">
            <v>0</v>
          </cell>
          <cell r="G43">
            <v>0</v>
          </cell>
          <cell r="J43">
            <v>0</v>
          </cell>
          <cell r="M43">
            <v>0</v>
          </cell>
          <cell r="P43">
            <v>0</v>
          </cell>
          <cell r="S43">
            <v>0</v>
          </cell>
          <cell r="V43">
            <v>0</v>
          </cell>
          <cell r="Y43">
            <v>0</v>
          </cell>
          <cell r="AB43">
            <v>0</v>
          </cell>
          <cell r="AE43">
            <v>0</v>
          </cell>
          <cell r="AH43">
            <v>0</v>
          </cell>
          <cell r="AK43">
            <v>0</v>
          </cell>
        </row>
        <row r="44">
          <cell r="D44">
            <v>0.05</v>
          </cell>
          <cell r="G44">
            <v>0</v>
          </cell>
          <cell r="J44">
            <v>0</v>
          </cell>
          <cell r="M44">
            <v>0</v>
          </cell>
          <cell r="P44">
            <v>0</v>
          </cell>
          <cell r="S44">
            <v>0</v>
          </cell>
          <cell r="V44">
            <v>0</v>
          </cell>
          <cell r="Y44">
            <v>0</v>
          </cell>
          <cell r="AB44">
            <v>0</v>
          </cell>
          <cell r="AE44">
            <v>0</v>
          </cell>
          <cell r="AH44">
            <v>0</v>
          </cell>
          <cell r="AK44">
            <v>0</v>
          </cell>
        </row>
        <row r="45">
          <cell r="D45">
            <v>0</v>
          </cell>
          <cell r="G45">
            <v>0</v>
          </cell>
          <cell r="J45">
            <v>0</v>
          </cell>
          <cell r="M45">
            <v>0</v>
          </cell>
          <cell r="P45">
            <v>0</v>
          </cell>
          <cell r="S45">
            <v>0</v>
          </cell>
          <cell r="V45">
            <v>0</v>
          </cell>
          <cell r="Y45">
            <v>0</v>
          </cell>
          <cell r="AB45">
            <v>0</v>
          </cell>
          <cell r="AE45">
            <v>0</v>
          </cell>
          <cell r="AH45">
            <v>0</v>
          </cell>
          <cell r="AK45">
            <v>0</v>
          </cell>
        </row>
        <row r="46">
          <cell r="D46">
            <v>0</v>
          </cell>
          <cell r="G46">
            <v>0</v>
          </cell>
          <cell r="J46">
            <v>0</v>
          </cell>
          <cell r="M46">
            <v>0</v>
          </cell>
          <cell r="P46">
            <v>0</v>
          </cell>
          <cell r="S46">
            <v>0</v>
          </cell>
          <cell r="V46">
            <v>0</v>
          </cell>
          <cell r="Y46">
            <v>0</v>
          </cell>
          <cell r="AB46">
            <v>0</v>
          </cell>
          <cell r="AE46">
            <v>0</v>
          </cell>
          <cell r="AH46">
            <v>0</v>
          </cell>
          <cell r="AK46">
            <v>0</v>
          </cell>
        </row>
        <row r="47">
          <cell r="D47">
            <v>0</v>
          </cell>
          <cell r="G47">
            <v>0</v>
          </cell>
          <cell r="J47">
            <v>0</v>
          </cell>
          <cell r="M47">
            <v>0</v>
          </cell>
          <cell r="P47">
            <v>0</v>
          </cell>
          <cell r="S47">
            <v>0</v>
          </cell>
          <cell r="V47">
            <v>0</v>
          </cell>
          <cell r="Y47">
            <v>0</v>
          </cell>
          <cell r="AB47">
            <v>0</v>
          </cell>
          <cell r="AE47">
            <v>0</v>
          </cell>
          <cell r="AH47">
            <v>0</v>
          </cell>
          <cell r="AK47">
            <v>0</v>
          </cell>
        </row>
        <row r="48">
          <cell r="D48">
            <v>0</v>
          </cell>
          <cell r="G48">
            <v>0</v>
          </cell>
          <cell r="J48">
            <v>0</v>
          </cell>
          <cell r="M48">
            <v>0</v>
          </cell>
          <cell r="P48">
            <v>0</v>
          </cell>
          <cell r="S48">
            <v>0</v>
          </cell>
          <cell r="V48">
            <v>0</v>
          </cell>
          <cell r="Y48">
            <v>0</v>
          </cell>
          <cell r="AB48">
            <v>0</v>
          </cell>
          <cell r="AE48">
            <v>0</v>
          </cell>
          <cell r="AH48">
            <v>0</v>
          </cell>
          <cell r="AK48">
            <v>0</v>
          </cell>
        </row>
        <row r="49">
          <cell r="D49">
            <v>0</v>
          </cell>
          <cell r="G49">
            <v>0</v>
          </cell>
          <cell r="J49">
            <v>0</v>
          </cell>
          <cell r="M49">
            <v>0</v>
          </cell>
          <cell r="P49">
            <v>0</v>
          </cell>
          <cell r="S49">
            <v>0</v>
          </cell>
          <cell r="V49">
            <v>0</v>
          </cell>
          <cell r="Y49">
            <v>0</v>
          </cell>
          <cell r="AB49">
            <v>0</v>
          </cell>
          <cell r="AE49">
            <v>0</v>
          </cell>
          <cell r="AH49">
            <v>0</v>
          </cell>
          <cell r="AK49">
            <v>0</v>
          </cell>
        </row>
        <row r="50">
          <cell r="D50">
            <v>19.239999999999998</v>
          </cell>
          <cell r="G50">
            <v>0</v>
          </cell>
          <cell r="J50">
            <v>0</v>
          </cell>
          <cell r="M50">
            <v>0</v>
          </cell>
          <cell r="P50">
            <v>0</v>
          </cell>
          <cell r="S50">
            <v>0</v>
          </cell>
          <cell r="V50">
            <v>0</v>
          </cell>
          <cell r="Y50">
            <v>0</v>
          </cell>
          <cell r="AB50">
            <v>0</v>
          </cell>
          <cell r="AE50">
            <v>0</v>
          </cell>
          <cell r="AH50">
            <v>0</v>
          </cell>
          <cell r="AK50">
            <v>0</v>
          </cell>
        </row>
        <row r="51">
          <cell r="D51">
            <v>0</v>
          </cell>
          <cell r="G51">
            <v>0</v>
          </cell>
          <cell r="J51">
            <v>0</v>
          </cell>
          <cell r="M51">
            <v>0</v>
          </cell>
          <cell r="P51">
            <v>0</v>
          </cell>
          <cell r="S51">
            <v>0</v>
          </cell>
          <cell r="V51">
            <v>0</v>
          </cell>
          <cell r="Y51">
            <v>0</v>
          </cell>
          <cell r="AB51">
            <v>0</v>
          </cell>
          <cell r="AE51">
            <v>0</v>
          </cell>
          <cell r="AH51">
            <v>0</v>
          </cell>
          <cell r="AK51">
            <v>0</v>
          </cell>
        </row>
        <row r="52">
          <cell r="D52">
            <v>0</v>
          </cell>
          <cell r="G52">
            <v>0</v>
          </cell>
          <cell r="J52">
            <v>0</v>
          </cell>
          <cell r="M52">
            <v>0</v>
          </cell>
          <cell r="P52">
            <v>0</v>
          </cell>
          <cell r="S52">
            <v>0</v>
          </cell>
          <cell r="V52">
            <v>0</v>
          </cell>
          <cell r="Y52">
            <v>0</v>
          </cell>
          <cell r="AB52">
            <v>0</v>
          </cell>
          <cell r="AE52">
            <v>0</v>
          </cell>
          <cell r="AH52">
            <v>0</v>
          </cell>
          <cell r="AK52">
            <v>0</v>
          </cell>
        </row>
        <row r="53">
          <cell r="D53">
            <v>0</v>
          </cell>
          <cell r="G53">
            <v>0</v>
          </cell>
          <cell r="J53">
            <v>0</v>
          </cell>
          <cell r="M53">
            <v>0</v>
          </cell>
          <cell r="P53">
            <v>0</v>
          </cell>
          <cell r="S53">
            <v>0</v>
          </cell>
          <cell r="V53">
            <v>0</v>
          </cell>
          <cell r="Y53">
            <v>0</v>
          </cell>
          <cell r="AB53">
            <v>0</v>
          </cell>
          <cell r="AE53">
            <v>0</v>
          </cell>
          <cell r="AH53">
            <v>0</v>
          </cell>
          <cell r="AK53">
            <v>0</v>
          </cell>
        </row>
        <row r="54">
          <cell r="D54">
            <v>0</v>
          </cell>
          <cell r="G54">
            <v>0</v>
          </cell>
          <cell r="J54">
            <v>0</v>
          </cell>
          <cell r="M54">
            <v>0</v>
          </cell>
          <cell r="P54">
            <v>0</v>
          </cell>
          <cell r="S54">
            <v>0</v>
          </cell>
          <cell r="V54">
            <v>0</v>
          </cell>
          <cell r="Y54">
            <v>0</v>
          </cell>
          <cell r="AB54">
            <v>0</v>
          </cell>
          <cell r="AE54">
            <v>0</v>
          </cell>
          <cell r="AH54">
            <v>0</v>
          </cell>
          <cell r="AK54">
            <v>0</v>
          </cell>
        </row>
        <row r="55">
          <cell r="D55">
            <v>0</v>
          </cell>
          <cell r="G55">
            <v>0</v>
          </cell>
          <cell r="J55">
            <v>0</v>
          </cell>
          <cell r="M55">
            <v>0</v>
          </cell>
          <cell r="P55">
            <v>0</v>
          </cell>
          <cell r="S55">
            <v>0</v>
          </cell>
          <cell r="V55">
            <v>0</v>
          </cell>
          <cell r="Y55">
            <v>0</v>
          </cell>
          <cell r="AB55">
            <v>0</v>
          </cell>
          <cell r="AE55">
            <v>0</v>
          </cell>
          <cell r="AH55">
            <v>0</v>
          </cell>
          <cell r="AK55">
            <v>0</v>
          </cell>
        </row>
        <row r="56">
          <cell r="D56">
            <v>0</v>
          </cell>
          <cell r="G56">
            <v>0</v>
          </cell>
          <cell r="J56">
            <v>0</v>
          </cell>
          <cell r="M56">
            <v>0</v>
          </cell>
          <cell r="P56">
            <v>0</v>
          </cell>
          <cell r="S56">
            <v>0</v>
          </cell>
          <cell r="V56">
            <v>0</v>
          </cell>
          <cell r="Y56">
            <v>0</v>
          </cell>
          <cell r="AB56">
            <v>0</v>
          </cell>
          <cell r="AE56">
            <v>0</v>
          </cell>
          <cell r="AH56">
            <v>0</v>
          </cell>
          <cell r="AK56">
            <v>0</v>
          </cell>
        </row>
        <row r="57">
          <cell r="D57">
            <v>0.02</v>
          </cell>
          <cell r="G57">
            <v>0</v>
          </cell>
          <cell r="J57">
            <v>0</v>
          </cell>
          <cell r="M57">
            <v>0</v>
          </cell>
          <cell r="P57">
            <v>0</v>
          </cell>
          <cell r="S57">
            <v>0</v>
          </cell>
          <cell r="V57">
            <v>0</v>
          </cell>
          <cell r="Y57">
            <v>0</v>
          </cell>
          <cell r="AB57">
            <v>0</v>
          </cell>
          <cell r="AE57">
            <v>0</v>
          </cell>
          <cell r="AH57">
            <v>0</v>
          </cell>
          <cell r="AK57">
            <v>0</v>
          </cell>
        </row>
        <row r="58">
          <cell r="D58">
            <v>0</v>
          </cell>
          <cell r="G58">
            <v>0</v>
          </cell>
          <cell r="J58">
            <v>0</v>
          </cell>
          <cell r="M58">
            <v>0</v>
          </cell>
          <cell r="P58">
            <v>0</v>
          </cell>
          <cell r="S58">
            <v>0</v>
          </cell>
          <cell r="V58">
            <v>0</v>
          </cell>
          <cell r="Y58">
            <v>0</v>
          </cell>
          <cell r="AB58">
            <v>0</v>
          </cell>
          <cell r="AE58">
            <v>0</v>
          </cell>
          <cell r="AH58">
            <v>0</v>
          </cell>
          <cell r="AK58">
            <v>0</v>
          </cell>
        </row>
        <row r="59">
          <cell r="D59">
            <v>0</v>
          </cell>
          <cell r="G59">
            <v>0</v>
          </cell>
          <cell r="J59">
            <v>0</v>
          </cell>
          <cell r="M59">
            <v>0</v>
          </cell>
          <cell r="P59">
            <v>0</v>
          </cell>
          <cell r="S59">
            <v>0</v>
          </cell>
          <cell r="V59">
            <v>0</v>
          </cell>
          <cell r="Y59">
            <v>0</v>
          </cell>
          <cell r="AB59">
            <v>0</v>
          </cell>
          <cell r="AE59">
            <v>0</v>
          </cell>
          <cell r="AH59">
            <v>0</v>
          </cell>
          <cell r="AK59">
            <v>0</v>
          </cell>
        </row>
        <row r="60">
          <cell r="D60">
            <v>0</v>
          </cell>
          <cell r="G60">
            <v>0</v>
          </cell>
          <cell r="J60">
            <v>0</v>
          </cell>
          <cell r="M60">
            <v>0</v>
          </cell>
          <cell r="P60">
            <v>0</v>
          </cell>
          <cell r="S60">
            <v>0</v>
          </cell>
          <cell r="V60">
            <v>0</v>
          </cell>
          <cell r="Y60">
            <v>0</v>
          </cell>
          <cell r="AB60">
            <v>0</v>
          </cell>
          <cell r="AE60">
            <v>0</v>
          </cell>
          <cell r="AH60">
            <v>0</v>
          </cell>
          <cell r="AK60">
            <v>0</v>
          </cell>
        </row>
        <row r="61">
          <cell r="D61">
            <v>0</v>
          </cell>
          <cell r="G61">
            <v>0</v>
          </cell>
          <cell r="J61">
            <v>0</v>
          </cell>
          <cell r="M61">
            <v>0</v>
          </cell>
          <cell r="P61">
            <v>0</v>
          </cell>
          <cell r="S61">
            <v>0</v>
          </cell>
          <cell r="V61">
            <v>0</v>
          </cell>
          <cell r="Y61">
            <v>0</v>
          </cell>
          <cell r="AB61">
            <v>0</v>
          </cell>
          <cell r="AE61">
            <v>0</v>
          </cell>
          <cell r="AH61">
            <v>0</v>
          </cell>
          <cell r="AK61">
            <v>0</v>
          </cell>
        </row>
        <row r="62">
          <cell r="D62">
            <v>0</v>
          </cell>
          <cell r="G62">
            <v>0</v>
          </cell>
          <cell r="J62">
            <v>0</v>
          </cell>
          <cell r="M62">
            <v>0</v>
          </cell>
          <cell r="P62">
            <v>0</v>
          </cell>
          <cell r="S62">
            <v>0</v>
          </cell>
          <cell r="V62">
            <v>0</v>
          </cell>
          <cell r="Y62">
            <v>0</v>
          </cell>
          <cell r="AB62">
            <v>0</v>
          </cell>
          <cell r="AE62">
            <v>0</v>
          </cell>
          <cell r="AH62">
            <v>0</v>
          </cell>
          <cell r="AK62">
            <v>0</v>
          </cell>
        </row>
        <row r="63">
          <cell r="D63">
            <v>0</v>
          </cell>
          <cell r="G63">
            <v>0</v>
          </cell>
          <cell r="J63">
            <v>0</v>
          </cell>
          <cell r="M63">
            <v>0</v>
          </cell>
          <cell r="P63">
            <v>0</v>
          </cell>
          <cell r="S63">
            <v>0</v>
          </cell>
          <cell r="V63">
            <v>0</v>
          </cell>
          <cell r="Y63">
            <v>0</v>
          </cell>
          <cell r="AB63">
            <v>0</v>
          </cell>
          <cell r="AE63">
            <v>0</v>
          </cell>
          <cell r="AH63">
            <v>0</v>
          </cell>
          <cell r="AK63">
            <v>0</v>
          </cell>
        </row>
        <row r="64">
          <cell r="D64">
            <v>0</v>
          </cell>
          <cell r="G64">
            <v>0</v>
          </cell>
          <cell r="J64">
            <v>0</v>
          </cell>
          <cell r="M64">
            <v>0</v>
          </cell>
          <cell r="P64">
            <v>0</v>
          </cell>
          <cell r="S64">
            <v>0</v>
          </cell>
          <cell r="V64">
            <v>0</v>
          </cell>
          <cell r="Y64">
            <v>0</v>
          </cell>
          <cell r="AB64">
            <v>0</v>
          </cell>
          <cell r="AE64">
            <v>0</v>
          </cell>
          <cell r="AH64">
            <v>0</v>
          </cell>
          <cell r="AK64">
            <v>0</v>
          </cell>
        </row>
        <row r="65">
          <cell r="D65">
            <v>0</v>
          </cell>
          <cell r="G65">
            <v>0</v>
          </cell>
          <cell r="J65">
            <v>0</v>
          </cell>
          <cell r="M65">
            <v>0</v>
          </cell>
          <cell r="P65">
            <v>0</v>
          </cell>
          <cell r="S65">
            <v>0</v>
          </cell>
          <cell r="V65">
            <v>0</v>
          </cell>
          <cell r="Y65">
            <v>0</v>
          </cell>
          <cell r="AB65">
            <v>0</v>
          </cell>
          <cell r="AE65">
            <v>0</v>
          </cell>
          <cell r="AH65">
            <v>0</v>
          </cell>
          <cell r="AK65">
            <v>0</v>
          </cell>
        </row>
        <row r="66">
          <cell r="D66">
            <v>0.08</v>
          </cell>
          <cell r="G66">
            <v>0</v>
          </cell>
          <cell r="J66">
            <v>0</v>
          </cell>
          <cell r="M66">
            <v>0</v>
          </cell>
          <cell r="P66">
            <v>0</v>
          </cell>
          <cell r="S66">
            <v>0</v>
          </cell>
          <cell r="V66">
            <v>0</v>
          </cell>
          <cell r="Y66">
            <v>0</v>
          </cell>
          <cell r="AB66">
            <v>0</v>
          </cell>
          <cell r="AE66">
            <v>0</v>
          </cell>
          <cell r="AH66">
            <v>0</v>
          </cell>
          <cell r="AK66">
            <v>0</v>
          </cell>
        </row>
        <row r="67">
          <cell r="D67">
            <v>0</v>
          </cell>
          <cell r="G67">
            <v>0</v>
          </cell>
          <cell r="J67">
            <v>0</v>
          </cell>
          <cell r="M67">
            <v>0</v>
          </cell>
          <cell r="P67">
            <v>0</v>
          </cell>
          <cell r="S67">
            <v>0</v>
          </cell>
          <cell r="V67">
            <v>0</v>
          </cell>
          <cell r="Y67">
            <v>0</v>
          </cell>
          <cell r="AB67">
            <v>0</v>
          </cell>
          <cell r="AE67">
            <v>0</v>
          </cell>
          <cell r="AH67">
            <v>0</v>
          </cell>
          <cell r="AK67">
            <v>0</v>
          </cell>
        </row>
        <row r="68">
          <cell r="D68">
            <v>0.45</v>
          </cell>
          <cell r="G68">
            <v>0</v>
          </cell>
          <cell r="J68">
            <v>0</v>
          </cell>
          <cell r="M68">
            <v>0</v>
          </cell>
          <cell r="P68">
            <v>0</v>
          </cell>
          <cell r="S68">
            <v>0</v>
          </cell>
          <cell r="V68">
            <v>0</v>
          </cell>
          <cell r="Y68">
            <v>0</v>
          </cell>
          <cell r="AB68">
            <v>0</v>
          </cell>
          <cell r="AE68">
            <v>0</v>
          </cell>
          <cell r="AH68">
            <v>0</v>
          </cell>
          <cell r="AK68">
            <v>0</v>
          </cell>
        </row>
        <row r="69">
          <cell r="D69">
            <v>0</v>
          </cell>
          <cell r="G69">
            <v>0</v>
          </cell>
          <cell r="J69">
            <v>0</v>
          </cell>
          <cell r="M69">
            <v>0</v>
          </cell>
          <cell r="P69">
            <v>0</v>
          </cell>
          <cell r="S69">
            <v>0</v>
          </cell>
          <cell r="V69">
            <v>0</v>
          </cell>
          <cell r="Y69">
            <v>0</v>
          </cell>
          <cell r="AB69">
            <v>0</v>
          </cell>
          <cell r="AE69">
            <v>0</v>
          </cell>
          <cell r="AH69">
            <v>0</v>
          </cell>
          <cell r="AK69">
            <v>0</v>
          </cell>
        </row>
        <row r="70">
          <cell r="D70">
            <v>0</v>
          </cell>
          <cell r="G70">
            <v>0</v>
          </cell>
          <cell r="J70">
            <v>0</v>
          </cell>
          <cell r="M70">
            <v>0</v>
          </cell>
          <cell r="P70">
            <v>0</v>
          </cell>
          <cell r="S70">
            <v>0</v>
          </cell>
          <cell r="V70">
            <v>0</v>
          </cell>
          <cell r="Y70">
            <v>0</v>
          </cell>
          <cell r="AB70">
            <v>0</v>
          </cell>
          <cell r="AE70">
            <v>0</v>
          </cell>
          <cell r="AH70">
            <v>0</v>
          </cell>
          <cell r="AK70">
            <v>0</v>
          </cell>
        </row>
        <row r="71">
          <cell r="D71">
            <v>0</v>
          </cell>
          <cell r="G71">
            <v>0</v>
          </cell>
          <cell r="J71">
            <v>0</v>
          </cell>
          <cell r="M71">
            <v>0</v>
          </cell>
          <cell r="P71">
            <v>0</v>
          </cell>
          <cell r="S71">
            <v>0</v>
          </cell>
          <cell r="V71">
            <v>0</v>
          </cell>
          <cell r="Y71">
            <v>0</v>
          </cell>
          <cell r="AB71">
            <v>0</v>
          </cell>
          <cell r="AE71">
            <v>0</v>
          </cell>
          <cell r="AH71">
            <v>0</v>
          </cell>
          <cell r="AK71">
            <v>0</v>
          </cell>
        </row>
        <row r="72">
          <cell r="D72">
            <v>0.82000000000000006</v>
          </cell>
          <cell r="G72">
            <v>0</v>
          </cell>
          <cell r="J72">
            <v>0</v>
          </cell>
          <cell r="M72">
            <v>0</v>
          </cell>
          <cell r="P72">
            <v>0</v>
          </cell>
          <cell r="S72">
            <v>0</v>
          </cell>
          <cell r="V72">
            <v>0</v>
          </cell>
          <cell r="Y72">
            <v>0</v>
          </cell>
          <cell r="AB72">
            <v>0</v>
          </cell>
          <cell r="AE72">
            <v>0</v>
          </cell>
          <cell r="AH72">
            <v>0</v>
          </cell>
          <cell r="AK72">
            <v>0</v>
          </cell>
        </row>
        <row r="73">
          <cell r="D73">
            <v>0</v>
          </cell>
          <cell r="G73">
            <v>0</v>
          </cell>
          <cell r="J73">
            <v>0</v>
          </cell>
          <cell r="M73">
            <v>0</v>
          </cell>
          <cell r="P73">
            <v>0</v>
          </cell>
          <cell r="S73">
            <v>0</v>
          </cell>
          <cell r="V73">
            <v>0</v>
          </cell>
          <cell r="Y73">
            <v>0</v>
          </cell>
          <cell r="AB73">
            <v>0</v>
          </cell>
          <cell r="AE73">
            <v>0</v>
          </cell>
          <cell r="AH73">
            <v>0</v>
          </cell>
          <cell r="AK73">
            <v>0</v>
          </cell>
        </row>
        <row r="74">
          <cell r="D74">
            <v>0</v>
          </cell>
          <cell r="G74">
            <v>0</v>
          </cell>
          <cell r="J74">
            <v>0</v>
          </cell>
          <cell r="M74">
            <v>0</v>
          </cell>
          <cell r="P74">
            <v>0</v>
          </cell>
          <cell r="S74">
            <v>0</v>
          </cell>
          <cell r="V74">
            <v>0</v>
          </cell>
          <cell r="Y74">
            <v>0</v>
          </cell>
          <cell r="AB74">
            <v>0</v>
          </cell>
          <cell r="AE74">
            <v>0</v>
          </cell>
          <cell r="AH74">
            <v>0</v>
          </cell>
          <cell r="AK74">
            <v>0</v>
          </cell>
        </row>
        <row r="75">
          <cell r="D75">
            <v>0</v>
          </cell>
          <cell r="G75">
            <v>0</v>
          </cell>
          <cell r="J75">
            <v>0</v>
          </cell>
          <cell r="M75">
            <v>0</v>
          </cell>
          <cell r="P75">
            <v>0</v>
          </cell>
          <cell r="S75">
            <v>0</v>
          </cell>
          <cell r="V75">
            <v>0</v>
          </cell>
          <cell r="Y75">
            <v>0</v>
          </cell>
          <cell r="AB75">
            <v>0</v>
          </cell>
          <cell r="AE75">
            <v>0</v>
          </cell>
          <cell r="AH75">
            <v>0</v>
          </cell>
          <cell r="AK75">
            <v>0</v>
          </cell>
        </row>
        <row r="76">
          <cell r="D76">
            <v>0</v>
          </cell>
          <cell r="G76">
            <v>0</v>
          </cell>
          <cell r="J76">
            <v>0</v>
          </cell>
          <cell r="M76">
            <v>0</v>
          </cell>
          <cell r="P76">
            <v>0</v>
          </cell>
          <cell r="S76">
            <v>0</v>
          </cell>
          <cell r="V76">
            <v>0</v>
          </cell>
          <cell r="Y76">
            <v>0</v>
          </cell>
          <cell r="AB76">
            <v>0</v>
          </cell>
          <cell r="AE76">
            <v>0</v>
          </cell>
          <cell r="AH76">
            <v>0</v>
          </cell>
          <cell r="AK76">
            <v>0</v>
          </cell>
        </row>
        <row r="77">
          <cell r="D77">
            <v>2.56</v>
          </cell>
          <cell r="G77">
            <v>0</v>
          </cell>
          <cell r="J77">
            <v>0</v>
          </cell>
          <cell r="M77">
            <v>0</v>
          </cell>
          <cell r="P77">
            <v>0</v>
          </cell>
          <cell r="S77">
            <v>0</v>
          </cell>
          <cell r="V77">
            <v>0</v>
          </cell>
          <cell r="Y77">
            <v>0</v>
          </cell>
          <cell r="AB77">
            <v>0</v>
          </cell>
          <cell r="AE77">
            <v>0</v>
          </cell>
          <cell r="AH77">
            <v>0</v>
          </cell>
          <cell r="AK77">
            <v>0</v>
          </cell>
        </row>
        <row r="78">
          <cell r="D78">
            <v>0.99</v>
          </cell>
          <cell r="G78">
            <v>0</v>
          </cell>
          <cell r="J78">
            <v>0</v>
          </cell>
          <cell r="M78">
            <v>0</v>
          </cell>
          <cell r="P78">
            <v>0</v>
          </cell>
          <cell r="S78">
            <v>0</v>
          </cell>
          <cell r="V78">
            <v>0</v>
          </cell>
          <cell r="Y78">
            <v>0</v>
          </cell>
          <cell r="AB78">
            <v>0</v>
          </cell>
          <cell r="AE78">
            <v>0</v>
          </cell>
          <cell r="AH78">
            <v>0</v>
          </cell>
          <cell r="AK78">
            <v>0</v>
          </cell>
        </row>
        <row r="79">
          <cell r="D79">
            <v>0</v>
          </cell>
          <cell r="G79">
            <v>0</v>
          </cell>
          <cell r="J79">
            <v>0</v>
          </cell>
          <cell r="M79">
            <v>0</v>
          </cell>
          <cell r="P79">
            <v>0</v>
          </cell>
          <cell r="S79">
            <v>0</v>
          </cell>
          <cell r="V79">
            <v>0</v>
          </cell>
          <cell r="Y79">
            <v>0</v>
          </cell>
          <cell r="AB79">
            <v>0</v>
          </cell>
          <cell r="AE79">
            <v>0</v>
          </cell>
          <cell r="AH79">
            <v>0</v>
          </cell>
          <cell r="AK79">
            <v>0</v>
          </cell>
        </row>
        <row r="80">
          <cell r="D80">
            <v>0.2</v>
          </cell>
          <cell r="G80">
            <v>0</v>
          </cell>
          <cell r="J80">
            <v>0</v>
          </cell>
          <cell r="M80">
            <v>0</v>
          </cell>
          <cell r="P80">
            <v>0</v>
          </cell>
          <cell r="S80">
            <v>0</v>
          </cell>
          <cell r="V80">
            <v>0</v>
          </cell>
          <cell r="Y80">
            <v>0</v>
          </cell>
          <cell r="AB80">
            <v>0</v>
          </cell>
          <cell r="AE80">
            <v>0</v>
          </cell>
          <cell r="AH80">
            <v>0</v>
          </cell>
          <cell r="AK80">
            <v>0</v>
          </cell>
        </row>
        <row r="81">
          <cell r="D81">
            <v>0</v>
          </cell>
          <cell r="G81">
            <v>0</v>
          </cell>
          <cell r="J81">
            <v>0</v>
          </cell>
          <cell r="M81">
            <v>0</v>
          </cell>
          <cell r="P81">
            <v>0</v>
          </cell>
          <cell r="S81">
            <v>0</v>
          </cell>
          <cell r="V81">
            <v>0</v>
          </cell>
          <cell r="Y81">
            <v>0</v>
          </cell>
          <cell r="AB81">
            <v>0</v>
          </cell>
          <cell r="AE81">
            <v>0</v>
          </cell>
          <cell r="AH81">
            <v>0</v>
          </cell>
          <cell r="AK81">
            <v>0</v>
          </cell>
        </row>
        <row r="82">
          <cell r="D82">
            <v>0</v>
          </cell>
          <cell r="G82">
            <v>0</v>
          </cell>
          <cell r="J82">
            <v>0</v>
          </cell>
          <cell r="M82">
            <v>0</v>
          </cell>
          <cell r="P82">
            <v>0</v>
          </cell>
          <cell r="S82">
            <v>0</v>
          </cell>
          <cell r="V82">
            <v>0</v>
          </cell>
          <cell r="Y82">
            <v>0</v>
          </cell>
          <cell r="AB82">
            <v>0</v>
          </cell>
          <cell r="AE82">
            <v>0</v>
          </cell>
          <cell r="AH82">
            <v>0</v>
          </cell>
          <cell r="AK82">
            <v>0</v>
          </cell>
        </row>
        <row r="83">
          <cell r="D83">
            <v>0</v>
          </cell>
          <cell r="G83">
            <v>0</v>
          </cell>
          <cell r="J83">
            <v>0</v>
          </cell>
          <cell r="M83">
            <v>0</v>
          </cell>
          <cell r="P83">
            <v>0</v>
          </cell>
          <cell r="S83">
            <v>0</v>
          </cell>
          <cell r="V83">
            <v>0</v>
          </cell>
          <cell r="Y83">
            <v>0</v>
          </cell>
          <cell r="AB83">
            <v>0</v>
          </cell>
          <cell r="AE83">
            <v>0</v>
          </cell>
          <cell r="AH83">
            <v>0</v>
          </cell>
          <cell r="AK83">
            <v>0</v>
          </cell>
        </row>
        <row r="84">
          <cell r="D84">
            <v>0</v>
          </cell>
          <cell r="G84">
            <v>0</v>
          </cell>
          <cell r="J84">
            <v>0</v>
          </cell>
          <cell r="M84">
            <v>0</v>
          </cell>
          <cell r="P84">
            <v>0</v>
          </cell>
          <cell r="S84">
            <v>0</v>
          </cell>
          <cell r="V84">
            <v>0</v>
          </cell>
          <cell r="Y84">
            <v>0</v>
          </cell>
          <cell r="AB84">
            <v>0</v>
          </cell>
          <cell r="AE84">
            <v>0</v>
          </cell>
          <cell r="AH84">
            <v>0</v>
          </cell>
          <cell r="AK84">
            <v>0</v>
          </cell>
        </row>
        <row r="85">
          <cell r="D85">
            <v>0</v>
          </cell>
          <cell r="G85">
            <v>0</v>
          </cell>
          <cell r="J85">
            <v>0</v>
          </cell>
          <cell r="M85">
            <v>0</v>
          </cell>
          <cell r="P85">
            <v>0</v>
          </cell>
          <cell r="S85">
            <v>0</v>
          </cell>
          <cell r="V85">
            <v>0</v>
          </cell>
          <cell r="Y85">
            <v>0</v>
          </cell>
          <cell r="AB85">
            <v>0</v>
          </cell>
          <cell r="AE85">
            <v>0</v>
          </cell>
          <cell r="AH85">
            <v>0</v>
          </cell>
          <cell r="AK85">
            <v>0</v>
          </cell>
        </row>
        <row r="86">
          <cell r="D86">
            <v>0</v>
          </cell>
          <cell r="G86">
            <v>0</v>
          </cell>
          <cell r="J86">
            <v>0</v>
          </cell>
          <cell r="M86">
            <v>0</v>
          </cell>
          <cell r="P86">
            <v>0</v>
          </cell>
          <cell r="S86">
            <v>0</v>
          </cell>
          <cell r="V86">
            <v>0</v>
          </cell>
          <cell r="Y86">
            <v>0</v>
          </cell>
          <cell r="AB86">
            <v>0</v>
          </cell>
          <cell r="AE86">
            <v>0</v>
          </cell>
          <cell r="AH86">
            <v>0</v>
          </cell>
          <cell r="AK86">
            <v>0</v>
          </cell>
        </row>
        <row r="87">
          <cell r="D87">
            <v>0</v>
          </cell>
          <cell r="G87">
            <v>0</v>
          </cell>
          <cell r="J87">
            <v>0</v>
          </cell>
          <cell r="M87">
            <v>0</v>
          </cell>
          <cell r="P87">
            <v>0</v>
          </cell>
          <cell r="S87">
            <v>0</v>
          </cell>
          <cell r="V87">
            <v>0</v>
          </cell>
          <cell r="Y87">
            <v>0</v>
          </cell>
          <cell r="AB87">
            <v>0</v>
          </cell>
          <cell r="AE87">
            <v>0</v>
          </cell>
          <cell r="AH87">
            <v>0</v>
          </cell>
          <cell r="AK87">
            <v>0</v>
          </cell>
        </row>
        <row r="88">
          <cell r="D88">
            <v>5.0200000000000005</v>
          </cell>
          <cell r="G88">
            <v>0</v>
          </cell>
          <cell r="J88">
            <v>0</v>
          </cell>
          <cell r="M88">
            <v>0</v>
          </cell>
          <cell r="P88">
            <v>0</v>
          </cell>
          <cell r="S88">
            <v>0</v>
          </cell>
          <cell r="V88">
            <v>0</v>
          </cell>
          <cell r="Y88">
            <v>0</v>
          </cell>
          <cell r="AB88">
            <v>0</v>
          </cell>
          <cell r="AE88">
            <v>0</v>
          </cell>
          <cell r="AH88">
            <v>0</v>
          </cell>
          <cell r="AK88">
            <v>0</v>
          </cell>
        </row>
        <row r="89">
          <cell r="D89">
            <v>5.12</v>
          </cell>
          <cell r="G89">
            <v>0</v>
          </cell>
          <cell r="J89">
            <v>0</v>
          </cell>
          <cell r="M89">
            <v>0</v>
          </cell>
          <cell r="P89">
            <v>0</v>
          </cell>
          <cell r="S89">
            <v>0</v>
          </cell>
          <cell r="V89">
            <v>0</v>
          </cell>
          <cell r="Y89">
            <v>0</v>
          </cell>
          <cell r="AB89">
            <v>0</v>
          </cell>
          <cell r="AE89">
            <v>0</v>
          </cell>
          <cell r="AH89">
            <v>0</v>
          </cell>
          <cell r="AK89">
            <v>0</v>
          </cell>
        </row>
        <row r="90">
          <cell r="D90">
            <v>0</v>
          </cell>
          <cell r="G90">
            <v>0</v>
          </cell>
          <cell r="J90">
            <v>0</v>
          </cell>
          <cell r="M90">
            <v>0</v>
          </cell>
          <cell r="P90">
            <v>0</v>
          </cell>
          <cell r="S90">
            <v>0</v>
          </cell>
          <cell r="V90">
            <v>0</v>
          </cell>
          <cell r="Y90">
            <v>0</v>
          </cell>
          <cell r="AB90">
            <v>0</v>
          </cell>
          <cell r="AE90">
            <v>0</v>
          </cell>
          <cell r="AH90">
            <v>0</v>
          </cell>
          <cell r="AK90">
            <v>0</v>
          </cell>
        </row>
        <row r="91">
          <cell r="D91">
            <v>0</v>
          </cell>
          <cell r="G91">
            <v>0</v>
          </cell>
          <cell r="J91">
            <v>0</v>
          </cell>
          <cell r="M91">
            <v>0</v>
          </cell>
          <cell r="P91">
            <v>0</v>
          </cell>
          <cell r="S91">
            <v>0</v>
          </cell>
          <cell r="V91">
            <v>0</v>
          </cell>
          <cell r="Y91">
            <v>0</v>
          </cell>
          <cell r="AB91">
            <v>0</v>
          </cell>
          <cell r="AE91">
            <v>0</v>
          </cell>
          <cell r="AH91">
            <v>0</v>
          </cell>
          <cell r="AK91">
            <v>0</v>
          </cell>
        </row>
        <row r="92">
          <cell r="D92">
            <v>0</v>
          </cell>
          <cell r="G92">
            <v>0</v>
          </cell>
          <cell r="J92">
            <v>0</v>
          </cell>
          <cell r="M92">
            <v>0</v>
          </cell>
          <cell r="P92">
            <v>0</v>
          </cell>
          <cell r="S92">
            <v>0</v>
          </cell>
          <cell r="V92">
            <v>0</v>
          </cell>
          <cell r="Y92">
            <v>0</v>
          </cell>
          <cell r="AB92">
            <v>0</v>
          </cell>
          <cell r="AE92">
            <v>0</v>
          </cell>
          <cell r="AH92">
            <v>0</v>
          </cell>
          <cell r="AK92">
            <v>0</v>
          </cell>
        </row>
        <row r="93">
          <cell r="D93">
            <v>24.36</v>
          </cell>
          <cell r="G93">
            <v>0</v>
          </cell>
          <cell r="J93">
            <v>0</v>
          </cell>
          <cell r="M93">
            <v>0</v>
          </cell>
          <cell r="P93">
            <v>0</v>
          </cell>
          <cell r="S93">
            <v>0</v>
          </cell>
          <cell r="V93">
            <v>0</v>
          </cell>
          <cell r="Y93">
            <v>0</v>
          </cell>
          <cell r="AB93">
            <v>0</v>
          </cell>
          <cell r="AE93">
            <v>0</v>
          </cell>
          <cell r="AH93">
            <v>0</v>
          </cell>
          <cell r="AK93">
            <v>0</v>
          </cell>
        </row>
        <row r="94">
          <cell r="D94">
            <v>0</v>
          </cell>
          <cell r="G94">
            <v>0</v>
          </cell>
          <cell r="J94">
            <v>0</v>
          </cell>
          <cell r="M94">
            <v>0</v>
          </cell>
          <cell r="P94">
            <v>0</v>
          </cell>
          <cell r="S94">
            <v>0</v>
          </cell>
          <cell r="V94">
            <v>0</v>
          </cell>
          <cell r="Y94">
            <v>0</v>
          </cell>
          <cell r="AB94">
            <v>0</v>
          </cell>
          <cell r="AE94">
            <v>0</v>
          </cell>
          <cell r="AH94">
            <v>0</v>
          </cell>
          <cell r="AK94">
            <v>0</v>
          </cell>
        </row>
        <row r="95">
          <cell r="D95">
            <v>0</v>
          </cell>
          <cell r="G95">
            <v>0</v>
          </cell>
          <cell r="J95">
            <v>0</v>
          </cell>
          <cell r="M95">
            <v>0</v>
          </cell>
          <cell r="P95">
            <v>0</v>
          </cell>
          <cell r="S95">
            <v>0</v>
          </cell>
          <cell r="V95">
            <v>0</v>
          </cell>
          <cell r="Y95">
            <v>0</v>
          </cell>
          <cell r="AB95">
            <v>0</v>
          </cell>
          <cell r="AE95">
            <v>0</v>
          </cell>
          <cell r="AH95">
            <v>0</v>
          </cell>
          <cell r="AK95">
            <v>0</v>
          </cell>
        </row>
        <row r="96">
          <cell r="D96">
            <v>0</v>
          </cell>
          <cell r="G96">
            <v>0</v>
          </cell>
          <cell r="J96">
            <v>0</v>
          </cell>
          <cell r="M96">
            <v>0</v>
          </cell>
          <cell r="P96">
            <v>0</v>
          </cell>
          <cell r="S96">
            <v>0</v>
          </cell>
          <cell r="V96">
            <v>0</v>
          </cell>
          <cell r="Y96">
            <v>0</v>
          </cell>
          <cell r="AB96">
            <v>0</v>
          </cell>
          <cell r="AE96">
            <v>0</v>
          </cell>
          <cell r="AH96">
            <v>0</v>
          </cell>
          <cell r="AK96">
            <v>0</v>
          </cell>
        </row>
        <row r="97">
          <cell r="D97">
            <v>6.6899999999999995</v>
          </cell>
          <cell r="G97">
            <v>0</v>
          </cell>
          <cell r="J97">
            <v>0</v>
          </cell>
          <cell r="M97">
            <v>0</v>
          </cell>
          <cell r="P97">
            <v>0</v>
          </cell>
          <cell r="S97">
            <v>0</v>
          </cell>
          <cell r="V97">
            <v>0</v>
          </cell>
          <cell r="Y97">
            <v>0</v>
          </cell>
          <cell r="AB97">
            <v>0</v>
          </cell>
          <cell r="AE97">
            <v>0</v>
          </cell>
          <cell r="AH97">
            <v>0</v>
          </cell>
          <cell r="AK97">
            <v>0</v>
          </cell>
        </row>
        <row r="98">
          <cell r="D98">
            <v>1.48</v>
          </cell>
          <cell r="G98">
            <v>0</v>
          </cell>
          <cell r="J98">
            <v>0</v>
          </cell>
          <cell r="M98">
            <v>0</v>
          </cell>
          <cell r="P98">
            <v>0</v>
          </cell>
          <cell r="S98">
            <v>0</v>
          </cell>
          <cell r="V98">
            <v>0</v>
          </cell>
          <cell r="Y98">
            <v>0</v>
          </cell>
          <cell r="AB98">
            <v>0</v>
          </cell>
          <cell r="AE98">
            <v>0</v>
          </cell>
          <cell r="AH98">
            <v>0</v>
          </cell>
          <cell r="AK98">
            <v>0</v>
          </cell>
        </row>
        <row r="99">
          <cell r="D99">
            <v>0</v>
          </cell>
          <cell r="G99">
            <v>0</v>
          </cell>
          <cell r="J99">
            <v>0</v>
          </cell>
          <cell r="M99">
            <v>0</v>
          </cell>
          <cell r="P99">
            <v>0</v>
          </cell>
          <cell r="S99">
            <v>0</v>
          </cell>
          <cell r="V99">
            <v>0</v>
          </cell>
          <cell r="Y99">
            <v>0</v>
          </cell>
          <cell r="AB99">
            <v>0</v>
          </cell>
          <cell r="AE99">
            <v>0</v>
          </cell>
          <cell r="AH99">
            <v>0</v>
          </cell>
          <cell r="AK99">
            <v>0</v>
          </cell>
        </row>
        <row r="100">
          <cell r="D100">
            <v>17</v>
          </cell>
          <cell r="G100">
            <v>0</v>
          </cell>
          <cell r="J100">
            <v>0</v>
          </cell>
          <cell r="M100">
            <v>0</v>
          </cell>
          <cell r="P100">
            <v>0</v>
          </cell>
          <cell r="S100">
            <v>0</v>
          </cell>
          <cell r="V100">
            <v>0</v>
          </cell>
          <cell r="Y100">
            <v>0</v>
          </cell>
          <cell r="AB100">
            <v>0</v>
          </cell>
          <cell r="AE100">
            <v>0</v>
          </cell>
          <cell r="AH100">
            <v>-16</v>
          </cell>
          <cell r="AK100">
            <v>0</v>
          </cell>
        </row>
        <row r="101">
          <cell r="D101">
            <v>0</v>
          </cell>
          <cell r="G101">
            <v>0</v>
          </cell>
          <cell r="J101">
            <v>0</v>
          </cell>
          <cell r="M101">
            <v>0</v>
          </cell>
          <cell r="P101">
            <v>0</v>
          </cell>
          <cell r="S101">
            <v>0</v>
          </cell>
          <cell r="V101">
            <v>0</v>
          </cell>
          <cell r="Y101">
            <v>0</v>
          </cell>
          <cell r="AB101">
            <v>0</v>
          </cell>
          <cell r="AE101">
            <v>0</v>
          </cell>
          <cell r="AH101">
            <v>0</v>
          </cell>
          <cell r="AK101">
            <v>0</v>
          </cell>
        </row>
        <row r="102">
          <cell r="D102">
            <v>18.48</v>
          </cell>
          <cell r="G102">
            <v>0</v>
          </cell>
          <cell r="J102">
            <v>0</v>
          </cell>
          <cell r="M102">
            <v>0</v>
          </cell>
          <cell r="P102">
            <v>0</v>
          </cell>
          <cell r="S102">
            <v>0</v>
          </cell>
          <cell r="V102">
            <v>0</v>
          </cell>
          <cell r="Y102">
            <v>0</v>
          </cell>
          <cell r="AB102">
            <v>0</v>
          </cell>
          <cell r="AE102">
            <v>0</v>
          </cell>
          <cell r="AH102">
            <v>-16</v>
          </cell>
          <cell r="AK102">
            <v>0</v>
          </cell>
        </row>
        <row r="103">
          <cell r="D103">
            <v>0</v>
          </cell>
          <cell r="G103">
            <v>0</v>
          </cell>
          <cell r="J103">
            <v>0</v>
          </cell>
          <cell r="M103">
            <v>0</v>
          </cell>
          <cell r="P103">
            <v>0</v>
          </cell>
          <cell r="S103">
            <v>0</v>
          </cell>
          <cell r="V103">
            <v>0</v>
          </cell>
          <cell r="Y103">
            <v>0</v>
          </cell>
          <cell r="AB103">
            <v>0</v>
          </cell>
          <cell r="AE103">
            <v>0</v>
          </cell>
          <cell r="AH103">
            <v>0</v>
          </cell>
          <cell r="AK103">
            <v>0</v>
          </cell>
        </row>
        <row r="104">
          <cell r="D104">
            <v>0</v>
          </cell>
          <cell r="G104">
            <v>0</v>
          </cell>
          <cell r="J104">
            <v>0</v>
          </cell>
          <cell r="M104">
            <v>0</v>
          </cell>
          <cell r="P104">
            <v>0</v>
          </cell>
          <cell r="S104">
            <v>0</v>
          </cell>
          <cell r="V104">
            <v>0</v>
          </cell>
          <cell r="Y104">
            <v>0</v>
          </cell>
          <cell r="AB104">
            <v>0</v>
          </cell>
          <cell r="AE104">
            <v>0</v>
          </cell>
          <cell r="AH104">
            <v>0</v>
          </cell>
          <cell r="AK104">
            <v>0</v>
          </cell>
        </row>
        <row r="105">
          <cell r="D105">
            <v>0</v>
          </cell>
          <cell r="G105">
            <v>0</v>
          </cell>
          <cell r="J105">
            <v>0</v>
          </cell>
          <cell r="M105">
            <v>0</v>
          </cell>
          <cell r="P105">
            <v>0</v>
          </cell>
          <cell r="S105">
            <v>0</v>
          </cell>
          <cell r="V105">
            <v>0</v>
          </cell>
          <cell r="Y105">
            <v>0</v>
          </cell>
          <cell r="AB105">
            <v>0</v>
          </cell>
          <cell r="AE105">
            <v>0</v>
          </cell>
          <cell r="AH105">
            <v>0</v>
          </cell>
          <cell r="AK105">
            <v>0</v>
          </cell>
        </row>
        <row r="106">
          <cell r="D106">
            <v>0</v>
          </cell>
          <cell r="G106">
            <v>0</v>
          </cell>
          <cell r="J106">
            <v>0</v>
          </cell>
          <cell r="M106">
            <v>0</v>
          </cell>
          <cell r="P106">
            <v>0</v>
          </cell>
          <cell r="S106">
            <v>0</v>
          </cell>
          <cell r="V106">
            <v>0</v>
          </cell>
          <cell r="Y106">
            <v>0</v>
          </cell>
          <cell r="AB106">
            <v>0</v>
          </cell>
          <cell r="AE106">
            <v>0</v>
          </cell>
          <cell r="AH106">
            <v>0</v>
          </cell>
          <cell r="AK106">
            <v>0</v>
          </cell>
        </row>
        <row r="107">
          <cell r="D107">
            <v>0</v>
          </cell>
          <cell r="G107">
            <v>0</v>
          </cell>
          <cell r="J107">
            <v>0</v>
          </cell>
          <cell r="M107">
            <v>0</v>
          </cell>
          <cell r="P107">
            <v>0</v>
          </cell>
          <cell r="S107">
            <v>0</v>
          </cell>
          <cell r="V107">
            <v>0</v>
          </cell>
          <cell r="Y107">
            <v>0</v>
          </cell>
          <cell r="AB107">
            <v>0</v>
          </cell>
          <cell r="AE107">
            <v>0</v>
          </cell>
          <cell r="AH107">
            <v>0</v>
          </cell>
          <cell r="AK107">
            <v>0</v>
          </cell>
        </row>
        <row r="108">
          <cell r="D108">
            <v>0</v>
          </cell>
          <cell r="G108">
            <v>0</v>
          </cell>
          <cell r="J108">
            <v>0</v>
          </cell>
          <cell r="M108">
            <v>0</v>
          </cell>
          <cell r="P108">
            <v>0</v>
          </cell>
          <cell r="S108">
            <v>0</v>
          </cell>
          <cell r="V108">
            <v>0</v>
          </cell>
          <cell r="Y108">
            <v>0</v>
          </cell>
          <cell r="AB108">
            <v>0</v>
          </cell>
          <cell r="AE108">
            <v>0</v>
          </cell>
          <cell r="AH108">
            <v>0</v>
          </cell>
          <cell r="AK108">
            <v>0</v>
          </cell>
        </row>
        <row r="109">
          <cell r="D109">
            <v>0</v>
          </cell>
          <cell r="G109">
            <v>0</v>
          </cell>
          <cell r="J109">
            <v>0</v>
          </cell>
          <cell r="M109">
            <v>0</v>
          </cell>
          <cell r="P109">
            <v>0</v>
          </cell>
          <cell r="S109">
            <v>0</v>
          </cell>
          <cell r="V109">
            <v>0</v>
          </cell>
          <cell r="Y109">
            <v>0</v>
          </cell>
          <cell r="AB109">
            <v>0</v>
          </cell>
          <cell r="AE109">
            <v>0</v>
          </cell>
          <cell r="AH109">
            <v>0</v>
          </cell>
          <cell r="AK109">
            <v>0</v>
          </cell>
        </row>
        <row r="110">
          <cell r="D110">
            <v>0</v>
          </cell>
          <cell r="G110">
            <v>0</v>
          </cell>
          <cell r="J110">
            <v>0</v>
          </cell>
          <cell r="M110">
            <v>0</v>
          </cell>
          <cell r="P110">
            <v>0</v>
          </cell>
          <cell r="S110">
            <v>0</v>
          </cell>
          <cell r="V110">
            <v>0</v>
          </cell>
          <cell r="Y110">
            <v>0</v>
          </cell>
          <cell r="AB110">
            <v>0</v>
          </cell>
          <cell r="AE110">
            <v>0</v>
          </cell>
          <cell r="AH110">
            <v>0</v>
          </cell>
          <cell r="AK110">
            <v>0</v>
          </cell>
        </row>
        <row r="111">
          <cell r="D111">
            <v>0</v>
          </cell>
          <cell r="G111">
            <v>0</v>
          </cell>
          <cell r="J111">
            <v>0</v>
          </cell>
          <cell r="M111">
            <v>0</v>
          </cell>
          <cell r="P111">
            <v>0</v>
          </cell>
          <cell r="S111">
            <v>0</v>
          </cell>
          <cell r="V111">
            <v>0</v>
          </cell>
          <cell r="Y111">
            <v>0</v>
          </cell>
          <cell r="AB111">
            <v>0</v>
          </cell>
          <cell r="AE111">
            <v>0</v>
          </cell>
          <cell r="AH111">
            <v>0</v>
          </cell>
          <cell r="AK111">
            <v>0</v>
          </cell>
        </row>
        <row r="112">
          <cell r="D112">
            <v>0</v>
          </cell>
          <cell r="G112">
            <v>0</v>
          </cell>
          <cell r="J112">
            <v>0</v>
          </cell>
          <cell r="M112">
            <v>0</v>
          </cell>
          <cell r="P112">
            <v>0</v>
          </cell>
          <cell r="S112">
            <v>0</v>
          </cell>
          <cell r="V112">
            <v>0</v>
          </cell>
          <cell r="Y112">
            <v>0</v>
          </cell>
          <cell r="AB112">
            <v>0</v>
          </cell>
          <cell r="AE112">
            <v>0</v>
          </cell>
          <cell r="AH112">
            <v>0</v>
          </cell>
          <cell r="AK112">
            <v>0</v>
          </cell>
        </row>
        <row r="113">
          <cell r="D113">
            <v>0.45</v>
          </cell>
          <cell r="G113">
            <v>0</v>
          </cell>
          <cell r="J113">
            <v>0</v>
          </cell>
          <cell r="M113">
            <v>0</v>
          </cell>
          <cell r="P113">
            <v>0</v>
          </cell>
          <cell r="S113">
            <v>0</v>
          </cell>
          <cell r="V113">
            <v>0</v>
          </cell>
          <cell r="Y113">
            <v>0</v>
          </cell>
          <cell r="AB113">
            <v>0</v>
          </cell>
          <cell r="AE113">
            <v>0</v>
          </cell>
          <cell r="AH113">
            <v>0</v>
          </cell>
          <cell r="AK113">
            <v>0</v>
          </cell>
        </row>
        <row r="114">
          <cell r="D114">
            <v>0.45</v>
          </cell>
          <cell r="G114">
            <v>0</v>
          </cell>
          <cell r="J114">
            <v>0</v>
          </cell>
          <cell r="M114">
            <v>0</v>
          </cell>
          <cell r="P114">
            <v>0</v>
          </cell>
          <cell r="S114">
            <v>0</v>
          </cell>
          <cell r="V114">
            <v>0</v>
          </cell>
          <cell r="Y114">
            <v>0</v>
          </cell>
          <cell r="AB114">
            <v>0</v>
          </cell>
          <cell r="AE114">
            <v>0</v>
          </cell>
          <cell r="AH114">
            <v>0</v>
          </cell>
          <cell r="AK114">
            <v>0</v>
          </cell>
        </row>
        <row r="115">
          <cell r="D115">
            <v>25.62</v>
          </cell>
          <cell r="G115">
            <v>0</v>
          </cell>
          <cell r="J115">
            <v>0</v>
          </cell>
          <cell r="M115">
            <v>0</v>
          </cell>
          <cell r="P115">
            <v>0</v>
          </cell>
          <cell r="S115">
            <v>0</v>
          </cell>
          <cell r="V115">
            <v>0</v>
          </cell>
          <cell r="Y115">
            <v>0</v>
          </cell>
          <cell r="AB115">
            <v>0</v>
          </cell>
          <cell r="AE115">
            <v>0</v>
          </cell>
          <cell r="AH115">
            <v>-16</v>
          </cell>
          <cell r="AK115">
            <v>0</v>
          </cell>
        </row>
        <row r="116">
          <cell r="D116">
            <v>0</v>
          </cell>
          <cell r="G116">
            <v>0</v>
          </cell>
          <cell r="J116">
            <v>0</v>
          </cell>
          <cell r="M116">
            <v>0</v>
          </cell>
          <cell r="P116">
            <v>0</v>
          </cell>
          <cell r="S116">
            <v>0</v>
          </cell>
          <cell r="V116">
            <v>0</v>
          </cell>
          <cell r="Y116">
            <v>0</v>
          </cell>
          <cell r="AB116">
            <v>0</v>
          </cell>
          <cell r="AE116">
            <v>0</v>
          </cell>
          <cell r="AH116">
            <v>0</v>
          </cell>
          <cell r="AK116">
            <v>0</v>
          </cell>
        </row>
        <row r="117">
          <cell r="D117">
            <v>-0.26</v>
          </cell>
          <cell r="G117">
            <v>0</v>
          </cell>
          <cell r="J117">
            <v>0</v>
          </cell>
          <cell r="M117">
            <v>0</v>
          </cell>
          <cell r="P117">
            <v>0</v>
          </cell>
          <cell r="S117">
            <v>0</v>
          </cell>
          <cell r="V117">
            <v>0</v>
          </cell>
          <cell r="Y117">
            <v>0</v>
          </cell>
          <cell r="AB117">
            <v>0</v>
          </cell>
          <cell r="AE117">
            <v>0</v>
          </cell>
          <cell r="AH117">
            <v>0</v>
          </cell>
          <cell r="AK117">
            <v>0</v>
          </cell>
        </row>
        <row r="118">
          <cell r="D118">
            <v>0</v>
          </cell>
          <cell r="G118">
            <v>0</v>
          </cell>
          <cell r="J118">
            <v>0</v>
          </cell>
          <cell r="M118">
            <v>0</v>
          </cell>
          <cell r="P118">
            <v>0</v>
          </cell>
          <cell r="S118">
            <v>0</v>
          </cell>
          <cell r="V118">
            <v>0</v>
          </cell>
          <cell r="Y118">
            <v>0</v>
          </cell>
          <cell r="AB118">
            <v>0</v>
          </cell>
          <cell r="AE118">
            <v>0</v>
          </cell>
          <cell r="AH118">
            <v>0</v>
          </cell>
          <cell r="AK118">
            <v>0</v>
          </cell>
        </row>
        <row r="119">
          <cell r="D119">
            <v>0</v>
          </cell>
          <cell r="G119">
            <v>0</v>
          </cell>
          <cell r="J119">
            <v>0</v>
          </cell>
          <cell r="M119">
            <v>0</v>
          </cell>
          <cell r="P119">
            <v>0</v>
          </cell>
          <cell r="S119">
            <v>0</v>
          </cell>
          <cell r="V119">
            <v>0</v>
          </cell>
          <cell r="Y119">
            <v>0</v>
          </cell>
          <cell r="AB119">
            <v>0</v>
          </cell>
          <cell r="AE119">
            <v>0</v>
          </cell>
          <cell r="AH119">
            <v>0</v>
          </cell>
          <cell r="AK119">
            <v>0</v>
          </cell>
        </row>
        <row r="120">
          <cell r="D120">
            <v>0</v>
          </cell>
          <cell r="G120">
            <v>0</v>
          </cell>
          <cell r="J120">
            <v>0</v>
          </cell>
          <cell r="M120">
            <v>0</v>
          </cell>
          <cell r="P120">
            <v>0</v>
          </cell>
          <cell r="S120">
            <v>0</v>
          </cell>
          <cell r="V120">
            <v>0</v>
          </cell>
          <cell r="Y120">
            <v>0</v>
          </cell>
          <cell r="AB120">
            <v>0</v>
          </cell>
          <cell r="AE120">
            <v>0</v>
          </cell>
          <cell r="AH120">
            <v>0</v>
          </cell>
          <cell r="AK120">
            <v>0</v>
          </cell>
        </row>
        <row r="121">
          <cell r="D121">
            <v>0</v>
          </cell>
          <cell r="G121">
            <v>0</v>
          </cell>
          <cell r="J121">
            <v>0</v>
          </cell>
          <cell r="M121">
            <v>0</v>
          </cell>
          <cell r="P121">
            <v>0</v>
          </cell>
          <cell r="S121">
            <v>0</v>
          </cell>
          <cell r="V121">
            <v>0</v>
          </cell>
          <cell r="Y121">
            <v>0</v>
          </cell>
          <cell r="AB121">
            <v>0</v>
          </cell>
          <cell r="AE121">
            <v>0</v>
          </cell>
          <cell r="AH121">
            <v>0</v>
          </cell>
          <cell r="AK121">
            <v>0</v>
          </cell>
        </row>
        <row r="122">
          <cell r="D122">
            <v>0</v>
          </cell>
          <cell r="G122">
            <v>0</v>
          </cell>
          <cell r="J122">
            <v>0</v>
          </cell>
          <cell r="M122">
            <v>0</v>
          </cell>
          <cell r="P122">
            <v>0</v>
          </cell>
          <cell r="S122">
            <v>0</v>
          </cell>
          <cell r="V122">
            <v>0</v>
          </cell>
          <cell r="Y122">
            <v>0</v>
          </cell>
          <cell r="AB122">
            <v>0</v>
          </cell>
          <cell r="AE122">
            <v>0</v>
          </cell>
          <cell r="AH122">
            <v>0</v>
          </cell>
          <cell r="AK122">
            <v>0</v>
          </cell>
        </row>
        <row r="123">
          <cell r="D123">
            <v>0</v>
          </cell>
          <cell r="G123">
            <v>0</v>
          </cell>
          <cell r="J123">
            <v>0</v>
          </cell>
          <cell r="M123">
            <v>0</v>
          </cell>
          <cell r="P123">
            <v>0</v>
          </cell>
          <cell r="S123">
            <v>0</v>
          </cell>
          <cell r="V123">
            <v>0</v>
          </cell>
          <cell r="Y123">
            <v>0</v>
          </cell>
          <cell r="AB123">
            <v>0</v>
          </cell>
          <cell r="AE123">
            <v>0</v>
          </cell>
          <cell r="AH123">
            <v>0</v>
          </cell>
          <cell r="AK123">
            <v>0</v>
          </cell>
        </row>
        <row r="124">
          <cell r="D124">
            <v>0</v>
          </cell>
          <cell r="G124">
            <v>0</v>
          </cell>
          <cell r="J124">
            <v>0</v>
          </cell>
          <cell r="M124">
            <v>0</v>
          </cell>
          <cell r="P124">
            <v>0</v>
          </cell>
          <cell r="S124">
            <v>0</v>
          </cell>
          <cell r="V124">
            <v>0</v>
          </cell>
          <cell r="Y124">
            <v>0</v>
          </cell>
          <cell r="AB124">
            <v>0</v>
          </cell>
          <cell r="AE124">
            <v>0</v>
          </cell>
          <cell r="AH124">
            <v>0</v>
          </cell>
          <cell r="AK124">
            <v>0</v>
          </cell>
        </row>
        <row r="125">
          <cell r="D125">
            <v>0</v>
          </cell>
          <cell r="G125">
            <v>0</v>
          </cell>
          <cell r="J125">
            <v>0</v>
          </cell>
          <cell r="M125">
            <v>0</v>
          </cell>
          <cell r="P125">
            <v>0</v>
          </cell>
          <cell r="S125">
            <v>0</v>
          </cell>
          <cell r="V125">
            <v>0</v>
          </cell>
          <cell r="Y125">
            <v>0</v>
          </cell>
          <cell r="AB125">
            <v>0</v>
          </cell>
          <cell r="AE125">
            <v>0</v>
          </cell>
          <cell r="AH125">
            <v>0</v>
          </cell>
          <cell r="AK125">
            <v>0</v>
          </cell>
        </row>
        <row r="126">
          <cell r="D126">
            <v>0</v>
          </cell>
          <cell r="G126">
            <v>0</v>
          </cell>
          <cell r="J126">
            <v>0</v>
          </cell>
          <cell r="M126">
            <v>0</v>
          </cell>
          <cell r="P126">
            <v>0</v>
          </cell>
          <cell r="S126">
            <v>0</v>
          </cell>
          <cell r="V126">
            <v>0</v>
          </cell>
          <cell r="Y126">
            <v>0</v>
          </cell>
          <cell r="AB126">
            <v>0</v>
          </cell>
          <cell r="AE126">
            <v>0</v>
          </cell>
          <cell r="AH126">
            <v>0</v>
          </cell>
          <cell r="AK126">
            <v>0</v>
          </cell>
        </row>
        <row r="127">
          <cell r="D127">
            <v>0</v>
          </cell>
          <cell r="G127">
            <v>0</v>
          </cell>
          <cell r="J127">
            <v>0</v>
          </cell>
          <cell r="M127">
            <v>0</v>
          </cell>
          <cell r="P127">
            <v>0</v>
          </cell>
          <cell r="S127">
            <v>0</v>
          </cell>
          <cell r="V127">
            <v>0</v>
          </cell>
          <cell r="Y127">
            <v>0</v>
          </cell>
          <cell r="AB127">
            <v>0</v>
          </cell>
          <cell r="AE127">
            <v>0</v>
          </cell>
          <cell r="AH127">
            <v>0</v>
          </cell>
          <cell r="AK127">
            <v>0</v>
          </cell>
        </row>
        <row r="128">
          <cell r="D128">
            <v>0</v>
          </cell>
          <cell r="G128">
            <v>0</v>
          </cell>
          <cell r="J128">
            <v>0</v>
          </cell>
          <cell r="M128">
            <v>0</v>
          </cell>
          <cell r="P128">
            <v>0</v>
          </cell>
          <cell r="S128">
            <v>0</v>
          </cell>
          <cell r="V128">
            <v>0</v>
          </cell>
          <cell r="Y128">
            <v>0</v>
          </cell>
          <cell r="AB128">
            <v>0</v>
          </cell>
          <cell r="AE128">
            <v>0</v>
          </cell>
          <cell r="AH128">
            <v>0</v>
          </cell>
          <cell r="AK128">
            <v>0</v>
          </cell>
        </row>
        <row r="129">
          <cell r="D129">
            <v>0</v>
          </cell>
          <cell r="G129">
            <v>0</v>
          </cell>
          <cell r="J129">
            <v>0</v>
          </cell>
          <cell r="M129">
            <v>0</v>
          </cell>
          <cell r="P129">
            <v>0</v>
          </cell>
          <cell r="S129">
            <v>0</v>
          </cell>
          <cell r="V129">
            <v>0</v>
          </cell>
          <cell r="Y129">
            <v>0</v>
          </cell>
          <cell r="AB129">
            <v>0</v>
          </cell>
          <cell r="AE129">
            <v>0</v>
          </cell>
          <cell r="AH129">
            <v>0</v>
          </cell>
          <cell r="AK129">
            <v>0</v>
          </cell>
        </row>
        <row r="130">
          <cell r="D130">
            <v>0</v>
          </cell>
          <cell r="G130">
            <v>0</v>
          </cell>
          <cell r="J130">
            <v>0</v>
          </cell>
          <cell r="M130">
            <v>0</v>
          </cell>
          <cell r="P130">
            <v>0</v>
          </cell>
          <cell r="S130">
            <v>0</v>
          </cell>
          <cell r="V130">
            <v>0</v>
          </cell>
          <cell r="Y130">
            <v>0</v>
          </cell>
          <cell r="AB130">
            <v>0</v>
          </cell>
          <cell r="AE130">
            <v>0</v>
          </cell>
          <cell r="AH130">
            <v>0</v>
          </cell>
          <cell r="AK130">
            <v>0</v>
          </cell>
        </row>
        <row r="131">
          <cell r="D131">
            <v>0</v>
          </cell>
          <cell r="G131">
            <v>0</v>
          </cell>
          <cell r="J131">
            <v>0</v>
          </cell>
          <cell r="M131">
            <v>0</v>
          </cell>
          <cell r="P131">
            <v>0</v>
          </cell>
          <cell r="S131">
            <v>0</v>
          </cell>
          <cell r="V131">
            <v>0</v>
          </cell>
          <cell r="Y131">
            <v>0</v>
          </cell>
          <cell r="AB131">
            <v>0</v>
          </cell>
          <cell r="AE131">
            <v>0</v>
          </cell>
          <cell r="AH131">
            <v>0</v>
          </cell>
          <cell r="AK131">
            <v>0</v>
          </cell>
        </row>
        <row r="132">
          <cell r="D132">
            <v>-0.26</v>
          </cell>
          <cell r="G132">
            <v>0</v>
          </cell>
          <cell r="J132">
            <v>0</v>
          </cell>
          <cell r="M132">
            <v>0</v>
          </cell>
          <cell r="P132">
            <v>0</v>
          </cell>
          <cell r="S132">
            <v>0</v>
          </cell>
          <cell r="V132">
            <v>0</v>
          </cell>
          <cell r="Y132">
            <v>0</v>
          </cell>
          <cell r="AB132">
            <v>0</v>
          </cell>
          <cell r="AE132">
            <v>0</v>
          </cell>
          <cell r="AH132">
            <v>0</v>
          </cell>
          <cell r="AK132">
            <v>0</v>
          </cell>
        </row>
        <row r="133">
          <cell r="D133">
            <v>0</v>
          </cell>
          <cell r="G133">
            <v>0</v>
          </cell>
          <cell r="J133">
            <v>0</v>
          </cell>
          <cell r="M133">
            <v>0</v>
          </cell>
          <cell r="P133">
            <v>0</v>
          </cell>
          <cell r="S133">
            <v>0</v>
          </cell>
          <cell r="V133">
            <v>0</v>
          </cell>
          <cell r="Y133">
            <v>0</v>
          </cell>
          <cell r="AB133">
            <v>0</v>
          </cell>
          <cell r="AE133">
            <v>0</v>
          </cell>
          <cell r="AH133">
            <v>0</v>
          </cell>
          <cell r="AK133">
            <v>0</v>
          </cell>
        </row>
        <row r="134">
          <cell r="D134">
            <v>-0.26</v>
          </cell>
          <cell r="G134">
            <v>0</v>
          </cell>
          <cell r="J134">
            <v>0</v>
          </cell>
          <cell r="M134">
            <v>0</v>
          </cell>
          <cell r="P134">
            <v>0</v>
          </cell>
          <cell r="S134">
            <v>0</v>
          </cell>
          <cell r="V134">
            <v>0</v>
          </cell>
          <cell r="Y134">
            <v>0</v>
          </cell>
          <cell r="AB134">
            <v>0</v>
          </cell>
          <cell r="AE134">
            <v>0</v>
          </cell>
          <cell r="AH134">
            <v>0</v>
          </cell>
          <cell r="AK134">
            <v>0</v>
          </cell>
        </row>
        <row r="135">
          <cell r="D135">
            <v>49.720000000000006</v>
          </cell>
          <cell r="G135">
            <v>0</v>
          </cell>
          <cell r="J135">
            <v>0</v>
          </cell>
          <cell r="M135">
            <v>0</v>
          </cell>
          <cell r="P135">
            <v>0</v>
          </cell>
          <cell r="S135">
            <v>0</v>
          </cell>
          <cell r="V135">
            <v>0</v>
          </cell>
          <cell r="Y135">
            <v>0</v>
          </cell>
          <cell r="AB135">
            <v>0</v>
          </cell>
          <cell r="AE135">
            <v>0</v>
          </cell>
          <cell r="AH135">
            <v>-16</v>
          </cell>
          <cell r="AK135">
            <v>0</v>
          </cell>
        </row>
        <row r="136">
          <cell r="D136">
            <v>8.6199999999999974</v>
          </cell>
          <cell r="G136">
            <v>0</v>
          </cell>
          <cell r="J136">
            <v>0</v>
          </cell>
          <cell r="M136">
            <v>0</v>
          </cell>
          <cell r="P136">
            <v>0</v>
          </cell>
          <cell r="S136">
            <v>0</v>
          </cell>
          <cell r="V136">
            <v>0</v>
          </cell>
          <cell r="Y136">
            <v>0</v>
          </cell>
          <cell r="AB136">
            <v>0</v>
          </cell>
          <cell r="AE136">
            <v>0</v>
          </cell>
          <cell r="AH136">
            <v>16</v>
          </cell>
          <cell r="AK136">
            <v>0</v>
          </cell>
        </row>
        <row r="137">
          <cell r="D137">
            <v>0.12510885341074016</v>
          </cell>
          <cell r="G137">
            <v>0</v>
          </cell>
          <cell r="J137">
            <v>0</v>
          </cell>
          <cell r="M137">
            <v>0</v>
          </cell>
          <cell r="P137">
            <v>0</v>
          </cell>
          <cell r="S137">
            <v>0</v>
          </cell>
          <cell r="V137">
            <v>0</v>
          </cell>
          <cell r="Y137">
            <v>0</v>
          </cell>
          <cell r="AB137">
            <v>0</v>
          </cell>
          <cell r="AE137">
            <v>0</v>
          </cell>
          <cell r="AH137">
            <v>0</v>
          </cell>
          <cell r="AK137">
            <v>0</v>
          </cell>
        </row>
      </sheetData>
      <sheetData sheetId="14" refreshError="1">
        <row r="12">
          <cell r="J12">
            <v>111.07</v>
          </cell>
          <cell r="S12">
            <v>0</v>
          </cell>
          <cell r="AB12">
            <v>0</v>
          </cell>
          <cell r="AK12">
            <v>0</v>
          </cell>
          <cell r="AT12">
            <v>0</v>
          </cell>
          <cell r="BC12">
            <v>0</v>
          </cell>
          <cell r="BL12">
            <v>0</v>
          </cell>
          <cell r="BU12">
            <v>0</v>
          </cell>
          <cell r="CD12">
            <v>0</v>
          </cell>
          <cell r="CM12">
            <v>0</v>
          </cell>
          <cell r="CV12">
            <v>0</v>
          </cell>
          <cell r="DE12">
            <v>0</v>
          </cell>
        </row>
        <row r="13">
          <cell r="J13">
            <v>0</v>
          </cell>
          <cell r="S13">
            <v>0</v>
          </cell>
          <cell r="AB13">
            <v>0</v>
          </cell>
          <cell r="AK13">
            <v>0</v>
          </cell>
          <cell r="AT13">
            <v>0</v>
          </cell>
          <cell r="BC13">
            <v>0</v>
          </cell>
          <cell r="BL13">
            <v>0</v>
          </cell>
          <cell r="BU13">
            <v>0</v>
          </cell>
          <cell r="CD13">
            <v>0</v>
          </cell>
          <cell r="CM13">
            <v>0</v>
          </cell>
          <cell r="CV13">
            <v>0</v>
          </cell>
          <cell r="DE13">
            <v>0</v>
          </cell>
        </row>
        <row r="14">
          <cell r="J14">
            <v>21.68</v>
          </cell>
          <cell r="S14">
            <v>0</v>
          </cell>
          <cell r="AB14">
            <v>0</v>
          </cell>
          <cell r="AK14">
            <v>0</v>
          </cell>
          <cell r="AT14">
            <v>0</v>
          </cell>
          <cell r="BC14">
            <v>0</v>
          </cell>
          <cell r="BL14">
            <v>0</v>
          </cell>
          <cell r="BU14">
            <v>0</v>
          </cell>
          <cell r="CD14">
            <v>0</v>
          </cell>
          <cell r="CM14">
            <v>0</v>
          </cell>
          <cell r="CV14">
            <v>0</v>
          </cell>
          <cell r="DE14">
            <v>0</v>
          </cell>
        </row>
        <row r="15">
          <cell r="J15">
            <v>3753.0299999999997</v>
          </cell>
          <cell r="S15">
            <v>0</v>
          </cell>
          <cell r="AB15">
            <v>0</v>
          </cell>
          <cell r="AK15">
            <v>0</v>
          </cell>
          <cell r="AT15">
            <v>0</v>
          </cell>
          <cell r="BC15">
            <v>0</v>
          </cell>
          <cell r="BL15">
            <v>0</v>
          </cell>
          <cell r="BU15">
            <v>0</v>
          </cell>
          <cell r="CD15">
            <v>0</v>
          </cell>
          <cell r="CM15">
            <v>0</v>
          </cell>
          <cell r="CV15">
            <v>0</v>
          </cell>
          <cell r="DE15">
            <v>0</v>
          </cell>
        </row>
        <row r="16">
          <cell r="J16">
            <v>3885.7799999999997</v>
          </cell>
          <cell r="S16">
            <v>0</v>
          </cell>
          <cell r="AB16">
            <v>0</v>
          </cell>
          <cell r="AK16">
            <v>0</v>
          </cell>
          <cell r="AT16">
            <v>0</v>
          </cell>
          <cell r="BC16">
            <v>0</v>
          </cell>
          <cell r="BL16">
            <v>0</v>
          </cell>
          <cell r="BU16">
            <v>0</v>
          </cell>
          <cell r="CD16">
            <v>0</v>
          </cell>
          <cell r="CM16">
            <v>0</v>
          </cell>
          <cell r="CV16">
            <v>0</v>
          </cell>
          <cell r="DE16">
            <v>0</v>
          </cell>
        </row>
        <row r="17">
          <cell r="J17">
            <v>46.13</v>
          </cell>
          <cell r="S17">
            <v>0</v>
          </cell>
          <cell r="AB17">
            <v>0</v>
          </cell>
          <cell r="AK17">
            <v>0</v>
          </cell>
          <cell r="AT17">
            <v>0</v>
          </cell>
          <cell r="BC17">
            <v>0</v>
          </cell>
          <cell r="BL17">
            <v>0</v>
          </cell>
          <cell r="BU17">
            <v>0</v>
          </cell>
          <cell r="CD17">
            <v>0</v>
          </cell>
          <cell r="CM17">
            <v>0</v>
          </cell>
          <cell r="CV17">
            <v>0</v>
          </cell>
          <cell r="DE17">
            <v>0</v>
          </cell>
        </row>
        <row r="18">
          <cell r="J18">
            <v>0</v>
          </cell>
          <cell r="S18">
            <v>0</v>
          </cell>
          <cell r="AB18">
            <v>0</v>
          </cell>
          <cell r="AK18">
            <v>0</v>
          </cell>
          <cell r="AT18">
            <v>0</v>
          </cell>
          <cell r="BC18">
            <v>0</v>
          </cell>
          <cell r="BL18">
            <v>0</v>
          </cell>
          <cell r="BU18">
            <v>0</v>
          </cell>
          <cell r="CD18">
            <v>0</v>
          </cell>
          <cell r="CM18">
            <v>0</v>
          </cell>
          <cell r="CV18">
            <v>0</v>
          </cell>
          <cell r="DE18">
            <v>0</v>
          </cell>
        </row>
        <row r="19">
          <cell r="J19">
            <v>0</v>
          </cell>
          <cell r="S19">
            <v>0</v>
          </cell>
          <cell r="AB19">
            <v>0</v>
          </cell>
          <cell r="AK19">
            <v>0</v>
          </cell>
          <cell r="AT19">
            <v>0</v>
          </cell>
          <cell r="BC19">
            <v>0</v>
          </cell>
          <cell r="BL19">
            <v>0</v>
          </cell>
          <cell r="BU19">
            <v>0</v>
          </cell>
          <cell r="CD19">
            <v>0</v>
          </cell>
          <cell r="CM19">
            <v>0</v>
          </cell>
          <cell r="CV19">
            <v>0</v>
          </cell>
          <cell r="DE19">
            <v>0</v>
          </cell>
        </row>
        <row r="20">
          <cell r="J20">
            <v>46.13</v>
          </cell>
          <cell r="S20">
            <v>0</v>
          </cell>
          <cell r="AB20">
            <v>0</v>
          </cell>
          <cell r="AK20">
            <v>0</v>
          </cell>
          <cell r="AT20">
            <v>0</v>
          </cell>
          <cell r="BC20">
            <v>0</v>
          </cell>
          <cell r="BL20">
            <v>0</v>
          </cell>
          <cell r="BU20">
            <v>0</v>
          </cell>
          <cell r="CD20">
            <v>0</v>
          </cell>
          <cell r="CM20">
            <v>0</v>
          </cell>
          <cell r="CV20">
            <v>0</v>
          </cell>
          <cell r="DE20">
            <v>0</v>
          </cell>
        </row>
        <row r="21">
          <cell r="J21">
            <v>3931.91</v>
          </cell>
          <cell r="S21">
            <v>0</v>
          </cell>
          <cell r="AB21">
            <v>0</v>
          </cell>
          <cell r="AK21">
            <v>0</v>
          </cell>
          <cell r="AT21">
            <v>0</v>
          </cell>
          <cell r="BC21">
            <v>0</v>
          </cell>
          <cell r="BL21">
            <v>0</v>
          </cell>
          <cell r="BU21">
            <v>0</v>
          </cell>
          <cell r="CD21">
            <v>0</v>
          </cell>
          <cell r="CM21">
            <v>0</v>
          </cell>
          <cell r="CV21">
            <v>0</v>
          </cell>
          <cell r="DE21">
            <v>0</v>
          </cell>
        </row>
        <row r="22">
          <cell r="J22">
            <v>1013.4899999999999</v>
          </cell>
          <cell r="S22">
            <v>0</v>
          </cell>
          <cell r="AB22">
            <v>0</v>
          </cell>
          <cell r="AK22">
            <v>0</v>
          </cell>
          <cell r="AT22">
            <v>0</v>
          </cell>
          <cell r="BC22">
            <v>0</v>
          </cell>
          <cell r="BL22">
            <v>0</v>
          </cell>
          <cell r="BU22">
            <v>0</v>
          </cell>
          <cell r="CD22">
            <v>0</v>
          </cell>
          <cell r="CM22">
            <v>0</v>
          </cell>
          <cell r="CV22">
            <v>0</v>
          </cell>
          <cell r="DE22">
            <v>0</v>
          </cell>
        </row>
        <row r="23">
          <cell r="J23">
            <v>0</v>
          </cell>
          <cell r="S23">
            <v>0</v>
          </cell>
          <cell r="AB23">
            <v>0</v>
          </cell>
          <cell r="AK23">
            <v>0</v>
          </cell>
          <cell r="AT23">
            <v>0</v>
          </cell>
          <cell r="BC23">
            <v>0</v>
          </cell>
          <cell r="BL23">
            <v>0</v>
          </cell>
          <cell r="BU23">
            <v>0</v>
          </cell>
          <cell r="CD23">
            <v>0</v>
          </cell>
          <cell r="CM23">
            <v>0</v>
          </cell>
          <cell r="CV23">
            <v>0</v>
          </cell>
          <cell r="DE23">
            <v>0</v>
          </cell>
        </row>
        <row r="24">
          <cell r="J24">
            <v>1679.68</v>
          </cell>
          <cell r="S24">
            <v>0</v>
          </cell>
          <cell r="AB24">
            <v>0</v>
          </cell>
          <cell r="AK24">
            <v>0</v>
          </cell>
          <cell r="AT24">
            <v>0</v>
          </cell>
          <cell r="BC24">
            <v>0</v>
          </cell>
          <cell r="BL24">
            <v>0</v>
          </cell>
          <cell r="BU24">
            <v>0</v>
          </cell>
          <cell r="CD24">
            <v>0</v>
          </cell>
          <cell r="CM24">
            <v>0</v>
          </cell>
          <cell r="CV24">
            <v>0</v>
          </cell>
          <cell r="DE24">
            <v>0</v>
          </cell>
        </row>
        <row r="25">
          <cell r="J25">
            <v>0</v>
          </cell>
          <cell r="S25">
            <v>0</v>
          </cell>
          <cell r="AB25">
            <v>0</v>
          </cell>
          <cell r="AK25">
            <v>0</v>
          </cell>
          <cell r="AT25">
            <v>0</v>
          </cell>
          <cell r="BC25">
            <v>0</v>
          </cell>
          <cell r="BL25">
            <v>0</v>
          </cell>
          <cell r="BU25">
            <v>0</v>
          </cell>
          <cell r="CD25">
            <v>0</v>
          </cell>
          <cell r="CM25">
            <v>0</v>
          </cell>
          <cell r="CV25">
            <v>0</v>
          </cell>
          <cell r="DE25">
            <v>0</v>
          </cell>
        </row>
        <row r="26">
          <cell r="J26">
            <v>0</v>
          </cell>
          <cell r="S26">
            <v>0</v>
          </cell>
          <cell r="AB26">
            <v>0</v>
          </cell>
          <cell r="AK26">
            <v>0</v>
          </cell>
          <cell r="AT26">
            <v>0</v>
          </cell>
          <cell r="BC26">
            <v>0</v>
          </cell>
          <cell r="BL26">
            <v>0</v>
          </cell>
          <cell r="BU26">
            <v>0</v>
          </cell>
          <cell r="CD26">
            <v>0</v>
          </cell>
          <cell r="CM26">
            <v>0</v>
          </cell>
          <cell r="CV26">
            <v>0</v>
          </cell>
          <cell r="DE26">
            <v>0</v>
          </cell>
        </row>
        <row r="27">
          <cell r="J27">
            <v>197.39000000000001</v>
          </cell>
          <cell r="S27">
            <v>0</v>
          </cell>
          <cell r="AB27">
            <v>0</v>
          </cell>
          <cell r="AK27">
            <v>0</v>
          </cell>
          <cell r="AT27">
            <v>0</v>
          </cell>
          <cell r="BC27">
            <v>0</v>
          </cell>
          <cell r="BL27">
            <v>0</v>
          </cell>
          <cell r="BU27">
            <v>0</v>
          </cell>
          <cell r="CD27">
            <v>0</v>
          </cell>
          <cell r="CM27">
            <v>0</v>
          </cell>
          <cell r="CV27">
            <v>0</v>
          </cell>
          <cell r="DE27">
            <v>0</v>
          </cell>
        </row>
        <row r="28">
          <cell r="J28">
            <v>2890.56</v>
          </cell>
          <cell r="S28">
            <v>0</v>
          </cell>
          <cell r="AB28">
            <v>0</v>
          </cell>
          <cell r="AK28">
            <v>0</v>
          </cell>
          <cell r="AT28">
            <v>0</v>
          </cell>
          <cell r="BC28">
            <v>0</v>
          </cell>
          <cell r="BL28">
            <v>0</v>
          </cell>
          <cell r="BU28">
            <v>0</v>
          </cell>
          <cell r="CD28">
            <v>0</v>
          </cell>
          <cell r="CM28">
            <v>0</v>
          </cell>
          <cell r="CV28">
            <v>0</v>
          </cell>
          <cell r="DE28">
            <v>0</v>
          </cell>
        </row>
        <row r="29">
          <cell r="J29">
            <v>0</v>
          </cell>
          <cell r="S29">
            <v>0</v>
          </cell>
          <cell r="AB29">
            <v>0</v>
          </cell>
          <cell r="AK29">
            <v>0</v>
          </cell>
          <cell r="AT29">
            <v>0</v>
          </cell>
          <cell r="BC29">
            <v>0</v>
          </cell>
          <cell r="BL29">
            <v>0</v>
          </cell>
          <cell r="BU29">
            <v>0</v>
          </cell>
          <cell r="CD29">
            <v>0</v>
          </cell>
          <cell r="CM29">
            <v>0</v>
          </cell>
          <cell r="CV29">
            <v>0</v>
          </cell>
          <cell r="DE29">
            <v>0</v>
          </cell>
        </row>
        <row r="30">
          <cell r="J30">
            <v>46.13</v>
          </cell>
          <cell r="S30">
            <v>0</v>
          </cell>
          <cell r="AB30">
            <v>0</v>
          </cell>
          <cell r="AK30">
            <v>0</v>
          </cell>
          <cell r="AT30">
            <v>0</v>
          </cell>
          <cell r="BC30">
            <v>0</v>
          </cell>
          <cell r="BL30">
            <v>0</v>
          </cell>
          <cell r="BU30">
            <v>0</v>
          </cell>
          <cell r="CD30">
            <v>0</v>
          </cell>
          <cell r="CM30">
            <v>0</v>
          </cell>
          <cell r="CV30">
            <v>0</v>
          </cell>
          <cell r="DE30">
            <v>0</v>
          </cell>
        </row>
        <row r="31">
          <cell r="J31">
            <v>0</v>
          </cell>
          <cell r="S31">
            <v>0</v>
          </cell>
          <cell r="AB31">
            <v>0</v>
          </cell>
          <cell r="AK31">
            <v>0</v>
          </cell>
          <cell r="AT31">
            <v>0</v>
          </cell>
          <cell r="BC31">
            <v>0</v>
          </cell>
          <cell r="BL31">
            <v>0</v>
          </cell>
          <cell r="BU31">
            <v>0</v>
          </cell>
          <cell r="CD31">
            <v>0</v>
          </cell>
          <cell r="CM31">
            <v>0</v>
          </cell>
          <cell r="CV31">
            <v>0</v>
          </cell>
          <cell r="DE31">
            <v>0</v>
          </cell>
        </row>
        <row r="32">
          <cell r="J32">
            <v>46.13</v>
          </cell>
          <cell r="S32">
            <v>0</v>
          </cell>
          <cell r="AB32">
            <v>0</v>
          </cell>
          <cell r="AK32">
            <v>0</v>
          </cell>
          <cell r="AT32">
            <v>0</v>
          </cell>
          <cell r="BC32">
            <v>0</v>
          </cell>
          <cell r="BL32">
            <v>0</v>
          </cell>
          <cell r="BU32">
            <v>0</v>
          </cell>
          <cell r="CD32">
            <v>0</v>
          </cell>
          <cell r="CM32">
            <v>0</v>
          </cell>
          <cell r="CV32">
            <v>0</v>
          </cell>
          <cell r="DE32">
            <v>0</v>
          </cell>
        </row>
        <row r="33">
          <cell r="J33">
            <v>2936.69</v>
          </cell>
          <cell r="S33">
            <v>0</v>
          </cell>
          <cell r="AB33">
            <v>0</v>
          </cell>
          <cell r="AK33">
            <v>0</v>
          </cell>
          <cell r="AT33">
            <v>0</v>
          </cell>
          <cell r="BC33">
            <v>0</v>
          </cell>
          <cell r="BL33">
            <v>0</v>
          </cell>
          <cell r="BU33">
            <v>0</v>
          </cell>
          <cell r="CD33">
            <v>0</v>
          </cell>
          <cell r="CM33">
            <v>0</v>
          </cell>
          <cell r="CV33">
            <v>0</v>
          </cell>
          <cell r="DE33">
            <v>0</v>
          </cell>
        </row>
        <row r="34">
          <cell r="J34">
            <v>995.2199999999998</v>
          </cell>
          <cell r="S34">
            <v>0</v>
          </cell>
          <cell r="AB34">
            <v>0</v>
          </cell>
          <cell r="AK34">
            <v>0</v>
          </cell>
          <cell r="AT34">
            <v>0</v>
          </cell>
          <cell r="BC34">
            <v>0</v>
          </cell>
          <cell r="BL34">
            <v>0</v>
          </cell>
          <cell r="BU34">
            <v>0</v>
          </cell>
          <cell r="CD34">
            <v>0</v>
          </cell>
          <cell r="CM34">
            <v>0</v>
          </cell>
          <cell r="CV34">
            <v>0</v>
          </cell>
          <cell r="DE34">
            <v>0</v>
          </cell>
        </row>
        <row r="35">
          <cell r="J35">
            <v>0.25311362671068255</v>
          </cell>
          <cell r="S35">
            <v>0</v>
          </cell>
          <cell r="AB35">
            <v>0</v>
          </cell>
          <cell r="AK35">
            <v>0</v>
          </cell>
          <cell r="AT35">
            <v>0</v>
          </cell>
          <cell r="BC35">
            <v>0</v>
          </cell>
          <cell r="BL35">
            <v>0</v>
          </cell>
          <cell r="BU35">
            <v>0</v>
          </cell>
          <cell r="CD35">
            <v>0</v>
          </cell>
          <cell r="CM35">
            <v>0</v>
          </cell>
          <cell r="CV35">
            <v>0</v>
          </cell>
          <cell r="DE35">
            <v>0</v>
          </cell>
        </row>
        <row r="36">
          <cell r="J36">
            <v>67.070000000000007</v>
          </cell>
          <cell r="S36">
            <v>0</v>
          </cell>
          <cell r="AB36">
            <v>0</v>
          </cell>
          <cell r="AK36">
            <v>0</v>
          </cell>
          <cell r="AT36">
            <v>0</v>
          </cell>
          <cell r="BC36">
            <v>0</v>
          </cell>
          <cell r="BL36">
            <v>0</v>
          </cell>
          <cell r="BU36">
            <v>0</v>
          </cell>
          <cell r="CD36">
            <v>0</v>
          </cell>
          <cell r="CM36">
            <v>0</v>
          </cell>
          <cell r="CV36">
            <v>0</v>
          </cell>
          <cell r="DE36">
            <v>0</v>
          </cell>
        </row>
        <row r="37">
          <cell r="J37">
            <v>0</v>
          </cell>
          <cell r="S37">
            <v>0</v>
          </cell>
          <cell r="AB37">
            <v>0</v>
          </cell>
          <cell r="AK37">
            <v>0</v>
          </cell>
          <cell r="AT37">
            <v>0</v>
          </cell>
          <cell r="BC37">
            <v>0</v>
          </cell>
          <cell r="BL37">
            <v>0</v>
          </cell>
          <cell r="BU37">
            <v>0</v>
          </cell>
          <cell r="CD37">
            <v>0</v>
          </cell>
          <cell r="CM37">
            <v>0</v>
          </cell>
          <cell r="CV37">
            <v>0</v>
          </cell>
          <cell r="DE37">
            <v>0</v>
          </cell>
        </row>
        <row r="38">
          <cell r="J38">
            <v>4.25</v>
          </cell>
          <cell r="S38">
            <v>0</v>
          </cell>
          <cell r="AB38">
            <v>0</v>
          </cell>
          <cell r="AK38">
            <v>0</v>
          </cell>
          <cell r="AT38">
            <v>0</v>
          </cell>
          <cell r="BC38">
            <v>0</v>
          </cell>
          <cell r="BL38">
            <v>0</v>
          </cell>
          <cell r="BU38">
            <v>0</v>
          </cell>
          <cell r="CD38">
            <v>0</v>
          </cell>
          <cell r="CM38">
            <v>0</v>
          </cell>
          <cell r="CV38">
            <v>0</v>
          </cell>
          <cell r="DE38">
            <v>0</v>
          </cell>
        </row>
        <row r="39">
          <cell r="J39">
            <v>0.38000000000000006</v>
          </cell>
          <cell r="S39">
            <v>0</v>
          </cell>
          <cell r="AB39">
            <v>0</v>
          </cell>
          <cell r="AK39">
            <v>0</v>
          </cell>
          <cell r="AT39">
            <v>0</v>
          </cell>
          <cell r="BC39">
            <v>0</v>
          </cell>
          <cell r="BL39">
            <v>0</v>
          </cell>
          <cell r="BU39">
            <v>0</v>
          </cell>
          <cell r="CD39">
            <v>0</v>
          </cell>
          <cell r="CM39">
            <v>0</v>
          </cell>
          <cell r="CV39">
            <v>0</v>
          </cell>
          <cell r="DE39">
            <v>0</v>
          </cell>
        </row>
        <row r="40">
          <cell r="J40">
            <v>40.86</v>
          </cell>
          <cell r="S40">
            <v>0</v>
          </cell>
          <cell r="AB40">
            <v>0</v>
          </cell>
          <cell r="AK40">
            <v>0</v>
          </cell>
          <cell r="AT40">
            <v>0</v>
          </cell>
          <cell r="BC40">
            <v>0</v>
          </cell>
          <cell r="BL40">
            <v>0</v>
          </cell>
          <cell r="BU40">
            <v>0</v>
          </cell>
          <cell r="CD40">
            <v>0</v>
          </cell>
          <cell r="CM40">
            <v>0</v>
          </cell>
          <cell r="CV40">
            <v>0</v>
          </cell>
          <cell r="DE40">
            <v>0</v>
          </cell>
        </row>
        <row r="41">
          <cell r="J41">
            <v>0</v>
          </cell>
          <cell r="S41">
            <v>0</v>
          </cell>
          <cell r="AB41">
            <v>0</v>
          </cell>
          <cell r="AK41">
            <v>0</v>
          </cell>
          <cell r="AT41">
            <v>0</v>
          </cell>
          <cell r="BC41">
            <v>0</v>
          </cell>
          <cell r="BL41">
            <v>0</v>
          </cell>
          <cell r="BU41">
            <v>0</v>
          </cell>
          <cell r="CD41">
            <v>0</v>
          </cell>
          <cell r="CM41">
            <v>0</v>
          </cell>
          <cell r="CV41">
            <v>0</v>
          </cell>
          <cell r="DE41">
            <v>0</v>
          </cell>
        </row>
        <row r="42">
          <cell r="J42">
            <v>0</v>
          </cell>
          <cell r="S42">
            <v>0</v>
          </cell>
          <cell r="AB42">
            <v>0</v>
          </cell>
          <cell r="AK42">
            <v>0</v>
          </cell>
          <cell r="AT42">
            <v>0</v>
          </cell>
          <cell r="BC42">
            <v>0</v>
          </cell>
          <cell r="BL42">
            <v>0</v>
          </cell>
          <cell r="BU42">
            <v>0</v>
          </cell>
          <cell r="CD42">
            <v>0</v>
          </cell>
          <cell r="CM42">
            <v>0</v>
          </cell>
          <cell r="CV42">
            <v>0</v>
          </cell>
          <cell r="DE42">
            <v>0</v>
          </cell>
        </row>
        <row r="43">
          <cell r="J43">
            <v>0</v>
          </cell>
          <cell r="S43">
            <v>0</v>
          </cell>
          <cell r="AB43">
            <v>0</v>
          </cell>
          <cell r="AK43">
            <v>0</v>
          </cell>
          <cell r="AT43">
            <v>0</v>
          </cell>
          <cell r="BC43">
            <v>0</v>
          </cell>
          <cell r="BL43">
            <v>0</v>
          </cell>
          <cell r="BU43">
            <v>0</v>
          </cell>
          <cell r="CD43">
            <v>0</v>
          </cell>
          <cell r="CM43">
            <v>0</v>
          </cell>
          <cell r="CV43">
            <v>0</v>
          </cell>
          <cell r="DE43">
            <v>0</v>
          </cell>
        </row>
        <row r="44">
          <cell r="J44">
            <v>1.8199999999999998</v>
          </cell>
          <cell r="S44">
            <v>0</v>
          </cell>
          <cell r="AB44">
            <v>0</v>
          </cell>
          <cell r="AK44">
            <v>0</v>
          </cell>
          <cell r="AT44">
            <v>0</v>
          </cell>
          <cell r="BC44">
            <v>0</v>
          </cell>
          <cell r="BL44">
            <v>0</v>
          </cell>
          <cell r="BU44">
            <v>0</v>
          </cell>
          <cell r="CD44">
            <v>0</v>
          </cell>
          <cell r="CM44">
            <v>0</v>
          </cell>
          <cell r="CV44">
            <v>0</v>
          </cell>
          <cell r="DE44">
            <v>0</v>
          </cell>
        </row>
        <row r="45">
          <cell r="J45">
            <v>0</v>
          </cell>
          <cell r="S45">
            <v>0</v>
          </cell>
          <cell r="AB45">
            <v>0</v>
          </cell>
          <cell r="AK45">
            <v>0</v>
          </cell>
          <cell r="AT45">
            <v>0</v>
          </cell>
          <cell r="BC45">
            <v>0</v>
          </cell>
          <cell r="BL45">
            <v>0</v>
          </cell>
          <cell r="BU45">
            <v>0</v>
          </cell>
          <cell r="CD45">
            <v>0</v>
          </cell>
          <cell r="CM45">
            <v>0</v>
          </cell>
          <cell r="CV45">
            <v>0</v>
          </cell>
          <cell r="DE45">
            <v>0</v>
          </cell>
        </row>
        <row r="46">
          <cell r="J46">
            <v>0</v>
          </cell>
          <cell r="S46">
            <v>0</v>
          </cell>
          <cell r="AB46">
            <v>0</v>
          </cell>
          <cell r="AK46">
            <v>0</v>
          </cell>
          <cell r="AT46">
            <v>0</v>
          </cell>
          <cell r="BC46">
            <v>0</v>
          </cell>
          <cell r="BL46">
            <v>0</v>
          </cell>
          <cell r="BU46">
            <v>0</v>
          </cell>
          <cell r="CD46">
            <v>0</v>
          </cell>
          <cell r="CM46">
            <v>0</v>
          </cell>
          <cell r="CV46">
            <v>0</v>
          </cell>
          <cell r="DE46">
            <v>0</v>
          </cell>
        </row>
        <row r="47">
          <cell r="J47">
            <v>0</v>
          </cell>
          <cell r="S47">
            <v>0</v>
          </cell>
          <cell r="AB47">
            <v>0</v>
          </cell>
          <cell r="AK47">
            <v>0</v>
          </cell>
          <cell r="AT47">
            <v>0</v>
          </cell>
          <cell r="BC47">
            <v>0</v>
          </cell>
          <cell r="BL47">
            <v>0</v>
          </cell>
          <cell r="BU47">
            <v>0</v>
          </cell>
          <cell r="CD47">
            <v>0</v>
          </cell>
          <cell r="CM47">
            <v>0</v>
          </cell>
          <cell r="CV47">
            <v>0</v>
          </cell>
          <cell r="DE47">
            <v>0</v>
          </cell>
        </row>
        <row r="48">
          <cell r="J48">
            <v>0</v>
          </cell>
          <cell r="S48">
            <v>0</v>
          </cell>
          <cell r="AB48">
            <v>0</v>
          </cell>
          <cell r="AK48">
            <v>0</v>
          </cell>
          <cell r="AT48">
            <v>0</v>
          </cell>
          <cell r="BC48">
            <v>0</v>
          </cell>
          <cell r="BL48">
            <v>0</v>
          </cell>
          <cell r="BU48">
            <v>0</v>
          </cell>
          <cell r="CD48">
            <v>0</v>
          </cell>
          <cell r="CM48">
            <v>0</v>
          </cell>
          <cell r="CV48">
            <v>0</v>
          </cell>
          <cell r="DE48">
            <v>0</v>
          </cell>
        </row>
        <row r="49">
          <cell r="J49">
            <v>0</v>
          </cell>
          <cell r="S49">
            <v>0</v>
          </cell>
          <cell r="AB49">
            <v>0</v>
          </cell>
          <cell r="AK49">
            <v>0</v>
          </cell>
          <cell r="AT49">
            <v>0</v>
          </cell>
          <cell r="BC49">
            <v>0</v>
          </cell>
          <cell r="BL49">
            <v>0</v>
          </cell>
          <cell r="BU49">
            <v>0</v>
          </cell>
          <cell r="CD49">
            <v>0</v>
          </cell>
          <cell r="CM49">
            <v>0</v>
          </cell>
          <cell r="CV49">
            <v>0</v>
          </cell>
          <cell r="DE49">
            <v>0</v>
          </cell>
        </row>
        <row r="50">
          <cell r="J50">
            <v>114.38</v>
          </cell>
          <cell r="S50">
            <v>0</v>
          </cell>
          <cell r="AB50">
            <v>0</v>
          </cell>
          <cell r="AK50">
            <v>0</v>
          </cell>
          <cell r="AT50">
            <v>0</v>
          </cell>
          <cell r="BC50">
            <v>0</v>
          </cell>
          <cell r="BL50">
            <v>0</v>
          </cell>
          <cell r="BU50">
            <v>0</v>
          </cell>
          <cell r="CD50">
            <v>0</v>
          </cell>
          <cell r="CM50">
            <v>0</v>
          </cell>
          <cell r="CV50">
            <v>0</v>
          </cell>
          <cell r="DE50">
            <v>0</v>
          </cell>
        </row>
        <row r="51">
          <cell r="J51">
            <v>0</v>
          </cell>
          <cell r="S51">
            <v>0</v>
          </cell>
          <cell r="AB51">
            <v>0</v>
          </cell>
          <cell r="AK51">
            <v>0</v>
          </cell>
          <cell r="AT51">
            <v>0</v>
          </cell>
          <cell r="BC51">
            <v>0</v>
          </cell>
          <cell r="BL51">
            <v>0</v>
          </cell>
          <cell r="BU51">
            <v>0</v>
          </cell>
          <cell r="CD51">
            <v>0</v>
          </cell>
          <cell r="CM51">
            <v>0</v>
          </cell>
          <cell r="CV51">
            <v>0</v>
          </cell>
          <cell r="DE51">
            <v>0</v>
          </cell>
        </row>
        <row r="52">
          <cell r="J52">
            <v>30.21</v>
          </cell>
          <cell r="S52">
            <v>0</v>
          </cell>
          <cell r="AB52">
            <v>0</v>
          </cell>
          <cell r="AK52">
            <v>0</v>
          </cell>
          <cell r="AT52">
            <v>0</v>
          </cell>
          <cell r="BC52">
            <v>0</v>
          </cell>
          <cell r="BL52">
            <v>0</v>
          </cell>
          <cell r="BU52">
            <v>0</v>
          </cell>
          <cell r="CD52">
            <v>0</v>
          </cell>
          <cell r="CM52">
            <v>0</v>
          </cell>
          <cell r="CV52">
            <v>0</v>
          </cell>
          <cell r="DE52">
            <v>0</v>
          </cell>
        </row>
        <row r="53">
          <cell r="J53">
            <v>0</v>
          </cell>
          <cell r="S53">
            <v>0</v>
          </cell>
          <cell r="AB53">
            <v>0</v>
          </cell>
          <cell r="AK53">
            <v>0</v>
          </cell>
          <cell r="AT53">
            <v>0</v>
          </cell>
          <cell r="BC53">
            <v>0</v>
          </cell>
          <cell r="BL53">
            <v>0</v>
          </cell>
          <cell r="BU53">
            <v>0</v>
          </cell>
          <cell r="CD53">
            <v>0</v>
          </cell>
          <cell r="CM53">
            <v>0</v>
          </cell>
          <cell r="CV53">
            <v>0</v>
          </cell>
          <cell r="DE53">
            <v>0</v>
          </cell>
        </row>
        <row r="54">
          <cell r="J54">
            <v>0</v>
          </cell>
          <cell r="S54">
            <v>0</v>
          </cell>
          <cell r="AB54">
            <v>0</v>
          </cell>
          <cell r="AK54">
            <v>0</v>
          </cell>
          <cell r="AT54">
            <v>0</v>
          </cell>
          <cell r="BC54">
            <v>0</v>
          </cell>
          <cell r="BL54">
            <v>0</v>
          </cell>
          <cell r="BU54">
            <v>0</v>
          </cell>
          <cell r="CD54">
            <v>0</v>
          </cell>
          <cell r="CM54">
            <v>0</v>
          </cell>
          <cell r="CV54">
            <v>0</v>
          </cell>
          <cell r="DE54">
            <v>0</v>
          </cell>
        </row>
        <row r="55">
          <cell r="J55">
            <v>0</v>
          </cell>
          <cell r="S55">
            <v>0</v>
          </cell>
          <cell r="AB55">
            <v>0</v>
          </cell>
          <cell r="AK55">
            <v>0</v>
          </cell>
          <cell r="AT55">
            <v>0</v>
          </cell>
          <cell r="BC55">
            <v>0</v>
          </cell>
          <cell r="BL55">
            <v>0</v>
          </cell>
          <cell r="BU55">
            <v>0</v>
          </cell>
          <cell r="CD55">
            <v>0</v>
          </cell>
          <cell r="CM55">
            <v>0</v>
          </cell>
          <cell r="CV55">
            <v>0</v>
          </cell>
          <cell r="DE55">
            <v>0</v>
          </cell>
        </row>
        <row r="56">
          <cell r="J56">
            <v>30.21</v>
          </cell>
          <cell r="S56">
            <v>0</v>
          </cell>
          <cell r="AB56">
            <v>0</v>
          </cell>
          <cell r="AK56">
            <v>0</v>
          </cell>
          <cell r="AT56">
            <v>0</v>
          </cell>
          <cell r="BC56">
            <v>0</v>
          </cell>
          <cell r="BL56">
            <v>0</v>
          </cell>
          <cell r="BU56">
            <v>0</v>
          </cell>
          <cell r="CD56">
            <v>0</v>
          </cell>
          <cell r="CM56">
            <v>0</v>
          </cell>
          <cell r="CV56">
            <v>0</v>
          </cell>
          <cell r="DE56">
            <v>0</v>
          </cell>
        </row>
        <row r="57">
          <cell r="J57">
            <v>1.56</v>
          </cell>
          <cell r="S57">
            <v>0</v>
          </cell>
          <cell r="AB57">
            <v>0</v>
          </cell>
          <cell r="AK57">
            <v>0</v>
          </cell>
          <cell r="AT57">
            <v>0</v>
          </cell>
          <cell r="BC57">
            <v>0</v>
          </cell>
          <cell r="BL57">
            <v>0</v>
          </cell>
          <cell r="BU57">
            <v>0</v>
          </cell>
          <cell r="CD57">
            <v>0</v>
          </cell>
          <cell r="CM57">
            <v>0</v>
          </cell>
          <cell r="CV57">
            <v>0</v>
          </cell>
          <cell r="DE57">
            <v>0</v>
          </cell>
        </row>
        <row r="58">
          <cell r="J58">
            <v>0</v>
          </cell>
          <cell r="S58">
            <v>0</v>
          </cell>
          <cell r="AB58">
            <v>0</v>
          </cell>
          <cell r="AK58">
            <v>0</v>
          </cell>
          <cell r="AT58">
            <v>0</v>
          </cell>
          <cell r="BC58">
            <v>0</v>
          </cell>
          <cell r="BL58">
            <v>0</v>
          </cell>
          <cell r="BU58">
            <v>0</v>
          </cell>
          <cell r="CD58">
            <v>0</v>
          </cell>
          <cell r="CM58">
            <v>0</v>
          </cell>
          <cell r="CV58">
            <v>0</v>
          </cell>
          <cell r="DE58">
            <v>0</v>
          </cell>
        </row>
        <row r="59">
          <cell r="J59">
            <v>0</v>
          </cell>
          <cell r="S59">
            <v>0</v>
          </cell>
          <cell r="AB59">
            <v>0</v>
          </cell>
          <cell r="AK59">
            <v>0</v>
          </cell>
          <cell r="AT59">
            <v>0</v>
          </cell>
          <cell r="BC59">
            <v>0</v>
          </cell>
          <cell r="BL59">
            <v>0</v>
          </cell>
          <cell r="BU59">
            <v>0</v>
          </cell>
          <cell r="CD59">
            <v>0</v>
          </cell>
          <cell r="CM59">
            <v>0</v>
          </cell>
          <cell r="CV59">
            <v>0</v>
          </cell>
          <cell r="DE59">
            <v>0</v>
          </cell>
        </row>
        <row r="60">
          <cell r="J60">
            <v>17.73</v>
          </cell>
          <cell r="S60">
            <v>0</v>
          </cell>
          <cell r="AB60">
            <v>0</v>
          </cell>
          <cell r="AK60">
            <v>0</v>
          </cell>
          <cell r="AT60">
            <v>0</v>
          </cell>
          <cell r="BC60">
            <v>0</v>
          </cell>
          <cell r="BL60">
            <v>0</v>
          </cell>
          <cell r="BU60">
            <v>0</v>
          </cell>
          <cell r="CD60">
            <v>0</v>
          </cell>
          <cell r="CM60">
            <v>0</v>
          </cell>
          <cell r="CV60">
            <v>0</v>
          </cell>
          <cell r="DE60">
            <v>0</v>
          </cell>
        </row>
        <row r="61">
          <cell r="J61">
            <v>4.4400000000000004</v>
          </cell>
          <cell r="S61">
            <v>0</v>
          </cell>
          <cell r="AB61">
            <v>0</v>
          </cell>
          <cell r="AK61">
            <v>0</v>
          </cell>
          <cell r="AT61">
            <v>0</v>
          </cell>
          <cell r="BC61">
            <v>0</v>
          </cell>
          <cell r="BL61">
            <v>0</v>
          </cell>
          <cell r="BU61">
            <v>0</v>
          </cell>
          <cell r="CD61">
            <v>0</v>
          </cell>
          <cell r="CM61">
            <v>0</v>
          </cell>
          <cell r="CV61">
            <v>0</v>
          </cell>
          <cell r="DE61">
            <v>0</v>
          </cell>
        </row>
        <row r="62">
          <cell r="J62">
            <v>0</v>
          </cell>
          <cell r="S62">
            <v>0</v>
          </cell>
          <cell r="AB62">
            <v>0</v>
          </cell>
          <cell r="AK62">
            <v>0</v>
          </cell>
          <cell r="AT62">
            <v>0</v>
          </cell>
          <cell r="BC62">
            <v>0</v>
          </cell>
          <cell r="BL62">
            <v>0</v>
          </cell>
          <cell r="BU62">
            <v>0</v>
          </cell>
          <cell r="CD62">
            <v>0</v>
          </cell>
          <cell r="CM62">
            <v>0</v>
          </cell>
          <cell r="CV62">
            <v>0</v>
          </cell>
          <cell r="DE62">
            <v>0</v>
          </cell>
        </row>
        <row r="63">
          <cell r="J63">
            <v>0</v>
          </cell>
          <cell r="S63">
            <v>0</v>
          </cell>
          <cell r="AB63">
            <v>0</v>
          </cell>
          <cell r="AK63">
            <v>0</v>
          </cell>
          <cell r="AT63">
            <v>0</v>
          </cell>
          <cell r="BC63">
            <v>0</v>
          </cell>
          <cell r="BL63">
            <v>0</v>
          </cell>
          <cell r="BU63">
            <v>0</v>
          </cell>
          <cell r="CD63">
            <v>0</v>
          </cell>
          <cell r="CM63">
            <v>0</v>
          </cell>
          <cell r="CV63">
            <v>0</v>
          </cell>
          <cell r="DE63">
            <v>0</v>
          </cell>
        </row>
        <row r="64">
          <cell r="J64">
            <v>0</v>
          </cell>
          <cell r="S64">
            <v>0</v>
          </cell>
          <cell r="AB64">
            <v>0</v>
          </cell>
          <cell r="AK64">
            <v>0</v>
          </cell>
          <cell r="AT64">
            <v>0</v>
          </cell>
          <cell r="BC64">
            <v>0</v>
          </cell>
          <cell r="BL64">
            <v>0</v>
          </cell>
          <cell r="BU64">
            <v>0</v>
          </cell>
          <cell r="CD64">
            <v>0</v>
          </cell>
          <cell r="CM64">
            <v>0</v>
          </cell>
          <cell r="CV64">
            <v>0</v>
          </cell>
          <cell r="DE64">
            <v>0</v>
          </cell>
        </row>
        <row r="65">
          <cell r="J65">
            <v>22.17</v>
          </cell>
          <cell r="S65">
            <v>0</v>
          </cell>
          <cell r="AB65">
            <v>0</v>
          </cell>
          <cell r="AK65">
            <v>0</v>
          </cell>
          <cell r="AT65">
            <v>0</v>
          </cell>
          <cell r="BC65">
            <v>0</v>
          </cell>
          <cell r="BL65">
            <v>0</v>
          </cell>
          <cell r="BU65">
            <v>0</v>
          </cell>
          <cell r="CD65">
            <v>0</v>
          </cell>
          <cell r="CM65">
            <v>0</v>
          </cell>
          <cell r="CV65">
            <v>0</v>
          </cell>
          <cell r="DE65">
            <v>0</v>
          </cell>
        </row>
        <row r="66">
          <cell r="J66">
            <v>0</v>
          </cell>
          <cell r="S66">
            <v>0</v>
          </cell>
          <cell r="AB66">
            <v>0</v>
          </cell>
          <cell r="AK66">
            <v>0</v>
          </cell>
          <cell r="AT66">
            <v>0</v>
          </cell>
          <cell r="BC66">
            <v>0</v>
          </cell>
          <cell r="BL66">
            <v>0</v>
          </cell>
          <cell r="BU66">
            <v>0</v>
          </cell>
          <cell r="CD66">
            <v>0</v>
          </cell>
          <cell r="CM66">
            <v>0</v>
          </cell>
          <cell r="CV66">
            <v>0</v>
          </cell>
          <cell r="DE66">
            <v>0</v>
          </cell>
        </row>
        <row r="67">
          <cell r="J67">
            <v>0</v>
          </cell>
          <cell r="S67">
            <v>0</v>
          </cell>
          <cell r="AB67">
            <v>0</v>
          </cell>
          <cell r="AK67">
            <v>0</v>
          </cell>
          <cell r="AT67">
            <v>0</v>
          </cell>
          <cell r="BC67">
            <v>0</v>
          </cell>
          <cell r="BL67">
            <v>0</v>
          </cell>
          <cell r="BU67">
            <v>0</v>
          </cell>
          <cell r="CD67">
            <v>0</v>
          </cell>
          <cell r="CM67">
            <v>0</v>
          </cell>
          <cell r="CV67">
            <v>0</v>
          </cell>
          <cell r="DE67">
            <v>0</v>
          </cell>
        </row>
        <row r="68">
          <cell r="J68">
            <v>1.45</v>
          </cell>
          <cell r="S68">
            <v>0</v>
          </cell>
          <cell r="AB68">
            <v>0</v>
          </cell>
          <cell r="AK68">
            <v>0</v>
          </cell>
          <cell r="AT68">
            <v>0</v>
          </cell>
          <cell r="BC68">
            <v>0</v>
          </cell>
          <cell r="BL68">
            <v>0</v>
          </cell>
          <cell r="BU68">
            <v>0</v>
          </cell>
          <cell r="CD68">
            <v>0</v>
          </cell>
          <cell r="CM68">
            <v>0</v>
          </cell>
          <cell r="CV68">
            <v>0</v>
          </cell>
          <cell r="DE68">
            <v>0</v>
          </cell>
        </row>
        <row r="69">
          <cell r="J69">
            <v>0</v>
          </cell>
          <cell r="S69">
            <v>0</v>
          </cell>
          <cell r="AB69">
            <v>0</v>
          </cell>
          <cell r="AK69">
            <v>0</v>
          </cell>
          <cell r="AT69">
            <v>0</v>
          </cell>
          <cell r="BC69">
            <v>0</v>
          </cell>
          <cell r="BL69">
            <v>0</v>
          </cell>
          <cell r="BU69">
            <v>0</v>
          </cell>
          <cell r="CD69">
            <v>0</v>
          </cell>
          <cell r="CM69">
            <v>0</v>
          </cell>
          <cell r="CV69">
            <v>0</v>
          </cell>
          <cell r="DE69">
            <v>0</v>
          </cell>
        </row>
        <row r="70">
          <cell r="J70">
            <v>0</v>
          </cell>
          <cell r="S70">
            <v>0</v>
          </cell>
          <cell r="AB70">
            <v>0</v>
          </cell>
          <cell r="AK70">
            <v>0</v>
          </cell>
          <cell r="AT70">
            <v>0</v>
          </cell>
          <cell r="BC70">
            <v>0</v>
          </cell>
          <cell r="BL70">
            <v>0</v>
          </cell>
          <cell r="BU70">
            <v>0</v>
          </cell>
          <cell r="CD70">
            <v>0</v>
          </cell>
          <cell r="CM70">
            <v>0</v>
          </cell>
          <cell r="CV70">
            <v>0</v>
          </cell>
          <cell r="DE70">
            <v>0</v>
          </cell>
        </row>
        <row r="71">
          <cell r="J71">
            <v>0</v>
          </cell>
          <cell r="S71">
            <v>0</v>
          </cell>
          <cell r="AB71">
            <v>0</v>
          </cell>
          <cell r="AK71">
            <v>0</v>
          </cell>
          <cell r="AT71">
            <v>0</v>
          </cell>
          <cell r="BC71">
            <v>0</v>
          </cell>
          <cell r="BL71">
            <v>0</v>
          </cell>
          <cell r="BU71">
            <v>0</v>
          </cell>
          <cell r="CD71">
            <v>0</v>
          </cell>
          <cell r="CM71">
            <v>0</v>
          </cell>
          <cell r="CV71">
            <v>0</v>
          </cell>
          <cell r="DE71">
            <v>0</v>
          </cell>
        </row>
        <row r="72">
          <cell r="J72">
            <v>5.58</v>
          </cell>
          <cell r="S72">
            <v>0</v>
          </cell>
          <cell r="AB72">
            <v>0</v>
          </cell>
          <cell r="AK72">
            <v>0</v>
          </cell>
          <cell r="AT72">
            <v>0</v>
          </cell>
          <cell r="BC72">
            <v>0</v>
          </cell>
          <cell r="BL72">
            <v>0</v>
          </cell>
          <cell r="BU72">
            <v>0</v>
          </cell>
          <cell r="CD72">
            <v>0</v>
          </cell>
          <cell r="CM72">
            <v>0</v>
          </cell>
          <cell r="CV72">
            <v>0</v>
          </cell>
          <cell r="DE72">
            <v>0</v>
          </cell>
        </row>
        <row r="73">
          <cell r="J73">
            <v>0</v>
          </cell>
          <cell r="S73">
            <v>0</v>
          </cell>
          <cell r="AB73">
            <v>0</v>
          </cell>
          <cell r="AK73">
            <v>0</v>
          </cell>
          <cell r="AT73">
            <v>0</v>
          </cell>
          <cell r="BC73">
            <v>0</v>
          </cell>
          <cell r="BL73">
            <v>0</v>
          </cell>
          <cell r="BU73">
            <v>0</v>
          </cell>
          <cell r="CD73">
            <v>0</v>
          </cell>
          <cell r="CM73">
            <v>0</v>
          </cell>
          <cell r="CV73">
            <v>0</v>
          </cell>
          <cell r="DE73">
            <v>0</v>
          </cell>
        </row>
        <row r="74">
          <cell r="J74">
            <v>0</v>
          </cell>
          <cell r="S74">
            <v>0</v>
          </cell>
          <cell r="AB74">
            <v>0</v>
          </cell>
          <cell r="AK74">
            <v>0</v>
          </cell>
          <cell r="AT74">
            <v>0</v>
          </cell>
          <cell r="BC74">
            <v>0</v>
          </cell>
          <cell r="BL74">
            <v>0</v>
          </cell>
          <cell r="BU74">
            <v>0</v>
          </cell>
          <cell r="CD74">
            <v>0</v>
          </cell>
          <cell r="CM74">
            <v>0</v>
          </cell>
          <cell r="CV74">
            <v>0</v>
          </cell>
          <cell r="DE74">
            <v>0</v>
          </cell>
        </row>
        <row r="75">
          <cell r="J75">
            <v>0</v>
          </cell>
          <cell r="S75">
            <v>0</v>
          </cell>
          <cell r="AB75">
            <v>0</v>
          </cell>
          <cell r="AK75">
            <v>0</v>
          </cell>
          <cell r="AT75">
            <v>0</v>
          </cell>
          <cell r="BC75">
            <v>0</v>
          </cell>
          <cell r="BL75">
            <v>0</v>
          </cell>
          <cell r="BU75">
            <v>0</v>
          </cell>
          <cell r="CD75">
            <v>0</v>
          </cell>
          <cell r="CM75">
            <v>0</v>
          </cell>
          <cell r="CV75">
            <v>0</v>
          </cell>
          <cell r="DE75">
            <v>0</v>
          </cell>
        </row>
        <row r="76">
          <cell r="J76">
            <v>0</v>
          </cell>
          <cell r="S76">
            <v>0</v>
          </cell>
          <cell r="AB76">
            <v>0</v>
          </cell>
          <cell r="AK76">
            <v>0</v>
          </cell>
          <cell r="AT76">
            <v>0</v>
          </cell>
          <cell r="BC76">
            <v>0</v>
          </cell>
          <cell r="BL76">
            <v>0</v>
          </cell>
          <cell r="BU76">
            <v>0</v>
          </cell>
          <cell r="CD76">
            <v>0</v>
          </cell>
          <cell r="CM76">
            <v>0</v>
          </cell>
          <cell r="CV76">
            <v>0</v>
          </cell>
          <cell r="DE76">
            <v>0</v>
          </cell>
        </row>
        <row r="77">
          <cell r="J77">
            <v>50.88</v>
          </cell>
          <cell r="S77">
            <v>0</v>
          </cell>
          <cell r="AB77">
            <v>0</v>
          </cell>
          <cell r="AK77">
            <v>0</v>
          </cell>
          <cell r="AT77">
            <v>0</v>
          </cell>
          <cell r="BC77">
            <v>0</v>
          </cell>
          <cell r="BL77">
            <v>0</v>
          </cell>
          <cell r="BU77">
            <v>0</v>
          </cell>
          <cell r="CD77">
            <v>0</v>
          </cell>
          <cell r="CM77">
            <v>0</v>
          </cell>
          <cell r="CV77">
            <v>0</v>
          </cell>
          <cell r="DE77">
            <v>0</v>
          </cell>
        </row>
        <row r="78">
          <cell r="J78">
            <v>11.43</v>
          </cell>
          <cell r="S78">
            <v>0</v>
          </cell>
          <cell r="AB78">
            <v>0</v>
          </cell>
          <cell r="AK78">
            <v>0</v>
          </cell>
          <cell r="AT78">
            <v>0</v>
          </cell>
          <cell r="BC78">
            <v>0</v>
          </cell>
          <cell r="BL78">
            <v>0</v>
          </cell>
          <cell r="BU78">
            <v>0</v>
          </cell>
          <cell r="CD78">
            <v>0</v>
          </cell>
          <cell r="CM78">
            <v>0</v>
          </cell>
          <cell r="CV78">
            <v>0</v>
          </cell>
          <cell r="DE78">
            <v>0</v>
          </cell>
        </row>
        <row r="79">
          <cell r="J79">
            <v>1.49</v>
          </cell>
          <cell r="S79">
            <v>0</v>
          </cell>
          <cell r="AB79">
            <v>0</v>
          </cell>
          <cell r="AK79">
            <v>0</v>
          </cell>
          <cell r="AT79">
            <v>0</v>
          </cell>
          <cell r="BC79">
            <v>0</v>
          </cell>
          <cell r="BL79">
            <v>0</v>
          </cell>
          <cell r="BU79">
            <v>0</v>
          </cell>
          <cell r="CD79">
            <v>0</v>
          </cell>
          <cell r="CM79">
            <v>0</v>
          </cell>
          <cell r="CV79">
            <v>0</v>
          </cell>
          <cell r="DE79">
            <v>0</v>
          </cell>
        </row>
        <row r="80">
          <cell r="J80">
            <v>0.82</v>
          </cell>
          <cell r="S80">
            <v>0</v>
          </cell>
          <cell r="AB80">
            <v>0</v>
          </cell>
          <cell r="AK80">
            <v>0</v>
          </cell>
          <cell r="AT80">
            <v>0</v>
          </cell>
          <cell r="BC80">
            <v>0</v>
          </cell>
          <cell r="BL80">
            <v>0</v>
          </cell>
          <cell r="BU80">
            <v>0</v>
          </cell>
          <cell r="CD80">
            <v>0</v>
          </cell>
          <cell r="CM80">
            <v>0</v>
          </cell>
          <cell r="CV80">
            <v>0</v>
          </cell>
          <cell r="DE80">
            <v>0</v>
          </cell>
        </row>
        <row r="81">
          <cell r="J81">
            <v>0</v>
          </cell>
          <cell r="S81">
            <v>0</v>
          </cell>
          <cell r="AB81">
            <v>0</v>
          </cell>
          <cell r="AK81">
            <v>0</v>
          </cell>
          <cell r="AT81">
            <v>0</v>
          </cell>
          <cell r="BC81">
            <v>0</v>
          </cell>
          <cell r="BL81">
            <v>0</v>
          </cell>
          <cell r="BU81">
            <v>0</v>
          </cell>
          <cell r="CD81">
            <v>0</v>
          </cell>
          <cell r="CM81">
            <v>0</v>
          </cell>
          <cell r="CV81">
            <v>0</v>
          </cell>
          <cell r="DE81">
            <v>0</v>
          </cell>
        </row>
        <row r="82">
          <cell r="J82">
            <v>0</v>
          </cell>
          <cell r="S82">
            <v>0</v>
          </cell>
          <cell r="AB82">
            <v>0</v>
          </cell>
          <cell r="AK82">
            <v>0</v>
          </cell>
          <cell r="AT82">
            <v>0</v>
          </cell>
          <cell r="BC82">
            <v>0</v>
          </cell>
          <cell r="BL82">
            <v>0</v>
          </cell>
          <cell r="BU82">
            <v>0</v>
          </cell>
          <cell r="CD82">
            <v>0</v>
          </cell>
          <cell r="CM82">
            <v>0</v>
          </cell>
          <cell r="CV82">
            <v>0</v>
          </cell>
          <cell r="DE82">
            <v>0</v>
          </cell>
        </row>
        <row r="83">
          <cell r="J83">
            <v>0</v>
          </cell>
          <cell r="S83">
            <v>0</v>
          </cell>
          <cell r="AB83">
            <v>0</v>
          </cell>
          <cell r="AK83">
            <v>0</v>
          </cell>
          <cell r="AT83">
            <v>0</v>
          </cell>
          <cell r="BC83">
            <v>0</v>
          </cell>
          <cell r="BL83">
            <v>0</v>
          </cell>
          <cell r="BU83">
            <v>0</v>
          </cell>
          <cell r="CD83">
            <v>0</v>
          </cell>
          <cell r="CM83">
            <v>0</v>
          </cell>
          <cell r="CV83">
            <v>0</v>
          </cell>
          <cell r="DE83">
            <v>0</v>
          </cell>
        </row>
        <row r="84">
          <cell r="J84">
            <v>0</v>
          </cell>
          <cell r="S84">
            <v>0</v>
          </cell>
          <cell r="AB84">
            <v>0</v>
          </cell>
          <cell r="AK84">
            <v>0</v>
          </cell>
          <cell r="AT84">
            <v>0</v>
          </cell>
          <cell r="BC84">
            <v>0</v>
          </cell>
          <cell r="BL84">
            <v>0</v>
          </cell>
          <cell r="BU84">
            <v>0</v>
          </cell>
          <cell r="CD84">
            <v>0</v>
          </cell>
          <cell r="CM84">
            <v>0</v>
          </cell>
          <cell r="CV84">
            <v>0</v>
          </cell>
          <cell r="DE84">
            <v>0</v>
          </cell>
        </row>
        <row r="85">
          <cell r="J85">
            <v>0</v>
          </cell>
          <cell r="S85">
            <v>0</v>
          </cell>
          <cell r="AB85">
            <v>0</v>
          </cell>
          <cell r="AK85">
            <v>0</v>
          </cell>
          <cell r="AT85">
            <v>0</v>
          </cell>
          <cell r="BC85">
            <v>0</v>
          </cell>
          <cell r="BL85">
            <v>0</v>
          </cell>
          <cell r="BU85">
            <v>0</v>
          </cell>
          <cell r="CD85">
            <v>0</v>
          </cell>
          <cell r="CM85">
            <v>0</v>
          </cell>
          <cell r="CV85">
            <v>0</v>
          </cell>
          <cell r="DE85">
            <v>0</v>
          </cell>
        </row>
        <row r="86">
          <cell r="J86">
            <v>0</v>
          </cell>
          <cell r="S86">
            <v>0</v>
          </cell>
          <cell r="AB86">
            <v>0</v>
          </cell>
          <cell r="AK86">
            <v>0</v>
          </cell>
          <cell r="AT86">
            <v>0</v>
          </cell>
          <cell r="BC86">
            <v>0</v>
          </cell>
          <cell r="BL86">
            <v>0</v>
          </cell>
          <cell r="BU86">
            <v>0</v>
          </cell>
          <cell r="CD86">
            <v>0</v>
          </cell>
          <cell r="CM86">
            <v>0</v>
          </cell>
          <cell r="CV86">
            <v>0</v>
          </cell>
          <cell r="DE86">
            <v>0</v>
          </cell>
        </row>
        <row r="87">
          <cell r="J87">
            <v>0</v>
          </cell>
          <cell r="S87">
            <v>0</v>
          </cell>
          <cell r="AB87">
            <v>0</v>
          </cell>
          <cell r="AK87">
            <v>0</v>
          </cell>
          <cell r="AT87">
            <v>0</v>
          </cell>
          <cell r="BC87">
            <v>0</v>
          </cell>
          <cell r="BL87">
            <v>0</v>
          </cell>
          <cell r="BU87">
            <v>0</v>
          </cell>
          <cell r="CD87">
            <v>0</v>
          </cell>
          <cell r="CM87">
            <v>0</v>
          </cell>
          <cell r="CV87">
            <v>0</v>
          </cell>
          <cell r="DE87">
            <v>0</v>
          </cell>
        </row>
        <row r="88">
          <cell r="J88">
            <v>71.649999999999991</v>
          </cell>
          <cell r="S88">
            <v>0</v>
          </cell>
          <cell r="AB88">
            <v>0</v>
          </cell>
          <cell r="AK88">
            <v>0</v>
          </cell>
          <cell r="AT88">
            <v>0</v>
          </cell>
          <cell r="BC88">
            <v>0</v>
          </cell>
          <cell r="BL88">
            <v>0</v>
          </cell>
          <cell r="BU88">
            <v>0</v>
          </cell>
          <cell r="CD88">
            <v>0</v>
          </cell>
          <cell r="CM88">
            <v>0</v>
          </cell>
          <cell r="CV88">
            <v>0</v>
          </cell>
          <cell r="DE88">
            <v>0</v>
          </cell>
        </row>
        <row r="89">
          <cell r="J89">
            <v>95.38</v>
          </cell>
          <cell r="S89">
            <v>0</v>
          </cell>
          <cell r="AB89">
            <v>0</v>
          </cell>
          <cell r="AK89">
            <v>0</v>
          </cell>
          <cell r="AT89">
            <v>0</v>
          </cell>
          <cell r="BC89">
            <v>0</v>
          </cell>
          <cell r="BL89">
            <v>0</v>
          </cell>
          <cell r="BU89">
            <v>0</v>
          </cell>
          <cell r="CD89">
            <v>0</v>
          </cell>
          <cell r="CM89">
            <v>0</v>
          </cell>
          <cell r="CV89">
            <v>0</v>
          </cell>
          <cell r="DE89">
            <v>0</v>
          </cell>
        </row>
        <row r="90">
          <cell r="J90">
            <v>0</v>
          </cell>
          <cell r="S90">
            <v>0</v>
          </cell>
          <cell r="AB90">
            <v>0</v>
          </cell>
          <cell r="AK90">
            <v>0</v>
          </cell>
          <cell r="AT90">
            <v>0</v>
          </cell>
          <cell r="BC90">
            <v>0</v>
          </cell>
          <cell r="BL90">
            <v>0</v>
          </cell>
          <cell r="BU90">
            <v>0</v>
          </cell>
          <cell r="CD90">
            <v>0</v>
          </cell>
          <cell r="CM90">
            <v>0</v>
          </cell>
          <cell r="CV90">
            <v>0</v>
          </cell>
          <cell r="DE90">
            <v>0</v>
          </cell>
        </row>
        <row r="91">
          <cell r="J91">
            <v>0</v>
          </cell>
          <cell r="S91">
            <v>0</v>
          </cell>
          <cell r="AB91">
            <v>0</v>
          </cell>
          <cell r="AK91">
            <v>0</v>
          </cell>
          <cell r="AT91">
            <v>0</v>
          </cell>
          <cell r="BC91">
            <v>0</v>
          </cell>
          <cell r="BL91">
            <v>0</v>
          </cell>
          <cell r="BU91">
            <v>0</v>
          </cell>
          <cell r="CD91">
            <v>0</v>
          </cell>
          <cell r="CM91">
            <v>0</v>
          </cell>
          <cell r="CV91">
            <v>0</v>
          </cell>
          <cell r="DE91">
            <v>0</v>
          </cell>
        </row>
        <row r="92">
          <cell r="J92">
            <v>0</v>
          </cell>
          <cell r="S92">
            <v>0</v>
          </cell>
          <cell r="AB92">
            <v>0</v>
          </cell>
          <cell r="AK92">
            <v>0</v>
          </cell>
          <cell r="AT92">
            <v>0</v>
          </cell>
          <cell r="BC92">
            <v>0</v>
          </cell>
          <cell r="BL92">
            <v>0</v>
          </cell>
          <cell r="BU92">
            <v>0</v>
          </cell>
          <cell r="CD92">
            <v>0</v>
          </cell>
          <cell r="CM92">
            <v>0</v>
          </cell>
          <cell r="CV92">
            <v>0</v>
          </cell>
          <cell r="DE92">
            <v>0</v>
          </cell>
        </row>
        <row r="93">
          <cell r="J93">
            <v>239.97</v>
          </cell>
          <cell r="S93">
            <v>0</v>
          </cell>
          <cell r="AB93">
            <v>0</v>
          </cell>
          <cell r="AK93">
            <v>0</v>
          </cell>
          <cell r="AT93">
            <v>0</v>
          </cell>
          <cell r="BC93">
            <v>0</v>
          </cell>
          <cell r="BL93">
            <v>0</v>
          </cell>
          <cell r="BU93">
            <v>0</v>
          </cell>
          <cell r="CD93">
            <v>0</v>
          </cell>
          <cell r="CM93">
            <v>0</v>
          </cell>
          <cell r="CV93">
            <v>0</v>
          </cell>
          <cell r="DE93">
            <v>0</v>
          </cell>
        </row>
        <row r="94">
          <cell r="J94">
            <v>0</v>
          </cell>
          <cell r="S94">
            <v>0</v>
          </cell>
          <cell r="AB94">
            <v>0</v>
          </cell>
          <cell r="AK94">
            <v>0</v>
          </cell>
          <cell r="AT94">
            <v>0</v>
          </cell>
          <cell r="BC94">
            <v>0</v>
          </cell>
          <cell r="BL94">
            <v>0</v>
          </cell>
          <cell r="BU94">
            <v>0</v>
          </cell>
          <cell r="CD94">
            <v>0</v>
          </cell>
          <cell r="CM94">
            <v>0</v>
          </cell>
          <cell r="CV94">
            <v>0</v>
          </cell>
          <cell r="DE94">
            <v>0</v>
          </cell>
        </row>
        <row r="95">
          <cell r="J95">
            <v>8.5299999999999994</v>
          </cell>
          <cell r="S95">
            <v>0</v>
          </cell>
          <cell r="AB95">
            <v>0</v>
          </cell>
          <cell r="AK95">
            <v>0</v>
          </cell>
          <cell r="AT95">
            <v>0</v>
          </cell>
          <cell r="BC95">
            <v>0</v>
          </cell>
          <cell r="BL95">
            <v>0</v>
          </cell>
          <cell r="BU95">
            <v>0</v>
          </cell>
          <cell r="CD95">
            <v>0</v>
          </cell>
          <cell r="CM95">
            <v>0</v>
          </cell>
          <cell r="CV95">
            <v>0</v>
          </cell>
          <cell r="DE95">
            <v>0</v>
          </cell>
        </row>
        <row r="96">
          <cell r="J96">
            <v>8.5299999999999994</v>
          </cell>
          <cell r="S96">
            <v>0</v>
          </cell>
          <cell r="AB96">
            <v>0</v>
          </cell>
          <cell r="AK96">
            <v>0</v>
          </cell>
          <cell r="AT96">
            <v>0</v>
          </cell>
          <cell r="BC96">
            <v>0</v>
          </cell>
          <cell r="BL96">
            <v>0</v>
          </cell>
          <cell r="BU96">
            <v>0</v>
          </cell>
          <cell r="CD96">
            <v>0</v>
          </cell>
          <cell r="CM96">
            <v>0</v>
          </cell>
          <cell r="CV96">
            <v>0</v>
          </cell>
          <cell r="DE96">
            <v>0</v>
          </cell>
        </row>
        <row r="97">
          <cell r="J97">
            <v>0.22</v>
          </cell>
          <cell r="S97">
            <v>0</v>
          </cell>
          <cell r="AB97">
            <v>0</v>
          </cell>
          <cell r="AK97">
            <v>0</v>
          </cell>
          <cell r="AT97">
            <v>0</v>
          </cell>
          <cell r="BC97">
            <v>0</v>
          </cell>
          <cell r="BL97">
            <v>0</v>
          </cell>
          <cell r="BU97">
            <v>0</v>
          </cell>
          <cell r="CD97">
            <v>0</v>
          </cell>
          <cell r="CM97">
            <v>0</v>
          </cell>
          <cell r="CV97">
            <v>0</v>
          </cell>
          <cell r="DE97">
            <v>0</v>
          </cell>
        </row>
        <row r="98">
          <cell r="J98">
            <v>4.7</v>
          </cell>
          <cell r="S98">
            <v>0</v>
          </cell>
          <cell r="AB98">
            <v>0</v>
          </cell>
          <cell r="AK98">
            <v>0</v>
          </cell>
          <cell r="AT98">
            <v>0</v>
          </cell>
          <cell r="BC98">
            <v>0</v>
          </cell>
          <cell r="BL98">
            <v>0</v>
          </cell>
          <cell r="BU98">
            <v>0</v>
          </cell>
          <cell r="CD98">
            <v>0</v>
          </cell>
          <cell r="CM98">
            <v>0</v>
          </cell>
          <cell r="CV98">
            <v>0</v>
          </cell>
          <cell r="DE98">
            <v>0</v>
          </cell>
        </row>
        <row r="99">
          <cell r="J99">
            <v>13.46</v>
          </cell>
          <cell r="S99">
            <v>0</v>
          </cell>
          <cell r="AB99">
            <v>0</v>
          </cell>
          <cell r="AK99">
            <v>0</v>
          </cell>
          <cell r="AT99">
            <v>0</v>
          </cell>
          <cell r="BC99">
            <v>0</v>
          </cell>
          <cell r="BL99">
            <v>0</v>
          </cell>
          <cell r="BU99">
            <v>0</v>
          </cell>
          <cell r="CD99">
            <v>0</v>
          </cell>
          <cell r="CM99">
            <v>0</v>
          </cell>
          <cell r="CV99">
            <v>0</v>
          </cell>
          <cell r="DE99">
            <v>0</v>
          </cell>
        </row>
        <row r="100">
          <cell r="J100">
            <v>0</v>
          </cell>
          <cell r="S100">
            <v>0</v>
          </cell>
          <cell r="AB100">
            <v>0</v>
          </cell>
          <cell r="AK100">
            <v>0</v>
          </cell>
          <cell r="AT100">
            <v>0</v>
          </cell>
          <cell r="BC100">
            <v>0</v>
          </cell>
          <cell r="BL100">
            <v>0</v>
          </cell>
          <cell r="BU100">
            <v>0</v>
          </cell>
          <cell r="CD100">
            <v>0</v>
          </cell>
          <cell r="CM100">
            <v>0</v>
          </cell>
          <cell r="CV100">
            <v>0</v>
          </cell>
          <cell r="DE100">
            <v>0</v>
          </cell>
        </row>
        <row r="101">
          <cell r="J101">
            <v>0</v>
          </cell>
          <cell r="S101">
            <v>0</v>
          </cell>
          <cell r="AB101">
            <v>0</v>
          </cell>
          <cell r="AK101">
            <v>0</v>
          </cell>
          <cell r="AT101">
            <v>0</v>
          </cell>
          <cell r="BC101">
            <v>0</v>
          </cell>
          <cell r="BL101">
            <v>0</v>
          </cell>
          <cell r="BU101">
            <v>0</v>
          </cell>
          <cell r="CD101">
            <v>0</v>
          </cell>
          <cell r="CM101">
            <v>0</v>
          </cell>
          <cell r="CV101">
            <v>0</v>
          </cell>
          <cell r="DE101">
            <v>0</v>
          </cell>
        </row>
        <row r="102">
          <cell r="J102">
            <v>18.16</v>
          </cell>
          <cell r="S102">
            <v>0</v>
          </cell>
          <cell r="AB102">
            <v>0</v>
          </cell>
          <cell r="AK102">
            <v>0</v>
          </cell>
          <cell r="AT102">
            <v>0</v>
          </cell>
          <cell r="BC102">
            <v>0</v>
          </cell>
          <cell r="BL102">
            <v>0</v>
          </cell>
          <cell r="BU102">
            <v>0</v>
          </cell>
          <cell r="CD102">
            <v>0</v>
          </cell>
          <cell r="CM102">
            <v>0</v>
          </cell>
          <cell r="CV102">
            <v>0</v>
          </cell>
          <cell r="DE102">
            <v>0</v>
          </cell>
        </row>
        <row r="103">
          <cell r="J103">
            <v>0.72</v>
          </cell>
          <cell r="S103">
            <v>0</v>
          </cell>
          <cell r="AB103">
            <v>0</v>
          </cell>
          <cell r="AK103">
            <v>0</v>
          </cell>
          <cell r="AT103">
            <v>0</v>
          </cell>
          <cell r="BC103">
            <v>0</v>
          </cell>
          <cell r="BL103">
            <v>0</v>
          </cell>
          <cell r="BU103">
            <v>0</v>
          </cell>
          <cell r="CD103">
            <v>0</v>
          </cell>
          <cell r="CM103">
            <v>0</v>
          </cell>
          <cell r="CV103">
            <v>0</v>
          </cell>
          <cell r="DE103">
            <v>0</v>
          </cell>
        </row>
        <row r="104">
          <cell r="J104">
            <v>0.08</v>
          </cell>
          <cell r="S104">
            <v>0</v>
          </cell>
          <cell r="AB104">
            <v>0</v>
          </cell>
          <cell r="AK104">
            <v>0</v>
          </cell>
          <cell r="AT104">
            <v>0</v>
          </cell>
          <cell r="BC104">
            <v>0</v>
          </cell>
          <cell r="BL104">
            <v>0</v>
          </cell>
          <cell r="BU104">
            <v>0</v>
          </cell>
          <cell r="CD104">
            <v>0</v>
          </cell>
          <cell r="CM104">
            <v>0</v>
          </cell>
          <cell r="CV104">
            <v>0</v>
          </cell>
          <cell r="DE104">
            <v>0</v>
          </cell>
        </row>
        <row r="105">
          <cell r="J105">
            <v>0</v>
          </cell>
          <cell r="S105">
            <v>0</v>
          </cell>
          <cell r="AB105">
            <v>0</v>
          </cell>
          <cell r="AK105">
            <v>0</v>
          </cell>
          <cell r="AT105">
            <v>0</v>
          </cell>
          <cell r="BC105">
            <v>0</v>
          </cell>
          <cell r="BL105">
            <v>0</v>
          </cell>
          <cell r="BU105">
            <v>0</v>
          </cell>
          <cell r="CD105">
            <v>0</v>
          </cell>
          <cell r="CM105">
            <v>0</v>
          </cell>
          <cell r="CV105">
            <v>0</v>
          </cell>
          <cell r="DE105">
            <v>0</v>
          </cell>
        </row>
        <row r="106">
          <cell r="J106">
            <v>0</v>
          </cell>
          <cell r="S106">
            <v>0</v>
          </cell>
          <cell r="AB106">
            <v>0</v>
          </cell>
          <cell r="AK106">
            <v>0</v>
          </cell>
          <cell r="AT106">
            <v>0</v>
          </cell>
          <cell r="BC106">
            <v>0</v>
          </cell>
          <cell r="BL106">
            <v>0</v>
          </cell>
          <cell r="BU106">
            <v>0</v>
          </cell>
          <cell r="CD106">
            <v>0</v>
          </cell>
          <cell r="CM106">
            <v>0</v>
          </cell>
          <cell r="CV106">
            <v>0</v>
          </cell>
          <cell r="DE106">
            <v>0</v>
          </cell>
        </row>
        <row r="107">
          <cell r="J107">
            <v>0.84</v>
          </cell>
          <cell r="S107">
            <v>0</v>
          </cell>
          <cell r="AB107">
            <v>0</v>
          </cell>
          <cell r="AK107">
            <v>0</v>
          </cell>
          <cell r="AT107">
            <v>0</v>
          </cell>
          <cell r="BC107">
            <v>0</v>
          </cell>
          <cell r="BL107">
            <v>0</v>
          </cell>
          <cell r="BU107">
            <v>0</v>
          </cell>
          <cell r="CD107">
            <v>0</v>
          </cell>
          <cell r="CM107">
            <v>0</v>
          </cell>
          <cell r="CV107">
            <v>0</v>
          </cell>
          <cell r="DE107">
            <v>0</v>
          </cell>
        </row>
        <row r="108">
          <cell r="J108">
            <v>0</v>
          </cell>
          <cell r="S108">
            <v>0</v>
          </cell>
          <cell r="AB108">
            <v>0</v>
          </cell>
          <cell r="AK108">
            <v>0</v>
          </cell>
          <cell r="AT108">
            <v>0</v>
          </cell>
          <cell r="BC108">
            <v>0</v>
          </cell>
          <cell r="BL108">
            <v>0</v>
          </cell>
          <cell r="BU108">
            <v>0</v>
          </cell>
          <cell r="CD108">
            <v>0</v>
          </cell>
          <cell r="CM108">
            <v>0</v>
          </cell>
          <cell r="CV108">
            <v>0</v>
          </cell>
          <cell r="DE108">
            <v>0</v>
          </cell>
        </row>
        <row r="109">
          <cell r="J109">
            <v>0</v>
          </cell>
          <cell r="S109">
            <v>0</v>
          </cell>
          <cell r="AB109">
            <v>0</v>
          </cell>
          <cell r="AK109">
            <v>0</v>
          </cell>
          <cell r="AT109">
            <v>0</v>
          </cell>
          <cell r="BC109">
            <v>0</v>
          </cell>
          <cell r="BL109">
            <v>0</v>
          </cell>
          <cell r="BU109">
            <v>0</v>
          </cell>
          <cell r="CD109">
            <v>0</v>
          </cell>
          <cell r="CM109">
            <v>0</v>
          </cell>
          <cell r="CV109">
            <v>0</v>
          </cell>
          <cell r="DE109">
            <v>0</v>
          </cell>
        </row>
        <row r="110">
          <cell r="J110">
            <v>0</v>
          </cell>
          <cell r="S110">
            <v>0</v>
          </cell>
          <cell r="AB110">
            <v>0</v>
          </cell>
          <cell r="AK110">
            <v>0</v>
          </cell>
          <cell r="AT110">
            <v>0</v>
          </cell>
          <cell r="BC110">
            <v>0</v>
          </cell>
          <cell r="BL110">
            <v>0</v>
          </cell>
          <cell r="BU110">
            <v>0</v>
          </cell>
          <cell r="CD110">
            <v>0</v>
          </cell>
          <cell r="CM110">
            <v>0</v>
          </cell>
          <cell r="CV110">
            <v>0</v>
          </cell>
          <cell r="DE110">
            <v>0</v>
          </cell>
        </row>
        <row r="111">
          <cell r="J111">
            <v>0</v>
          </cell>
          <cell r="S111">
            <v>0</v>
          </cell>
          <cell r="AB111">
            <v>0</v>
          </cell>
          <cell r="AK111">
            <v>0</v>
          </cell>
          <cell r="AT111">
            <v>0</v>
          </cell>
          <cell r="BC111">
            <v>0</v>
          </cell>
          <cell r="BL111">
            <v>0</v>
          </cell>
          <cell r="BU111">
            <v>0</v>
          </cell>
          <cell r="CD111">
            <v>0</v>
          </cell>
          <cell r="CM111">
            <v>0</v>
          </cell>
          <cell r="CV111">
            <v>0</v>
          </cell>
          <cell r="DE111">
            <v>0</v>
          </cell>
        </row>
        <row r="112">
          <cell r="J112">
            <v>0</v>
          </cell>
          <cell r="S112">
            <v>0</v>
          </cell>
          <cell r="AB112">
            <v>0</v>
          </cell>
          <cell r="AK112">
            <v>0</v>
          </cell>
          <cell r="AT112">
            <v>0</v>
          </cell>
          <cell r="BC112">
            <v>0</v>
          </cell>
          <cell r="BL112">
            <v>0</v>
          </cell>
          <cell r="BU112">
            <v>0</v>
          </cell>
          <cell r="CD112">
            <v>0</v>
          </cell>
          <cell r="CM112">
            <v>0</v>
          </cell>
          <cell r="CV112">
            <v>0</v>
          </cell>
          <cell r="DE112">
            <v>0</v>
          </cell>
        </row>
        <row r="113">
          <cell r="J113">
            <v>6.62</v>
          </cell>
          <cell r="S113">
            <v>0</v>
          </cell>
          <cell r="AB113">
            <v>0</v>
          </cell>
          <cell r="AK113">
            <v>0</v>
          </cell>
          <cell r="AT113">
            <v>0</v>
          </cell>
          <cell r="BC113">
            <v>0</v>
          </cell>
          <cell r="BL113">
            <v>0</v>
          </cell>
          <cell r="BU113">
            <v>0</v>
          </cell>
          <cell r="CD113">
            <v>0</v>
          </cell>
          <cell r="CM113">
            <v>0</v>
          </cell>
          <cell r="CV113">
            <v>0</v>
          </cell>
          <cell r="DE113">
            <v>0</v>
          </cell>
        </row>
        <row r="114">
          <cell r="J114">
            <v>8.26</v>
          </cell>
          <cell r="S114">
            <v>0</v>
          </cell>
          <cell r="AB114">
            <v>0</v>
          </cell>
          <cell r="AK114">
            <v>0</v>
          </cell>
          <cell r="AT114">
            <v>0</v>
          </cell>
          <cell r="BC114">
            <v>0</v>
          </cell>
          <cell r="BL114">
            <v>0</v>
          </cell>
          <cell r="BU114">
            <v>0</v>
          </cell>
          <cell r="CD114">
            <v>0</v>
          </cell>
          <cell r="CM114">
            <v>0</v>
          </cell>
          <cell r="CV114">
            <v>0</v>
          </cell>
          <cell r="DE114">
            <v>0</v>
          </cell>
        </row>
        <row r="115">
          <cell r="J115">
            <v>35.17</v>
          </cell>
          <cell r="S115">
            <v>0</v>
          </cell>
          <cell r="AB115">
            <v>0</v>
          </cell>
          <cell r="AK115">
            <v>0</v>
          </cell>
          <cell r="AT115">
            <v>0</v>
          </cell>
          <cell r="BC115">
            <v>0</v>
          </cell>
          <cell r="BL115">
            <v>0</v>
          </cell>
          <cell r="BU115">
            <v>0</v>
          </cell>
          <cell r="CD115">
            <v>0</v>
          </cell>
          <cell r="CM115">
            <v>0</v>
          </cell>
          <cell r="CV115">
            <v>0</v>
          </cell>
          <cell r="DE115">
            <v>0</v>
          </cell>
        </row>
        <row r="116">
          <cell r="J116">
            <v>0</v>
          </cell>
          <cell r="S116">
            <v>0</v>
          </cell>
          <cell r="AB116">
            <v>0</v>
          </cell>
          <cell r="AK116">
            <v>0</v>
          </cell>
          <cell r="AT116">
            <v>0</v>
          </cell>
          <cell r="BC116">
            <v>0</v>
          </cell>
          <cell r="BL116">
            <v>0</v>
          </cell>
          <cell r="BU116">
            <v>0</v>
          </cell>
          <cell r="CD116">
            <v>0</v>
          </cell>
          <cell r="CM116">
            <v>0</v>
          </cell>
          <cell r="CV116">
            <v>0</v>
          </cell>
          <cell r="DE116">
            <v>0</v>
          </cell>
        </row>
        <row r="117">
          <cell r="J117">
            <v>0</v>
          </cell>
          <cell r="S117">
            <v>0</v>
          </cell>
          <cell r="AB117">
            <v>0</v>
          </cell>
          <cell r="AK117">
            <v>0</v>
          </cell>
          <cell r="AT117">
            <v>0</v>
          </cell>
          <cell r="BC117">
            <v>0</v>
          </cell>
          <cell r="BL117">
            <v>0</v>
          </cell>
          <cell r="BU117">
            <v>0</v>
          </cell>
          <cell r="CD117">
            <v>0</v>
          </cell>
          <cell r="CM117">
            <v>0</v>
          </cell>
          <cell r="CV117">
            <v>0</v>
          </cell>
          <cell r="DE117">
            <v>0</v>
          </cell>
        </row>
        <row r="118">
          <cell r="J118">
            <v>0</v>
          </cell>
          <cell r="S118">
            <v>0</v>
          </cell>
          <cell r="AB118">
            <v>0</v>
          </cell>
          <cell r="AK118">
            <v>0</v>
          </cell>
          <cell r="AT118">
            <v>0</v>
          </cell>
          <cell r="BC118">
            <v>0</v>
          </cell>
          <cell r="BL118">
            <v>0</v>
          </cell>
          <cell r="BU118">
            <v>0</v>
          </cell>
          <cell r="CD118">
            <v>0</v>
          </cell>
          <cell r="CM118">
            <v>0</v>
          </cell>
          <cell r="CV118">
            <v>0</v>
          </cell>
          <cell r="DE118">
            <v>0</v>
          </cell>
        </row>
        <row r="119">
          <cell r="J119">
            <v>0</v>
          </cell>
          <cell r="S119">
            <v>0</v>
          </cell>
          <cell r="AB119">
            <v>0</v>
          </cell>
          <cell r="AK119">
            <v>0</v>
          </cell>
          <cell r="AT119">
            <v>0</v>
          </cell>
          <cell r="BC119">
            <v>0</v>
          </cell>
          <cell r="BL119">
            <v>0</v>
          </cell>
          <cell r="BU119">
            <v>0</v>
          </cell>
          <cell r="CD119">
            <v>0</v>
          </cell>
          <cell r="CM119">
            <v>0</v>
          </cell>
          <cell r="CV119">
            <v>0</v>
          </cell>
          <cell r="DE119">
            <v>0</v>
          </cell>
        </row>
        <row r="120">
          <cell r="J120">
            <v>0</v>
          </cell>
          <cell r="S120">
            <v>0</v>
          </cell>
          <cell r="AB120">
            <v>0</v>
          </cell>
          <cell r="AK120">
            <v>0</v>
          </cell>
          <cell r="AT120">
            <v>0</v>
          </cell>
          <cell r="BC120">
            <v>0</v>
          </cell>
          <cell r="BL120">
            <v>0</v>
          </cell>
          <cell r="BU120">
            <v>0</v>
          </cell>
          <cell r="CD120">
            <v>0</v>
          </cell>
          <cell r="CM120">
            <v>0</v>
          </cell>
          <cell r="CV120">
            <v>0</v>
          </cell>
          <cell r="DE120">
            <v>0</v>
          </cell>
        </row>
        <row r="121">
          <cell r="J121">
            <v>0</v>
          </cell>
          <cell r="S121">
            <v>0</v>
          </cell>
          <cell r="AB121">
            <v>0</v>
          </cell>
          <cell r="AK121">
            <v>0</v>
          </cell>
          <cell r="AT121">
            <v>0</v>
          </cell>
          <cell r="BC121">
            <v>0</v>
          </cell>
          <cell r="BL121">
            <v>0</v>
          </cell>
          <cell r="BU121">
            <v>0</v>
          </cell>
          <cell r="CD121">
            <v>0</v>
          </cell>
          <cell r="CM121">
            <v>0</v>
          </cell>
          <cell r="CV121">
            <v>0</v>
          </cell>
          <cell r="DE121">
            <v>0</v>
          </cell>
        </row>
        <row r="122">
          <cell r="J122">
            <v>0</v>
          </cell>
          <cell r="S122">
            <v>0</v>
          </cell>
          <cell r="AB122">
            <v>0</v>
          </cell>
          <cell r="AK122">
            <v>0</v>
          </cell>
          <cell r="AT122">
            <v>0</v>
          </cell>
          <cell r="BC122">
            <v>0</v>
          </cell>
          <cell r="BL122">
            <v>0</v>
          </cell>
          <cell r="BU122">
            <v>0</v>
          </cell>
          <cell r="CD122">
            <v>0</v>
          </cell>
          <cell r="CM122">
            <v>0</v>
          </cell>
          <cell r="CV122">
            <v>0</v>
          </cell>
          <cell r="DE122">
            <v>0</v>
          </cell>
        </row>
        <row r="123">
          <cell r="J123">
            <v>0</v>
          </cell>
          <cell r="S123">
            <v>0</v>
          </cell>
          <cell r="AB123">
            <v>0</v>
          </cell>
          <cell r="AK123">
            <v>0</v>
          </cell>
          <cell r="AT123">
            <v>0</v>
          </cell>
          <cell r="BC123">
            <v>0</v>
          </cell>
          <cell r="BL123">
            <v>0</v>
          </cell>
          <cell r="BU123">
            <v>0</v>
          </cell>
          <cell r="CD123">
            <v>0</v>
          </cell>
          <cell r="CM123">
            <v>0</v>
          </cell>
          <cell r="CV123">
            <v>0</v>
          </cell>
          <cell r="DE123">
            <v>0</v>
          </cell>
        </row>
        <row r="124">
          <cell r="J124">
            <v>0</v>
          </cell>
          <cell r="S124">
            <v>0</v>
          </cell>
          <cell r="AB124">
            <v>0</v>
          </cell>
          <cell r="AK124">
            <v>0</v>
          </cell>
          <cell r="AT124">
            <v>0</v>
          </cell>
          <cell r="BC124">
            <v>0</v>
          </cell>
          <cell r="BL124">
            <v>0</v>
          </cell>
          <cell r="BU124">
            <v>0</v>
          </cell>
          <cell r="CD124">
            <v>0</v>
          </cell>
          <cell r="CM124">
            <v>0</v>
          </cell>
          <cell r="CV124">
            <v>0</v>
          </cell>
          <cell r="DE124">
            <v>0</v>
          </cell>
        </row>
        <row r="125">
          <cell r="J125">
            <v>0</v>
          </cell>
          <cell r="S125">
            <v>0</v>
          </cell>
          <cell r="AB125">
            <v>0</v>
          </cell>
          <cell r="AK125">
            <v>0</v>
          </cell>
          <cell r="AT125">
            <v>0</v>
          </cell>
          <cell r="BC125">
            <v>0</v>
          </cell>
          <cell r="BL125">
            <v>0</v>
          </cell>
          <cell r="BU125">
            <v>0</v>
          </cell>
          <cell r="CD125">
            <v>0</v>
          </cell>
          <cell r="CM125">
            <v>0</v>
          </cell>
          <cell r="CV125">
            <v>0</v>
          </cell>
          <cell r="DE125">
            <v>0</v>
          </cell>
        </row>
        <row r="126">
          <cell r="J126">
            <v>0</v>
          </cell>
          <cell r="S126">
            <v>0</v>
          </cell>
          <cell r="AB126">
            <v>0</v>
          </cell>
          <cell r="AK126">
            <v>0</v>
          </cell>
          <cell r="AT126">
            <v>0</v>
          </cell>
          <cell r="BC126">
            <v>0</v>
          </cell>
          <cell r="BL126">
            <v>0</v>
          </cell>
          <cell r="BU126">
            <v>0</v>
          </cell>
          <cell r="CD126">
            <v>0</v>
          </cell>
          <cell r="CM126">
            <v>0</v>
          </cell>
          <cell r="CV126">
            <v>0</v>
          </cell>
          <cell r="DE126">
            <v>0</v>
          </cell>
        </row>
        <row r="127">
          <cell r="J127">
            <v>0</v>
          </cell>
          <cell r="S127">
            <v>0</v>
          </cell>
          <cell r="AB127">
            <v>0</v>
          </cell>
          <cell r="AK127">
            <v>0</v>
          </cell>
          <cell r="AT127">
            <v>0</v>
          </cell>
          <cell r="BC127">
            <v>0</v>
          </cell>
          <cell r="BL127">
            <v>0</v>
          </cell>
          <cell r="BU127">
            <v>0</v>
          </cell>
          <cell r="CD127">
            <v>0</v>
          </cell>
          <cell r="CM127">
            <v>0</v>
          </cell>
          <cell r="CV127">
            <v>0</v>
          </cell>
          <cell r="DE127">
            <v>0</v>
          </cell>
        </row>
        <row r="128">
          <cell r="J128">
            <v>0</v>
          </cell>
          <cell r="S128">
            <v>0</v>
          </cell>
          <cell r="AB128">
            <v>0</v>
          </cell>
          <cell r="AK128">
            <v>0</v>
          </cell>
          <cell r="AT128">
            <v>0</v>
          </cell>
          <cell r="BC128">
            <v>0</v>
          </cell>
          <cell r="BL128">
            <v>0</v>
          </cell>
          <cell r="BU128">
            <v>0</v>
          </cell>
          <cell r="CD128">
            <v>0</v>
          </cell>
          <cell r="CM128">
            <v>0</v>
          </cell>
          <cell r="CV128">
            <v>0</v>
          </cell>
          <cell r="DE128">
            <v>0</v>
          </cell>
        </row>
        <row r="129">
          <cell r="J129">
            <v>0</v>
          </cell>
          <cell r="S129">
            <v>0</v>
          </cell>
          <cell r="AB129">
            <v>0</v>
          </cell>
          <cell r="AK129">
            <v>0</v>
          </cell>
          <cell r="AT129">
            <v>0</v>
          </cell>
          <cell r="BC129">
            <v>0</v>
          </cell>
          <cell r="BL129">
            <v>0</v>
          </cell>
          <cell r="BU129">
            <v>0</v>
          </cell>
          <cell r="CD129">
            <v>0</v>
          </cell>
          <cell r="CM129">
            <v>0</v>
          </cell>
          <cell r="CV129">
            <v>0</v>
          </cell>
          <cell r="DE129">
            <v>0</v>
          </cell>
        </row>
        <row r="130">
          <cell r="J130">
            <v>0</v>
          </cell>
          <cell r="S130">
            <v>0</v>
          </cell>
          <cell r="AB130">
            <v>0</v>
          </cell>
          <cell r="AK130">
            <v>0</v>
          </cell>
          <cell r="AT130">
            <v>0</v>
          </cell>
          <cell r="BC130">
            <v>0</v>
          </cell>
          <cell r="BL130">
            <v>0</v>
          </cell>
          <cell r="BU130">
            <v>0</v>
          </cell>
          <cell r="CD130">
            <v>0</v>
          </cell>
          <cell r="CM130">
            <v>0</v>
          </cell>
          <cell r="CV130">
            <v>0</v>
          </cell>
          <cell r="DE130">
            <v>0</v>
          </cell>
        </row>
        <row r="131">
          <cell r="J131">
            <v>0</v>
          </cell>
          <cell r="S131">
            <v>0</v>
          </cell>
          <cell r="AB131">
            <v>0</v>
          </cell>
          <cell r="AK131">
            <v>0</v>
          </cell>
          <cell r="AT131">
            <v>0</v>
          </cell>
          <cell r="BC131">
            <v>0</v>
          </cell>
          <cell r="BL131">
            <v>0</v>
          </cell>
          <cell r="BU131">
            <v>0</v>
          </cell>
          <cell r="CD131">
            <v>0</v>
          </cell>
          <cell r="CM131">
            <v>0</v>
          </cell>
          <cell r="CV131">
            <v>0</v>
          </cell>
          <cell r="DE131">
            <v>0</v>
          </cell>
        </row>
        <row r="132">
          <cell r="J132">
            <v>0</v>
          </cell>
          <cell r="S132">
            <v>0</v>
          </cell>
          <cell r="AB132">
            <v>0</v>
          </cell>
          <cell r="AK132">
            <v>0</v>
          </cell>
          <cell r="AT132">
            <v>0</v>
          </cell>
          <cell r="BC132">
            <v>0</v>
          </cell>
          <cell r="BL132">
            <v>0</v>
          </cell>
          <cell r="BU132">
            <v>0</v>
          </cell>
          <cell r="CD132">
            <v>0</v>
          </cell>
          <cell r="CM132">
            <v>0</v>
          </cell>
          <cell r="CV132">
            <v>0</v>
          </cell>
          <cell r="DE132">
            <v>0</v>
          </cell>
        </row>
        <row r="133">
          <cell r="J133">
            <v>0</v>
          </cell>
          <cell r="S133">
            <v>0</v>
          </cell>
          <cell r="AB133">
            <v>0</v>
          </cell>
          <cell r="AK133">
            <v>0</v>
          </cell>
          <cell r="AT133">
            <v>0</v>
          </cell>
          <cell r="BC133">
            <v>0</v>
          </cell>
          <cell r="BL133">
            <v>0</v>
          </cell>
          <cell r="BU133">
            <v>0</v>
          </cell>
          <cell r="CD133">
            <v>0</v>
          </cell>
          <cell r="CM133">
            <v>0</v>
          </cell>
          <cell r="CV133">
            <v>0</v>
          </cell>
          <cell r="DE133">
            <v>0</v>
          </cell>
        </row>
        <row r="134">
          <cell r="J134">
            <v>0</v>
          </cell>
          <cell r="S134">
            <v>0</v>
          </cell>
          <cell r="AB134">
            <v>0</v>
          </cell>
          <cell r="AK134">
            <v>0</v>
          </cell>
          <cell r="AT134">
            <v>0</v>
          </cell>
          <cell r="BC134">
            <v>0</v>
          </cell>
          <cell r="BL134">
            <v>0</v>
          </cell>
          <cell r="BU134">
            <v>0</v>
          </cell>
          <cell r="CD134">
            <v>0</v>
          </cell>
          <cell r="CM134">
            <v>0</v>
          </cell>
          <cell r="CV134">
            <v>0</v>
          </cell>
          <cell r="DE134">
            <v>0</v>
          </cell>
        </row>
        <row r="135">
          <cell r="J135">
            <v>275.14</v>
          </cell>
          <cell r="S135">
            <v>0</v>
          </cell>
          <cell r="AB135">
            <v>0</v>
          </cell>
          <cell r="AK135">
            <v>0</v>
          </cell>
          <cell r="AT135">
            <v>0</v>
          </cell>
          <cell r="BC135">
            <v>0</v>
          </cell>
          <cell r="BL135">
            <v>0</v>
          </cell>
          <cell r="BU135">
            <v>0</v>
          </cell>
          <cell r="CD135">
            <v>0</v>
          </cell>
          <cell r="CM135">
            <v>0</v>
          </cell>
          <cell r="CV135">
            <v>0</v>
          </cell>
          <cell r="DE135">
            <v>0</v>
          </cell>
        </row>
        <row r="136">
          <cell r="J136">
            <v>720.07999999999981</v>
          </cell>
          <cell r="S136">
            <v>0</v>
          </cell>
          <cell r="AB136">
            <v>0</v>
          </cell>
          <cell r="AK136">
            <v>0</v>
          </cell>
          <cell r="AT136">
            <v>0</v>
          </cell>
          <cell r="BC136">
            <v>0</v>
          </cell>
          <cell r="BL136">
            <v>0</v>
          </cell>
          <cell r="BU136">
            <v>0</v>
          </cell>
          <cell r="CD136">
            <v>0</v>
          </cell>
          <cell r="CM136">
            <v>0</v>
          </cell>
          <cell r="CV136">
            <v>0</v>
          </cell>
          <cell r="DE136">
            <v>0</v>
          </cell>
        </row>
        <row r="137">
          <cell r="J137">
            <v>0.18313745736804754</v>
          </cell>
          <cell r="S137">
            <v>0</v>
          </cell>
          <cell r="AB137">
            <v>0</v>
          </cell>
          <cell r="AK137">
            <v>0</v>
          </cell>
          <cell r="AT137">
            <v>0</v>
          </cell>
          <cell r="BC137">
            <v>0</v>
          </cell>
          <cell r="BL137">
            <v>0</v>
          </cell>
          <cell r="BU137">
            <v>0</v>
          </cell>
          <cell r="CD137">
            <v>0</v>
          </cell>
          <cell r="CM137">
            <v>0</v>
          </cell>
          <cell r="CV137">
            <v>0</v>
          </cell>
          <cell r="DE137">
            <v>0</v>
          </cell>
        </row>
      </sheetData>
      <sheetData sheetId="15" refreshError="1">
        <row r="12">
          <cell r="H12">
            <v>961.87</v>
          </cell>
          <cell r="O12">
            <v>0</v>
          </cell>
          <cell r="V12">
            <v>0</v>
          </cell>
          <cell r="AC12">
            <v>0</v>
          </cell>
          <cell r="AJ12">
            <v>0</v>
          </cell>
          <cell r="AQ12">
            <v>0</v>
          </cell>
          <cell r="AX12">
            <v>0</v>
          </cell>
          <cell r="BE12">
            <v>0</v>
          </cell>
          <cell r="BL12">
            <v>0</v>
          </cell>
          <cell r="BS12">
            <v>0</v>
          </cell>
          <cell r="BZ12">
            <v>0</v>
          </cell>
          <cell r="CG12">
            <v>0</v>
          </cell>
        </row>
        <row r="13">
          <cell r="H13">
            <v>0</v>
          </cell>
          <cell r="O13">
            <v>0</v>
          </cell>
          <cell r="V13">
            <v>0</v>
          </cell>
          <cell r="AC13">
            <v>0</v>
          </cell>
          <cell r="AJ13">
            <v>0</v>
          </cell>
          <cell r="AQ13">
            <v>0</v>
          </cell>
          <cell r="AX13">
            <v>0</v>
          </cell>
          <cell r="BE13">
            <v>0</v>
          </cell>
          <cell r="BL13">
            <v>0</v>
          </cell>
          <cell r="BS13">
            <v>0</v>
          </cell>
          <cell r="BZ13">
            <v>0</v>
          </cell>
          <cell r="CG13">
            <v>0</v>
          </cell>
        </row>
        <row r="14">
          <cell r="H14">
            <v>14.78</v>
          </cell>
          <cell r="O14">
            <v>0</v>
          </cell>
          <cell r="V14">
            <v>0</v>
          </cell>
          <cell r="AC14">
            <v>0</v>
          </cell>
          <cell r="AJ14">
            <v>0</v>
          </cell>
          <cell r="AQ14">
            <v>0</v>
          </cell>
          <cell r="AX14">
            <v>0</v>
          </cell>
          <cell r="BE14">
            <v>0</v>
          </cell>
          <cell r="BL14">
            <v>0</v>
          </cell>
          <cell r="BS14">
            <v>0</v>
          </cell>
          <cell r="BZ14">
            <v>0</v>
          </cell>
          <cell r="CG14">
            <v>0</v>
          </cell>
        </row>
        <row r="15">
          <cell r="H15">
            <v>209.87</v>
          </cell>
          <cell r="O15">
            <v>0</v>
          </cell>
          <cell r="V15">
            <v>0</v>
          </cell>
          <cell r="AC15">
            <v>0</v>
          </cell>
          <cell r="AJ15">
            <v>0</v>
          </cell>
          <cell r="AQ15">
            <v>0</v>
          </cell>
          <cell r="AX15">
            <v>0</v>
          </cell>
          <cell r="BE15">
            <v>0</v>
          </cell>
          <cell r="BL15">
            <v>0</v>
          </cell>
          <cell r="BS15">
            <v>0</v>
          </cell>
          <cell r="BZ15">
            <v>0</v>
          </cell>
          <cell r="CG15">
            <v>0</v>
          </cell>
        </row>
        <row r="16">
          <cell r="H16">
            <v>1186.52</v>
          </cell>
          <cell r="O16">
            <v>0</v>
          </cell>
          <cell r="V16">
            <v>0</v>
          </cell>
          <cell r="AC16">
            <v>0</v>
          </cell>
          <cell r="AJ16">
            <v>0</v>
          </cell>
          <cell r="AQ16">
            <v>0</v>
          </cell>
          <cell r="AX16">
            <v>0</v>
          </cell>
          <cell r="BE16">
            <v>0</v>
          </cell>
          <cell r="BL16">
            <v>0</v>
          </cell>
          <cell r="BS16">
            <v>0</v>
          </cell>
          <cell r="BZ16">
            <v>0</v>
          </cell>
          <cell r="CG16">
            <v>0</v>
          </cell>
        </row>
        <row r="17">
          <cell r="H17">
            <v>0</v>
          </cell>
          <cell r="O17">
            <v>0</v>
          </cell>
          <cell r="V17">
            <v>0</v>
          </cell>
          <cell r="AC17">
            <v>0</v>
          </cell>
          <cell r="AJ17">
            <v>0</v>
          </cell>
          <cell r="AQ17">
            <v>0</v>
          </cell>
          <cell r="AX17">
            <v>0</v>
          </cell>
          <cell r="BE17">
            <v>0</v>
          </cell>
          <cell r="BL17">
            <v>0</v>
          </cell>
          <cell r="BS17">
            <v>0</v>
          </cell>
          <cell r="BZ17">
            <v>0</v>
          </cell>
          <cell r="CG17">
            <v>0</v>
          </cell>
        </row>
        <row r="18">
          <cell r="H18">
            <v>0</v>
          </cell>
          <cell r="O18">
            <v>0</v>
          </cell>
          <cell r="V18">
            <v>0</v>
          </cell>
          <cell r="AC18">
            <v>0</v>
          </cell>
          <cell r="AJ18">
            <v>0</v>
          </cell>
          <cell r="AQ18">
            <v>0</v>
          </cell>
          <cell r="AX18">
            <v>0</v>
          </cell>
          <cell r="BE18">
            <v>0</v>
          </cell>
          <cell r="BL18">
            <v>0</v>
          </cell>
          <cell r="BS18">
            <v>0</v>
          </cell>
          <cell r="BZ18">
            <v>0</v>
          </cell>
          <cell r="CG18">
            <v>0</v>
          </cell>
        </row>
        <row r="19">
          <cell r="H19">
            <v>0</v>
          </cell>
          <cell r="O19">
            <v>0</v>
          </cell>
          <cell r="V19">
            <v>0</v>
          </cell>
          <cell r="AC19">
            <v>0</v>
          </cell>
          <cell r="AJ19">
            <v>0</v>
          </cell>
          <cell r="AQ19">
            <v>0</v>
          </cell>
          <cell r="AX19">
            <v>0</v>
          </cell>
          <cell r="BE19">
            <v>0</v>
          </cell>
          <cell r="BL19">
            <v>0</v>
          </cell>
          <cell r="BS19">
            <v>0</v>
          </cell>
          <cell r="BZ19">
            <v>0</v>
          </cell>
          <cell r="CG19">
            <v>0</v>
          </cell>
        </row>
        <row r="20">
          <cell r="H20">
            <v>0</v>
          </cell>
          <cell r="O20">
            <v>0</v>
          </cell>
          <cell r="V20">
            <v>0</v>
          </cell>
          <cell r="AC20">
            <v>0</v>
          </cell>
          <cell r="AJ20">
            <v>0</v>
          </cell>
          <cell r="AQ20">
            <v>0</v>
          </cell>
          <cell r="AX20">
            <v>0</v>
          </cell>
          <cell r="BE20">
            <v>0</v>
          </cell>
          <cell r="BL20">
            <v>0</v>
          </cell>
          <cell r="BS20">
            <v>0</v>
          </cell>
          <cell r="BZ20">
            <v>0</v>
          </cell>
          <cell r="CG20">
            <v>0</v>
          </cell>
        </row>
        <row r="21">
          <cell r="H21">
            <v>1186.52</v>
          </cell>
          <cell r="O21">
            <v>0</v>
          </cell>
          <cell r="V21">
            <v>0</v>
          </cell>
          <cell r="AC21">
            <v>0</v>
          </cell>
          <cell r="AJ21">
            <v>0</v>
          </cell>
          <cell r="AQ21">
            <v>0</v>
          </cell>
          <cell r="AX21">
            <v>0</v>
          </cell>
          <cell r="BE21">
            <v>0</v>
          </cell>
          <cell r="BL21">
            <v>0</v>
          </cell>
          <cell r="BS21">
            <v>0</v>
          </cell>
          <cell r="BZ21">
            <v>0</v>
          </cell>
          <cell r="CG21">
            <v>0</v>
          </cell>
        </row>
        <row r="22">
          <cell r="H22">
            <v>-311.21000000000004</v>
          </cell>
          <cell r="O22">
            <v>0</v>
          </cell>
          <cell r="V22">
            <v>0</v>
          </cell>
          <cell r="AC22">
            <v>0</v>
          </cell>
          <cell r="AJ22">
            <v>0</v>
          </cell>
          <cell r="AQ22">
            <v>0</v>
          </cell>
          <cell r="AX22">
            <v>0</v>
          </cell>
          <cell r="BE22">
            <v>0</v>
          </cell>
          <cell r="BL22">
            <v>0</v>
          </cell>
          <cell r="BS22">
            <v>0</v>
          </cell>
          <cell r="BZ22">
            <v>0</v>
          </cell>
          <cell r="CG22">
            <v>0</v>
          </cell>
        </row>
        <row r="23">
          <cell r="H23">
            <v>0</v>
          </cell>
          <cell r="O23">
            <v>0</v>
          </cell>
          <cell r="V23">
            <v>0</v>
          </cell>
          <cell r="AC23">
            <v>0</v>
          </cell>
          <cell r="AJ23">
            <v>0</v>
          </cell>
          <cell r="AQ23">
            <v>0</v>
          </cell>
          <cell r="AX23">
            <v>0</v>
          </cell>
          <cell r="BE23">
            <v>0</v>
          </cell>
          <cell r="BL23">
            <v>0</v>
          </cell>
          <cell r="BS23">
            <v>0</v>
          </cell>
          <cell r="BZ23">
            <v>0</v>
          </cell>
          <cell r="CG23">
            <v>0</v>
          </cell>
        </row>
        <row r="24">
          <cell r="H24">
            <v>823.01</v>
          </cell>
          <cell r="O24">
            <v>0</v>
          </cell>
          <cell r="V24">
            <v>0</v>
          </cell>
          <cell r="AC24">
            <v>0</v>
          </cell>
          <cell r="AJ24">
            <v>0</v>
          </cell>
          <cell r="AQ24">
            <v>0</v>
          </cell>
          <cell r="AX24">
            <v>0</v>
          </cell>
          <cell r="BE24">
            <v>0</v>
          </cell>
          <cell r="BL24">
            <v>0</v>
          </cell>
          <cell r="BS24">
            <v>0</v>
          </cell>
          <cell r="BZ24">
            <v>0</v>
          </cell>
          <cell r="CG24">
            <v>0</v>
          </cell>
        </row>
        <row r="25">
          <cell r="H25">
            <v>416.78000000000003</v>
          </cell>
          <cell r="O25">
            <v>0</v>
          </cell>
          <cell r="V25">
            <v>0</v>
          </cell>
          <cell r="AC25">
            <v>0</v>
          </cell>
          <cell r="AJ25">
            <v>0</v>
          </cell>
          <cell r="AQ25">
            <v>0</v>
          </cell>
          <cell r="AX25">
            <v>0</v>
          </cell>
          <cell r="BE25">
            <v>0</v>
          </cell>
          <cell r="BL25">
            <v>0</v>
          </cell>
          <cell r="BS25">
            <v>0</v>
          </cell>
          <cell r="BZ25">
            <v>0</v>
          </cell>
          <cell r="CG25">
            <v>0</v>
          </cell>
        </row>
        <row r="26">
          <cell r="H26">
            <v>0</v>
          </cell>
          <cell r="O26">
            <v>0</v>
          </cell>
          <cell r="V26">
            <v>0</v>
          </cell>
          <cell r="AC26">
            <v>0</v>
          </cell>
          <cell r="AJ26">
            <v>0</v>
          </cell>
          <cell r="AQ26">
            <v>0</v>
          </cell>
          <cell r="AX26">
            <v>0</v>
          </cell>
          <cell r="BE26">
            <v>0</v>
          </cell>
          <cell r="BL26">
            <v>0</v>
          </cell>
          <cell r="BS26">
            <v>0</v>
          </cell>
          <cell r="BZ26">
            <v>0</v>
          </cell>
          <cell r="CG26">
            <v>0</v>
          </cell>
        </row>
        <row r="27">
          <cell r="H27">
            <v>0.15000000000000002</v>
          </cell>
          <cell r="O27">
            <v>0</v>
          </cell>
          <cell r="V27">
            <v>0</v>
          </cell>
          <cell r="AC27">
            <v>0</v>
          </cell>
          <cell r="AJ27">
            <v>0</v>
          </cell>
          <cell r="AQ27">
            <v>0</v>
          </cell>
          <cell r="AX27">
            <v>0</v>
          </cell>
          <cell r="BE27">
            <v>0</v>
          </cell>
          <cell r="BL27">
            <v>0</v>
          </cell>
          <cell r="BS27">
            <v>0</v>
          </cell>
          <cell r="BZ27">
            <v>0</v>
          </cell>
          <cell r="CG27">
            <v>0</v>
          </cell>
        </row>
        <row r="28">
          <cell r="H28">
            <v>928.7299999999999</v>
          </cell>
          <cell r="O28">
            <v>0</v>
          </cell>
          <cell r="V28">
            <v>0</v>
          </cell>
          <cell r="AC28">
            <v>0</v>
          </cell>
          <cell r="AJ28">
            <v>0</v>
          </cell>
          <cell r="AQ28">
            <v>0</v>
          </cell>
          <cell r="AX28">
            <v>0</v>
          </cell>
          <cell r="BE28">
            <v>0</v>
          </cell>
          <cell r="BL28">
            <v>0</v>
          </cell>
          <cell r="BS28">
            <v>0</v>
          </cell>
          <cell r="BZ28">
            <v>0</v>
          </cell>
          <cell r="CG28">
            <v>0</v>
          </cell>
        </row>
        <row r="29">
          <cell r="H29">
            <v>0</v>
          </cell>
          <cell r="O29">
            <v>0</v>
          </cell>
          <cell r="V29">
            <v>0</v>
          </cell>
          <cell r="AC29">
            <v>0</v>
          </cell>
          <cell r="AJ29">
            <v>0</v>
          </cell>
          <cell r="AQ29">
            <v>0</v>
          </cell>
          <cell r="AX29">
            <v>0</v>
          </cell>
          <cell r="BE29">
            <v>0</v>
          </cell>
          <cell r="BL29">
            <v>0</v>
          </cell>
          <cell r="BS29">
            <v>0</v>
          </cell>
          <cell r="BZ29">
            <v>0</v>
          </cell>
          <cell r="CG29">
            <v>0</v>
          </cell>
        </row>
        <row r="30">
          <cell r="H30">
            <v>0.64</v>
          </cell>
          <cell r="O30">
            <v>0</v>
          </cell>
          <cell r="V30">
            <v>0</v>
          </cell>
          <cell r="AC30">
            <v>0</v>
          </cell>
          <cell r="AJ30">
            <v>0</v>
          </cell>
          <cell r="AQ30">
            <v>0</v>
          </cell>
          <cell r="AX30">
            <v>0</v>
          </cell>
          <cell r="BE30">
            <v>0</v>
          </cell>
          <cell r="BL30">
            <v>0</v>
          </cell>
          <cell r="BS30">
            <v>0</v>
          </cell>
          <cell r="BZ30">
            <v>0</v>
          </cell>
          <cell r="CG30">
            <v>0</v>
          </cell>
        </row>
        <row r="31">
          <cell r="H31">
            <v>0</v>
          </cell>
          <cell r="O31">
            <v>0</v>
          </cell>
          <cell r="V31">
            <v>0</v>
          </cell>
          <cell r="AC31">
            <v>0</v>
          </cell>
          <cell r="AJ31">
            <v>0</v>
          </cell>
          <cell r="AQ31">
            <v>0</v>
          </cell>
          <cell r="AX31">
            <v>0</v>
          </cell>
          <cell r="BE31">
            <v>0</v>
          </cell>
          <cell r="BL31">
            <v>0</v>
          </cell>
          <cell r="BS31">
            <v>0</v>
          </cell>
          <cell r="BZ31">
            <v>0</v>
          </cell>
          <cell r="CG31">
            <v>0</v>
          </cell>
        </row>
        <row r="32">
          <cell r="H32">
            <v>0.64</v>
          </cell>
          <cell r="O32">
            <v>0</v>
          </cell>
          <cell r="V32">
            <v>0</v>
          </cell>
          <cell r="AC32">
            <v>0</v>
          </cell>
          <cell r="AJ32">
            <v>0</v>
          </cell>
          <cell r="AQ32">
            <v>0</v>
          </cell>
          <cell r="AX32">
            <v>0</v>
          </cell>
          <cell r="BE32">
            <v>0</v>
          </cell>
          <cell r="BL32">
            <v>0</v>
          </cell>
          <cell r="BS32">
            <v>0</v>
          </cell>
          <cell r="BZ32">
            <v>0</v>
          </cell>
          <cell r="CG32">
            <v>0</v>
          </cell>
        </row>
        <row r="33">
          <cell r="H33">
            <v>929.36999999999989</v>
          </cell>
          <cell r="O33">
            <v>0</v>
          </cell>
          <cell r="V33">
            <v>0</v>
          </cell>
          <cell r="AC33">
            <v>0</v>
          </cell>
          <cell r="AJ33">
            <v>0</v>
          </cell>
          <cell r="AQ33">
            <v>0</v>
          </cell>
          <cell r="AX33">
            <v>0</v>
          </cell>
          <cell r="BE33">
            <v>0</v>
          </cell>
          <cell r="BL33">
            <v>0</v>
          </cell>
          <cell r="BS33">
            <v>0</v>
          </cell>
          <cell r="BZ33">
            <v>0</v>
          </cell>
          <cell r="CG33">
            <v>0</v>
          </cell>
        </row>
        <row r="34">
          <cell r="H34">
            <v>257.15000000000009</v>
          </cell>
          <cell r="O34">
            <v>0</v>
          </cell>
          <cell r="V34">
            <v>0</v>
          </cell>
          <cell r="AC34">
            <v>0</v>
          </cell>
          <cell r="AJ34">
            <v>0</v>
          </cell>
          <cell r="AQ34">
            <v>0</v>
          </cell>
          <cell r="AX34">
            <v>0</v>
          </cell>
          <cell r="BE34">
            <v>0</v>
          </cell>
          <cell r="BL34">
            <v>0</v>
          </cell>
          <cell r="BS34">
            <v>0</v>
          </cell>
          <cell r="BZ34">
            <v>0</v>
          </cell>
          <cell r="CG34">
            <v>0</v>
          </cell>
        </row>
        <row r="35">
          <cell r="H35">
            <v>0.21672622458955609</v>
          </cell>
          <cell r="O35">
            <v>0</v>
          </cell>
          <cell r="V35">
            <v>0</v>
          </cell>
          <cell r="AC35">
            <v>0</v>
          </cell>
          <cell r="AJ35">
            <v>0</v>
          </cell>
          <cell r="AQ35">
            <v>0</v>
          </cell>
          <cell r="AX35">
            <v>0</v>
          </cell>
          <cell r="BE35">
            <v>0</v>
          </cell>
          <cell r="BL35">
            <v>0</v>
          </cell>
          <cell r="BS35">
            <v>0</v>
          </cell>
          <cell r="BZ35">
            <v>0</v>
          </cell>
          <cell r="CG35">
            <v>0</v>
          </cell>
        </row>
        <row r="36">
          <cell r="H36">
            <v>38.11</v>
          </cell>
          <cell r="O36">
            <v>0</v>
          </cell>
          <cell r="V36">
            <v>0</v>
          </cell>
          <cell r="AC36">
            <v>0</v>
          </cell>
          <cell r="AJ36">
            <v>0</v>
          </cell>
          <cell r="AQ36">
            <v>0</v>
          </cell>
          <cell r="AX36">
            <v>0</v>
          </cell>
          <cell r="BE36">
            <v>0</v>
          </cell>
          <cell r="BL36">
            <v>0</v>
          </cell>
          <cell r="BS36">
            <v>0</v>
          </cell>
          <cell r="BZ36">
            <v>0</v>
          </cell>
          <cell r="CG36">
            <v>0</v>
          </cell>
        </row>
        <row r="37">
          <cell r="H37">
            <v>0</v>
          </cell>
          <cell r="O37">
            <v>0</v>
          </cell>
          <cell r="V37">
            <v>0</v>
          </cell>
          <cell r="AC37">
            <v>0</v>
          </cell>
          <cell r="AJ37">
            <v>0</v>
          </cell>
          <cell r="AQ37">
            <v>0</v>
          </cell>
          <cell r="AX37">
            <v>0</v>
          </cell>
          <cell r="BE37">
            <v>0</v>
          </cell>
          <cell r="BL37">
            <v>0</v>
          </cell>
          <cell r="BS37">
            <v>0</v>
          </cell>
          <cell r="BZ37">
            <v>0</v>
          </cell>
          <cell r="CG37">
            <v>0</v>
          </cell>
        </row>
        <row r="38">
          <cell r="H38">
            <v>2.46</v>
          </cell>
          <cell r="O38">
            <v>0</v>
          </cell>
          <cell r="V38">
            <v>0</v>
          </cell>
          <cell r="AC38">
            <v>0</v>
          </cell>
          <cell r="AJ38">
            <v>0</v>
          </cell>
          <cell r="AQ38">
            <v>0</v>
          </cell>
          <cell r="AX38">
            <v>0</v>
          </cell>
          <cell r="BE38">
            <v>0</v>
          </cell>
          <cell r="BL38">
            <v>0</v>
          </cell>
          <cell r="BS38">
            <v>0</v>
          </cell>
          <cell r="BZ38">
            <v>0</v>
          </cell>
          <cell r="CG38">
            <v>0</v>
          </cell>
        </row>
        <row r="39">
          <cell r="H39">
            <v>0.25</v>
          </cell>
          <cell r="O39">
            <v>0</v>
          </cell>
          <cell r="V39">
            <v>0</v>
          </cell>
          <cell r="AC39">
            <v>0</v>
          </cell>
          <cell r="AJ39">
            <v>0</v>
          </cell>
          <cell r="AQ39">
            <v>0</v>
          </cell>
          <cell r="AX39">
            <v>0</v>
          </cell>
          <cell r="BE39">
            <v>0</v>
          </cell>
          <cell r="BL39">
            <v>0</v>
          </cell>
          <cell r="BS39">
            <v>0</v>
          </cell>
          <cell r="BZ39">
            <v>0</v>
          </cell>
          <cell r="CG39">
            <v>0</v>
          </cell>
        </row>
        <row r="40">
          <cell r="H40">
            <v>4.6099999999999994</v>
          </cell>
          <cell r="O40">
            <v>0</v>
          </cell>
          <cell r="V40">
            <v>0</v>
          </cell>
          <cell r="AC40">
            <v>0</v>
          </cell>
          <cell r="AJ40">
            <v>0</v>
          </cell>
          <cell r="AQ40">
            <v>0</v>
          </cell>
          <cell r="AX40">
            <v>0</v>
          </cell>
          <cell r="BE40">
            <v>0</v>
          </cell>
          <cell r="BL40">
            <v>0</v>
          </cell>
          <cell r="BS40">
            <v>0</v>
          </cell>
          <cell r="BZ40">
            <v>0</v>
          </cell>
          <cell r="CG40">
            <v>0</v>
          </cell>
        </row>
        <row r="41">
          <cell r="H41">
            <v>0</v>
          </cell>
          <cell r="O41">
            <v>0</v>
          </cell>
          <cell r="V41">
            <v>0</v>
          </cell>
          <cell r="AC41">
            <v>0</v>
          </cell>
          <cell r="AJ41">
            <v>0</v>
          </cell>
          <cell r="AQ41">
            <v>0</v>
          </cell>
          <cell r="AX41">
            <v>0</v>
          </cell>
          <cell r="BE41">
            <v>0</v>
          </cell>
          <cell r="BL41">
            <v>0</v>
          </cell>
          <cell r="BS41">
            <v>0</v>
          </cell>
          <cell r="BZ41">
            <v>0</v>
          </cell>
          <cell r="CG41">
            <v>0</v>
          </cell>
        </row>
        <row r="42">
          <cell r="H42">
            <v>0</v>
          </cell>
          <cell r="O42">
            <v>0</v>
          </cell>
          <cell r="V42">
            <v>0</v>
          </cell>
          <cell r="AC42">
            <v>0</v>
          </cell>
          <cell r="AJ42">
            <v>0</v>
          </cell>
          <cell r="AQ42">
            <v>0</v>
          </cell>
          <cell r="AX42">
            <v>0</v>
          </cell>
          <cell r="BE42">
            <v>0</v>
          </cell>
          <cell r="BL42">
            <v>0</v>
          </cell>
          <cell r="BS42">
            <v>0</v>
          </cell>
          <cell r="BZ42">
            <v>0</v>
          </cell>
          <cell r="CG42">
            <v>0</v>
          </cell>
        </row>
        <row r="43">
          <cell r="H43">
            <v>0</v>
          </cell>
          <cell r="O43">
            <v>0</v>
          </cell>
          <cell r="V43">
            <v>0</v>
          </cell>
          <cell r="AC43">
            <v>0</v>
          </cell>
          <cell r="AJ43">
            <v>0</v>
          </cell>
          <cell r="AQ43">
            <v>0</v>
          </cell>
          <cell r="AX43">
            <v>0</v>
          </cell>
          <cell r="BE43">
            <v>0</v>
          </cell>
          <cell r="BL43">
            <v>0</v>
          </cell>
          <cell r="BS43">
            <v>0</v>
          </cell>
          <cell r="BZ43">
            <v>0</v>
          </cell>
          <cell r="CG43">
            <v>0</v>
          </cell>
        </row>
        <row r="44">
          <cell r="H44">
            <v>0.75</v>
          </cell>
          <cell r="O44">
            <v>0</v>
          </cell>
          <cell r="V44">
            <v>0</v>
          </cell>
          <cell r="AC44">
            <v>0</v>
          </cell>
          <cell r="AJ44">
            <v>0</v>
          </cell>
          <cell r="AQ44">
            <v>0</v>
          </cell>
          <cell r="AX44">
            <v>0</v>
          </cell>
          <cell r="BE44">
            <v>0</v>
          </cell>
          <cell r="BL44">
            <v>0</v>
          </cell>
          <cell r="BS44">
            <v>0</v>
          </cell>
          <cell r="BZ44">
            <v>0</v>
          </cell>
          <cell r="CG44">
            <v>0</v>
          </cell>
        </row>
        <row r="45">
          <cell r="H45">
            <v>0</v>
          </cell>
          <cell r="O45">
            <v>0</v>
          </cell>
          <cell r="V45">
            <v>0</v>
          </cell>
          <cell r="AC45">
            <v>0</v>
          </cell>
          <cell r="AJ45">
            <v>0</v>
          </cell>
          <cell r="AQ45">
            <v>0</v>
          </cell>
          <cell r="AX45">
            <v>0</v>
          </cell>
          <cell r="BE45">
            <v>0</v>
          </cell>
          <cell r="BL45">
            <v>0</v>
          </cell>
          <cell r="BS45">
            <v>0</v>
          </cell>
          <cell r="BZ45">
            <v>0</v>
          </cell>
          <cell r="CG45">
            <v>0</v>
          </cell>
        </row>
        <row r="46">
          <cell r="H46">
            <v>0</v>
          </cell>
          <cell r="O46">
            <v>0</v>
          </cell>
          <cell r="V46">
            <v>0</v>
          </cell>
          <cell r="AC46">
            <v>0</v>
          </cell>
          <cell r="AJ46">
            <v>0</v>
          </cell>
          <cell r="AQ46">
            <v>0</v>
          </cell>
          <cell r="AX46">
            <v>0</v>
          </cell>
          <cell r="BE46">
            <v>0</v>
          </cell>
          <cell r="BL46">
            <v>0</v>
          </cell>
          <cell r="BS46">
            <v>0</v>
          </cell>
          <cell r="BZ46">
            <v>0</v>
          </cell>
          <cell r="CG46">
            <v>0</v>
          </cell>
        </row>
        <row r="47">
          <cell r="H47">
            <v>0</v>
          </cell>
          <cell r="O47">
            <v>0</v>
          </cell>
          <cell r="V47">
            <v>0</v>
          </cell>
          <cell r="AC47">
            <v>0</v>
          </cell>
          <cell r="AJ47">
            <v>0</v>
          </cell>
          <cell r="AQ47">
            <v>0</v>
          </cell>
          <cell r="AX47">
            <v>0</v>
          </cell>
          <cell r="BE47">
            <v>0</v>
          </cell>
          <cell r="BL47">
            <v>0</v>
          </cell>
          <cell r="BS47">
            <v>0</v>
          </cell>
          <cell r="BZ47">
            <v>0</v>
          </cell>
          <cell r="CG47">
            <v>0</v>
          </cell>
        </row>
        <row r="48">
          <cell r="H48">
            <v>0</v>
          </cell>
          <cell r="O48">
            <v>0</v>
          </cell>
          <cell r="V48">
            <v>0</v>
          </cell>
          <cell r="AC48">
            <v>0</v>
          </cell>
          <cell r="AJ48">
            <v>0</v>
          </cell>
          <cell r="AQ48">
            <v>0</v>
          </cell>
          <cell r="AX48">
            <v>0</v>
          </cell>
          <cell r="BE48">
            <v>0</v>
          </cell>
          <cell r="BL48">
            <v>0</v>
          </cell>
          <cell r="BS48">
            <v>0</v>
          </cell>
          <cell r="BZ48">
            <v>0</v>
          </cell>
          <cell r="CG48">
            <v>0</v>
          </cell>
        </row>
        <row r="49">
          <cell r="H49">
            <v>0</v>
          </cell>
          <cell r="O49">
            <v>0</v>
          </cell>
          <cell r="V49">
            <v>0</v>
          </cell>
          <cell r="AC49">
            <v>0</v>
          </cell>
          <cell r="AJ49">
            <v>0</v>
          </cell>
          <cell r="AQ49">
            <v>0</v>
          </cell>
          <cell r="AX49">
            <v>0</v>
          </cell>
          <cell r="BE49">
            <v>0</v>
          </cell>
          <cell r="BL49">
            <v>0</v>
          </cell>
          <cell r="BS49">
            <v>0</v>
          </cell>
          <cell r="BZ49">
            <v>0</v>
          </cell>
          <cell r="CG49">
            <v>0</v>
          </cell>
        </row>
        <row r="50">
          <cell r="H50">
            <v>46.18</v>
          </cell>
          <cell r="O50">
            <v>0</v>
          </cell>
          <cell r="V50">
            <v>0</v>
          </cell>
          <cell r="AC50">
            <v>0</v>
          </cell>
          <cell r="AJ50">
            <v>0</v>
          </cell>
          <cell r="AQ50">
            <v>0</v>
          </cell>
          <cell r="AX50">
            <v>0</v>
          </cell>
          <cell r="BE50">
            <v>0</v>
          </cell>
          <cell r="BL50">
            <v>0</v>
          </cell>
          <cell r="BS50">
            <v>0</v>
          </cell>
          <cell r="BZ50">
            <v>0</v>
          </cell>
          <cell r="CG50">
            <v>0</v>
          </cell>
        </row>
        <row r="51">
          <cell r="H51">
            <v>0</v>
          </cell>
          <cell r="O51">
            <v>0</v>
          </cell>
          <cell r="V51">
            <v>0</v>
          </cell>
          <cell r="AC51">
            <v>0</v>
          </cell>
          <cell r="AJ51">
            <v>0</v>
          </cell>
          <cell r="AQ51">
            <v>0</v>
          </cell>
          <cell r="AX51">
            <v>0</v>
          </cell>
          <cell r="BE51">
            <v>0</v>
          </cell>
          <cell r="BL51">
            <v>0</v>
          </cell>
          <cell r="BS51">
            <v>0</v>
          </cell>
          <cell r="BZ51">
            <v>0</v>
          </cell>
          <cell r="CG51">
            <v>0</v>
          </cell>
        </row>
        <row r="52">
          <cell r="H52">
            <v>0</v>
          </cell>
          <cell r="O52">
            <v>0</v>
          </cell>
          <cell r="V52">
            <v>0</v>
          </cell>
          <cell r="AC52">
            <v>0</v>
          </cell>
          <cell r="AJ52">
            <v>0</v>
          </cell>
          <cell r="AQ52">
            <v>0</v>
          </cell>
          <cell r="AX52">
            <v>0</v>
          </cell>
          <cell r="BE52">
            <v>0</v>
          </cell>
          <cell r="BL52">
            <v>0</v>
          </cell>
          <cell r="BS52">
            <v>0</v>
          </cell>
          <cell r="BZ52">
            <v>0</v>
          </cell>
          <cell r="CG52">
            <v>0</v>
          </cell>
        </row>
        <row r="53">
          <cell r="H53">
            <v>0</v>
          </cell>
          <cell r="O53">
            <v>0</v>
          </cell>
          <cell r="V53">
            <v>0</v>
          </cell>
          <cell r="AC53">
            <v>0</v>
          </cell>
          <cell r="AJ53">
            <v>0</v>
          </cell>
          <cell r="AQ53">
            <v>0</v>
          </cell>
          <cell r="AX53">
            <v>0</v>
          </cell>
          <cell r="BE53">
            <v>0</v>
          </cell>
          <cell r="BL53">
            <v>0</v>
          </cell>
          <cell r="BS53">
            <v>0</v>
          </cell>
          <cell r="BZ53">
            <v>0</v>
          </cell>
          <cell r="CG53">
            <v>0</v>
          </cell>
        </row>
        <row r="54">
          <cell r="H54">
            <v>0</v>
          </cell>
          <cell r="O54">
            <v>0</v>
          </cell>
          <cell r="V54">
            <v>0</v>
          </cell>
          <cell r="AC54">
            <v>0</v>
          </cell>
          <cell r="AJ54">
            <v>0</v>
          </cell>
          <cell r="AQ54">
            <v>0</v>
          </cell>
          <cell r="AX54">
            <v>0</v>
          </cell>
          <cell r="BE54">
            <v>0</v>
          </cell>
          <cell r="BL54">
            <v>0</v>
          </cell>
          <cell r="BS54">
            <v>0</v>
          </cell>
          <cell r="BZ54">
            <v>0</v>
          </cell>
          <cell r="CG54">
            <v>0</v>
          </cell>
        </row>
        <row r="55">
          <cell r="H55">
            <v>0</v>
          </cell>
          <cell r="O55">
            <v>0</v>
          </cell>
          <cell r="V55">
            <v>0</v>
          </cell>
          <cell r="AC55">
            <v>0</v>
          </cell>
          <cell r="AJ55">
            <v>0</v>
          </cell>
          <cell r="AQ55">
            <v>0</v>
          </cell>
          <cell r="AX55">
            <v>0</v>
          </cell>
          <cell r="BE55">
            <v>0</v>
          </cell>
          <cell r="BL55">
            <v>0</v>
          </cell>
          <cell r="BS55">
            <v>0</v>
          </cell>
          <cell r="BZ55">
            <v>0</v>
          </cell>
          <cell r="CG55">
            <v>0</v>
          </cell>
        </row>
        <row r="56">
          <cell r="H56">
            <v>0</v>
          </cell>
          <cell r="O56">
            <v>0</v>
          </cell>
          <cell r="V56">
            <v>0</v>
          </cell>
          <cell r="AC56">
            <v>0</v>
          </cell>
          <cell r="AJ56">
            <v>0</v>
          </cell>
          <cell r="AQ56">
            <v>0</v>
          </cell>
          <cell r="AX56">
            <v>0</v>
          </cell>
          <cell r="BE56">
            <v>0</v>
          </cell>
          <cell r="BL56">
            <v>0</v>
          </cell>
          <cell r="BS56">
            <v>0</v>
          </cell>
          <cell r="BZ56">
            <v>0</v>
          </cell>
          <cell r="CG56">
            <v>0</v>
          </cell>
        </row>
        <row r="57">
          <cell r="H57">
            <v>0.44</v>
          </cell>
          <cell r="O57">
            <v>0</v>
          </cell>
          <cell r="V57">
            <v>0</v>
          </cell>
          <cell r="AC57">
            <v>0</v>
          </cell>
          <cell r="AJ57">
            <v>0</v>
          </cell>
          <cell r="AQ57">
            <v>0</v>
          </cell>
          <cell r="AX57">
            <v>0</v>
          </cell>
          <cell r="BE57">
            <v>0</v>
          </cell>
          <cell r="BL57">
            <v>0</v>
          </cell>
          <cell r="BS57">
            <v>0</v>
          </cell>
          <cell r="BZ57">
            <v>0</v>
          </cell>
          <cell r="CG57">
            <v>0</v>
          </cell>
        </row>
        <row r="58">
          <cell r="H58">
            <v>0</v>
          </cell>
          <cell r="O58">
            <v>0</v>
          </cell>
          <cell r="V58">
            <v>0</v>
          </cell>
          <cell r="AC58">
            <v>0</v>
          </cell>
          <cell r="AJ58">
            <v>0</v>
          </cell>
          <cell r="AQ58">
            <v>0</v>
          </cell>
          <cell r="AX58">
            <v>0</v>
          </cell>
          <cell r="BE58">
            <v>0</v>
          </cell>
          <cell r="BL58">
            <v>0</v>
          </cell>
          <cell r="BS58">
            <v>0</v>
          </cell>
          <cell r="BZ58">
            <v>0</v>
          </cell>
          <cell r="CG58">
            <v>0</v>
          </cell>
        </row>
        <row r="59">
          <cell r="H59">
            <v>0</v>
          </cell>
          <cell r="O59">
            <v>0</v>
          </cell>
          <cell r="V59">
            <v>0</v>
          </cell>
          <cell r="AC59">
            <v>0</v>
          </cell>
          <cell r="AJ59">
            <v>0</v>
          </cell>
          <cell r="AQ59">
            <v>0</v>
          </cell>
          <cell r="AX59">
            <v>0</v>
          </cell>
          <cell r="BE59">
            <v>0</v>
          </cell>
          <cell r="BL59">
            <v>0</v>
          </cell>
          <cell r="BS59">
            <v>0</v>
          </cell>
          <cell r="BZ59">
            <v>0</v>
          </cell>
          <cell r="CG59">
            <v>0</v>
          </cell>
        </row>
        <row r="60">
          <cell r="H60">
            <v>0</v>
          </cell>
          <cell r="O60">
            <v>0</v>
          </cell>
          <cell r="V60">
            <v>0</v>
          </cell>
          <cell r="AC60">
            <v>0</v>
          </cell>
          <cell r="AJ60">
            <v>0</v>
          </cell>
          <cell r="AQ60">
            <v>0</v>
          </cell>
          <cell r="AX60">
            <v>0</v>
          </cell>
          <cell r="BE60">
            <v>0</v>
          </cell>
          <cell r="BL60">
            <v>0</v>
          </cell>
          <cell r="BS60">
            <v>0</v>
          </cell>
          <cell r="BZ60">
            <v>0</v>
          </cell>
          <cell r="CG60">
            <v>0</v>
          </cell>
        </row>
        <row r="61">
          <cell r="H61">
            <v>0</v>
          </cell>
          <cell r="O61">
            <v>0</v>
          </cell>
          <cell r="V61">
            <v>0</v>
          </cell>
          <cell r="AC61">
            <v>0</v>
          </cell>
          <cell r="AJ61">
            <v>0</v>
          </cell>
          <cell r="AQ61">
            <v>0</v>
          </cell>
          <cell r="AX61">
            <v>0</v>
          </cell>
          <cell r="BE61">
            <v>0</v>
          </cell>
          <cell r="BL61">
            <v>0</v>
          </cell>
          <cell r="BS61">
            <v>0</v>
          </cell>
          <cell r="BZ61">
            <v>0</v>
          </cell>
          <cell r="CG61">
            <v>0</v>
          </cell>
        </row>
        <row r="62">
          <cell r="H62">
            <v>0</v>
          </cell>
          <cell r="O62">
            <v>0</v>
          </cell>
          <cell r="V62">
            <v>0</v>
          </cell>
          <cell r="AC62">
            <v>0</v>
          </cell>
          <cell r="AJ62">
            <v>0</v>
          </cell>
          <cell r="AQ62">
            <v>0</v>
          </cell>
          <cell r="AX62">
            <v>0</v>
          </cell>
          <cell r="BE62">
            <v>0</v>
          </cell>
          <cell r="BL62">
            <v>0</v>
          </cell>
          <cell r="BS62">
            <v>0</v>
          </cell>
          <cell r="BZ62">
            <v>0</v>
          </cell>
          <cell r="CG62">
            <v>0</v>
          </cell>
        </row>
        <row r="63">
          <cell r="H63">
            <v>0</v>
          </cell>
          <cell r="O63">
            <v>0</v>
          </cell>
          <cell r="V63">
            <v>0</v>
          </cell>
          <cell r="AC63">
            <v>0</v>
          </cell>
          <cell r="AJ63">
            <v>0</v>
          </cell>
          <cell r="AQ63">
            <v>0</v>
          </cell>
          <cell r="AX63">
            <v>0</v>
          </cell>
          <cell r="BE63">
            <v>0</v>
          </cell>
          <cell r="BL63">
            <v>0</v>
          </cell>
          <cell r="BS63">
            <v>0</v>
          </cell>
          <cell r="BZ63">
            <v>0</v>
          </cell>
          <cell r="CG63">
            <v>0</v>
          </cell>
        </row>
        <row r="64">
          <cell r="H64">
            <v>0</v>
          </cell>
          <cell r="O64">
            <v>0</v>
          </cell>
          <cell r="V64">
            <v>0</v>
          </cell>
          <cell r="AC64">
            <v>0</v>
          </cell>
          <cell r="AJ64">
            <v>0</v>
          </cell>
          <cell r="AQ64">
            <v>0</v>
          </cell>
          <cell r="AX64">
            <v>0</v>
          </cell>
          <cell r="BE64">
            <v>0</v>
          </cell>
          <cell r="BL64">
            <v>0</v>
          </cell>
          <cell r="BS64">
            <v>0</v>
          </cell>
          <cell r="BZ64">
            <v>0</v>
          </cell>
          <cell r="CG64">
            <v>0</v>
          </cell>
        </row>
        <row r="65">
          <cell r="H65">
            <v>0</v>
          </cell>
          <cell r="O65">
            <v>0</v>
          </cell>
          <cell r="V65">
            <v>0</v>
          </cell>
          <cell r="AC65">
            <v>0</v>
          </cell>
          <cell r="AJ65">
            <v>0</v>
          </cell>
          <cell r="AQ65">
            <v>0</v>
          </cell>
          <cell r="AX65">
            <v>0</v>
          </cell>
          <cell r="BE65">
            <v>0</v>
          </cell>
          <cell r="BL65">
            <v>0</v>
          </cell>
          <cell r="BS65">
            <v>0</v>
          </cell>
          <cell r="BZ65">
            <v>0</v>
          </cell>
          <cell r="CG65">
            <v>0</v>
          </cell>
        </row>
        <row r="66">
          <cell r="H66">
            <v>0.1</v>
          </cell>
          <cell r="O66">
            <v>0</v>
          </cell>
          <cell r="V66">
            <v>0</v>
          </cell>
          <cell r="AC66">
            <v>0</v>
          </cell>
          <cell r="AJ66">
            <v>0</v>
          </cell>
          <cell r="AQ66">
            <v>0</v>
          </cell>
          <cell r="AX66">
            <v>0</v>
          </cell>
          <cell r="BE66">
            <v>0</v>
          </cell>
          <cell r="BL66">
            <v>0</v>
          </cell>
          <cell r="BS66">
            <v>0</v>
          </cell>
          <cell r="BZ66">
            <v>0</v>
          </cell>
          <cell r="CG66">
            <v>0</v>
          </cell>
        </row>
        <row r="67">
          <cell r="H67">
            <v>0</v>
          </cell>
          <cell r="O67">
            <v>0</v>
          </cell>
          <cell r="V67">
            <v>0</v>
          </cell>
          <cell r="AC67">
            <v>0</v>
          </cell>
          <cell r="AJ67">
            <v>0</v>
          </cell>
          <cell r="AQ67">
            <v>0</v>
          </cell>
          <cell r="AX67">
            <v>0</v>
          </cell>
          <cell r="BE67">
            <v>0</v>
          </cell>
          <cell r="BL67">
            <v>0</v>
          </cell>
          <cell r="BS67">
            <v>0</v>
          </cell>
          <cell r="BZ67">
            <v>0</v>
          </cell>
          <cell r="CG67">
            <v>0</v>
          </cell>
        </row>
        <row r="68">
          <cell r="H68">
            <v>2.2799999999999998</v>
          </cell>
          <cell r="O68">
            <v>0</v>
          </cell>
          <cell r="V68">
            <v>0</v>
          </cell>
          <cell r="AC68">
            <v>0</v>
          </cell>
          <cell r="AJ68">
            <v>0</v>
          </cell>
          <cell r="AQ68">
            <v>0</v>
          </cell>
          <cell r="AX68">
            <v>0</v>
          </cell>
          <cell r="BE68">
            <v>0</v>
          </cell>
          <cell r="BL68">
            <v>0</v>
          </cell>
          <cell r="BS68">
            <v>0</v>
          </cell>
          <cell r="BZ68">
            <v>0</v>
          </cell>
          <cell r="CG68">
            <v>0</v>
          </cell>
        </row>
        <row r="69">
          <cell r="H69">
            <v>0</v>
          </cell>
          <cell r="O69">
            <v>0</v>
          </cell>
          <cell r="V69">
            <v>0</v>
          </cell>
          <cell r="AC69">
            <v>0</v>
          </cell>
          <cell r="AJ69">
            <v>0</v>
          </cell>
          <cell r="AQ69">
            <v>0</v>
          </cell>
          <cell r="AX69">
            <v>0</v>
          </cell>
          <cell r="BE69">
            <v>0</v>
          </cell>
          <cell r="BL69">
            <v>0</v>
          </cell>
          <cell r="BS69">
            <v>0</v>
          </cell>
          <cell r="BZ69">
            <v>0</v>
          </cell>
          <cell r="CG69">
            <v>0</v>
          </cell>
        </row>
        <row r="70">
          <cell r="H70">
            <v>0</v>
          </cell>
          <cell r="O70">
            <v>0</v>
          </cell>
          <cell r="V70">
            <v>0</v>
          </cell>
          <cell r="AC70">
            <v>0</v>
          </cell>
          <cell r="AJ70">
            <v>0</v>
          </cell>
          <cell r="AQ70">
            <v>0</v>
          </cell>
          <cell r="AX70">
            <v>0</v>
          </cell>
          <cell r="BE70">
            <v>0</v>
          </cell>
          <cell r="BL70">
            <v>0</v>
          </cell>
          <cell r="BS70">
            <v>0</v>
          </cell>
          <cell r="BZ70">
            <v>0</v>
          </cell>
          <cell r="CG70">
            <v>0</v>
          </cell>
        </row>
        <row r="71">
          <cell r="H71">
            <v>0</v>
          </cell>
          <cell r="O71">
            <v>0</v>
          </cell>
          <cell r="V71">
            <v>0</v>
          </cell>
          <cell r="AC71">
            <v>0</v>
          </cell>
          <cell r="AJ71">
            <v>0</v>
          </cell>
          <cell r="AQ71">
            <v>0</v>
          </cell>
          <cell r="AX71">
            <v>0</v>
          </cell>
          <cell r="BE71">
            <v>0</v>
          </cell>
          <cell r="BL71">
            <v>0</v>
          </cell>
          <cell r="BS71">
            <v>0</v>
          </cell>
          <cell r="BZ71">
            <v>0</v>
          </cell>
          <cell r="CG71">
            <v>0</v>
          </cell>
        </row>
        <row r="72">
          <cell r="H72">
            <v>3.43</v>
          </cell>
          <cell r="O72">
            <v>0</v>
          </cell>
          <cell r="V72">
            <v>0</v>
          </cell>
          <cell r="AC72">
            <v>0</v>
          </cell>
          <cell r="AJ72">
            <v>0</v>
          </cell>
          <cell r="AQ72">
            <v>0</v>
          </cell>
          <cell r="AX72">
            <v>0</v>
          </cell>
          <cell r="BE72">
            <v>0</v>
          </cell>
          <cell r="BL72">
            <v>0</v>
          </cell>
          <cell r="BS72">
            <v>0</v>
          </cell>
          <cell r="BZ72">
            <v>0</v>
          </cell>
          <cell r="CG72">
            <v>0</v>
          </cell>
        </row>
        <row r="73">
          <cell r="H73">
            <v>0</v>
          </cell>
          <cell r="O73">
            <v>0</v>
          </cell>
          <cell r="V73">
            <v>0</v>
          </cell>
          <cell r="AC73">
            <v>0</v>
          </cell>
          <cell r="AJ73">
            <v>0</v>
          </cell>
          <cell r="AQ73">
            <v>0</v>
          </cell>
          <cell r="AX73">
            <v>0</v>
          </cell>
          <cell r="BE73">
            <v>0</v>
          </cell>
          <cell r="BL73">
            <v>0</v>
          </cell>
          <cell r="BS73">
            <v>0</v>
          </cell>
          <cell r="BZ73">
            <v>0</v>
          </cell>
          <cell r="CG73">
            <v>0</v>
          </cell>
        </row>
        <row r="74">
          <cell r="H74">
            <v>0</v>
          </cell>
          <cell r="O74">
            <v>0</v>
          </cell>
          <cell r="V74">
            <v>0</v>
          </cell>
          <cell r="AC74">
            <v>0</v>
          </cell>
          <cell r="AJ74">
            <v>0</v>
          </cell>
          <cell r="AQ74">
            <v>0</v>
          </cell>
          <cell r="AX74">
            <v>0</v>
          </cell>
          <cell r="BE74">
            <v>0</v>
          </cell>
          <cell r="BL74">
            <v>0</v>
          </cell>
          <cell r="BS74">
            <v>0</v>
          </cell>
          <cell r="BZ74">
            <v>0</v>
          </cell>
          <cell r="CG74">
            <v>0</v>
          </cell>
        </row>
        <row r="75">
          <cell r="H75">
            <v>0</v>
          </cell>
          <cell r="O75">
            <v>0</v>
          </cell>
          <cell r="V75">
            <v>0</v>
          </cell>
          <cell r="AC75">
            <v>0</v>
          </cell>
          <cell r="AJ75">
            <v>0</v>
          </cell>
          <cell r="AQ75">
            <v>0</v>
          </cell>
          <cell r="AX75">
            <v>0</v>
          </cell>
          <cell r="BE75">
            <v>0</v>
          </cell>
          <cell r="BL75">
            <v>0</v>
          </cell>
          <cell r="BS75">
            <v>0</v>
          </cell>
          <cell r="BZ75">
            <v>0</v>
          </cell>
          <cell r="CG75">
            <v>0</v>
          </cell>
        </row>
        <row r="76">
          <cell r="H76">
            <v>0</v>
          </cell>
          <cell r="O76">
            <v>0</v>
          </cell>
          <cell r="V76">
            <v>0</v>
          </cell>
          <cell r="AC76">
            <v>0</v>
          </cell>
          <cell r="AJ76">
            <v>0</v>
          </cell>
          <cell r="AQ76">
            <v>0</v>
          </cell>
          <cell r="AX76">
            <v>0</v>
          </cell>
          <cell r="BE76">
            <v>0</v>
          </cell>
          <cell r="BL76">
            <v>0</v>
          </cell>
          <cell r="BS76">
            <v>0</v>
          </cell>
          <cell r="BZ76">
            <v>0</v>
          </cell>
          <cell r="CG76">
            <v>0</v>
          </cell>
        </row>
        <row r="77">
          <cell r="H77">
            <v>16.510000000000002</v>
          </cell>
          <cell r="O77">
            <v>0</v>
          </cell>
          <cell r="V77">
            <v>0</v>
          </cell>
          <cell r="AC77">
            <v>0</v>
          </cell>
          <cell r="AJ77">
            <v>0</v>
          </cell>
          <cell r="AQ77">
            <v>0</v>
          </cell>
          <cell r="AX77">
            <v>0</v>
          </cell>
          <cell r="BE77">
            <v>0</v>
          </cell>
          <cell r="BL77">
            <v>0</v>
          </cell>
          <cell r="BS77">
            <v>0</v>
          </cell>
          <cell r="BZ77">
            <v>0</v>
          </cell>
          <cell r="CG77">
            <v>0</v>
          </cell>
        </row>
        <row r="78">
          <cell r="H78">
            <v>1.66</v>
          </cell>
          <cell r="O78">
            <v>0</v>
          </cell>
          <cell r="V78">
            <v>0</v>
          </cell>
          <cell r="AC78">
            <v>0</v>
          </cell>
          <cell r="AJ78">
            <v>0</v>
          </cell>
          <cell r="AQ78">
            <v>0</v>
          </cell>
          <cell r="AX78">
            <v>0</v>
          </cell>
          <cell r="BE78">
            <v>0</v>
          </cell>
          <cell r="BL78">
            <v>0</v>
          </cell>
          <cell r="BS78">
            <v>0</v>
          </cell>
          <cell r="BZ78">
            <v>0</v>
          </cell>
          <cell r="CG78">
            <v>0</v>
          </cell>
        </row>
        <row r="79">
          <cell r="H79">
            <v>1.02</v>
          </cell>
          <cell r="O79">
            <v>0</v>
          </cell>
          <cell r="V79">
            <v>0</v>
          </cell>
          <cell r="AC79">
            <v>0</v>
          </cell>
          <cell r="AJ79">
            <v>0</v>
          </cell>
          <cell r="AQ79">
            <v>0</v>
          </cell>
          <cell r="AX79">
            <v>0</v>
          </cell>
          <cell r="BE79">
            <v>0</v>
          </cell>
          <cell r="BL79">
            <v>0</v>
          </cell>
          <cell r="BS79">
            <v>0</v>
          </cell>
          <cell r="BZ79">
            <v>0</v>
          </cell>
          <cell r="CG79">
            <v>0</v>
          </cell>
        </row>
        <row r="80">
          <cell r="H80">
            <v>0.94</v>
          </cell>
          <cell r="O80">
            <v>0</v>
          </cell>
          <cell r="V80">
            <v>0</v>
          </cell>
          <cell r="AC80">
            <v>0</v>
          </cell>
          <cell r="AJ80">
            <v>0</v>
          </cell>
          <cell r="AQ80">
            <v>0</v>
          </cell>
          <cell r="AX80">
            <v>0</v>
          </cell>
          <cell r="BE80">
            <v>0</v>
          </cell>
          <cell r="BL80">
            <v>0</v>
          </cell>
          <cell r="BS80">
            <v>0</v>
          </cell>
          <cell r="BZ80">
            <v>0</v>
          </cell>
          <cell r="CG80">
            <v>0</v>
          </cell>
        </row>
        <row r="81">
          <cell r="H81">
            <v>0</v>
          </cell>
          <cell r="O81">
            <v>0</v>
          </cell>
          <cell r="V81">
            <v>0</v>
          </cell>
          <cell r="AC81">
            <v>0</v>
          </cell>
          <cell r="AJ81">
            <v>0</v>
          </cell>
          <cell r="AQ81">
            <v>0</v>
          </cell>
          <cell r="AX81">
            <v>0</v>
          </cell>
          <cell r="BE81">
            <v>0</v>
          </cell>
          <cell r="BL81">
            <v>0</v>
          </cell>
          <cell r="BS81">
            <v>0</v>
          </cell>
          <cell r="BZ81">
            <v>0</v>
          </cell>
          <cell r="CG81">
            <v>0</v>
          </cell>
        </row>
        <row r="82">
          <cell r="H82">
            <v>0</v>
          </cell>
          <cell r="O82">
            <v>0</v>
          </cell>
          <cell r="V82">
            <v>0</v>
          </cell>
          <cell r="AC82">
            <v>0</v>
          </cell>
          <cell r="AJ82">
            <v>0</v>
          </cell>
          <cell r="AQ82">
            <v>0</v>
          </cell>
          <cell r="AX82">
            <v>0</v>
          </cell>
          <cell r="BE82">
            <v>0</v>
          </cell>
          <cell r="BL82">
            <v>0</v>
          </cell>
          <cell r="BS82">
            <v>0</v>
          </cell>
          <cell r="BZ82">
            <v>0</v>
          </cell>
          <cell r="CG82">
            <v>0</v>
          </cell>
        </row>
        <row r="83">
          <cell r="H83">
            <v>0</v>
          </cell>
          <cell r="O83">
            <v>0</v>
          </cell>
          <cell r="V83">
            <v>0</v>
          </cell>
          <cell r="AC83">
            <v>0</v>
          </cell>
          <cell r="AJ83">
            <v>0</v>
          </cell>
          <cell r="AQ83">
            <v>0</v>
          </cell>
          <cell r="AX83">
            <v>0</v>
          </cell>
          <cell r="BE83">
            <v>0</v>
          </cell>
          <cell r="BL83">
            <v>0</v>
          </cell>
          <cell r="BS83">
            <v>0</v>
          </cell>
          <cell r="BZ83">
            <v>0</v>
          </cell>
          <cell r="CG83">
            <v>0</v>
          </cell>
        </row>
        <row r="84">
          <cell r="H84">
            <v>0</v>
          </cell>
          <cell r="O84">
            <v>0</v>
          </cell>
          <cell r="V84">
            <v>0</v>
          </cell>
          <cell r="AC84">
            <v>0</v>
          </cell>
          <cell r="AJ84">
            <v>0</v>
          </cell>
          <cell r="AQ84">
            <v>0</v>
          </cell>
          <cell r="AX84">
            <v>0</v>
          </cell>
          <cell r="BE84">
            <v>0</v>
          </cell>
          <cell r="BL84">
            <v>0</v>
          </cell>
          <cell r="BS84">
            <v>0</v>
          </cell>
          <cell r="BZ84">
            <v>0</v>
          </cell>
          <cell r="CG84">
            <v>0</v>
          </cell>
        </row>
        <row r="85">
          <cell r="H85">
            <v>0</v>
          </cell>
          <cell r="O85">
            <v>0</v>
          </cell>
          <cell r="V85">
            <v>0</v>
          </cell>
          <cell r="AC85">
            <v>0</v>
          </cell>
          <cell r="AJ85">
            <v>0</v>
          </cell>
          <cell r="AQ85">
            <v>0</v>
          </cell>
          <cell r="AX85">
            <v>0</v>
          </cell>
          <cell r="BE85">
            <v>0</v>
          </cell>
          <cell r="BL85">
            <v>0</v>
          </cell>
          <cell r="BS85">
            <v>0</v>
          </cell>
          <cell r="BZ85">
            <v>0</v>
          </cell>
          <cell r="CG85">
            <v>0</v>
          </cell>
        </row>
        <row r="86">
          <cell r="H86">
            <v>0</v>
          </cell>
          <cell r="O86">
            <v>0</v>
          </cell>
          <cell r="V86">
            <v>0</v>
          </cell>
          <cell r="AC86">
            <v>0</v>
          </cell>
          <cell r="AJ86">
            <v>0</v>
          </cell>
          <cell r="AQ86">
            <v>0</v>
          </cell>
          <cell r="AX86">
            <v>0</v>
          </cell>
          <cell r="BE86">
            <v>0</v>
          </cell>
          <cell r="BL86">
            <v>0</v>
          </cell>
          <cell r="BS86">
            <v>0</v>
          </cell>
          <cell r="BZ86">
            <v>0</v>
          </cell>
          <cell r="CG86">
            <v>0</v>
          </cell>
        </row>
        <row r="87">
          <cell r="H87">
            <v>0</v>
          </cell>
          <cell r="O87">
            <v>0</v>
          </cell>
          <cell r="V87">
            <v>0</v>
          </cell>
          <cell r="AC87">
            <v>0</v>
          </cell>
          <cell r="AJ87">
            <v>0</v>
          </cell>
          <cell r="AQ87">
            <v>0</v>
          </cell>
          <cell r="AX87">
            <v>0</v>
          </cell>
          <cell r="BE87">
            <v>0</v>
          </cell>
          <cell r="BL87">
            <v>0</v>
          </cell>
          <cell r="BS87">
            <v>0</v>
          </cell>
          <cell r="BZ87">
            <v>0</v>
          </cell>
          <cell r="CG87">
            <v>0</v>
          </cell>
        </row>
        <row r="88">
          <cell r="H88">
            <v>25.840000000000003</v>
          </cell>
          <cell r="O88">
            <v>0</v>
          </cell>
          <cell r="V88">
            <v>0</v>
          </cell>
          <cell r="AC88">
            <v>0</v>
          </cell>
          <cell r="AJ88">
            <v>0</v>
          </cell>
          <cell r="AQ88">
            <v>0</v>
          </cell>
          <cell r="AX88">
            <v>0</v>
          </cell>
          <cell r="BE88">
            <v>0</v>
          </cell>
          <cell r="BL88">
            <v>0</v>
          </cell>
          <cell r="BS88">
            <v>0</v>
          </cell>
          <cell r="BZ88">
            <v>0</v>
          </cell>
          <cell r="CG88">
            <v>0</v>
          </cell>
        </row>
        <row r="89">
          <cell r="H89">
            <v>26.380000000000003</v>
          </cell>
          <cell r="O89">
            <v>0</v>
          </cell>
          <cell r="V89">
            <v>0</v>
          </cell>
          <cell r="AC89">
            <v>0</v>
          </cell>
          <cell r="AJ89">
            <v>0</v>
          </cell>
          <cell r="AQ89">
            <v>0</v>
          </cell>
          <cell r="AX89">
            <v>0</v>
          </cell>
          <cell r="BE89">
            <v>0</v>
          </cell>
          <cell r="BL89">
            <v>0</v>
          </cell>
          <cell r="BS89">
            <v>0</v>
          </cell>
          <cell r="BZ89">
            <v>0</v>
          </cell>
          <cell r="CG89">
            <v>0</v>
          </cell>
        </row>
        <row r="90">
          <cell r="H90">
            <v>0</v>
          </cell>
          <cell r="O90">
            <v>0</v>
          </cell>
          <cell r="V90">
            <v>0</v>
          </cell>
          <cell r="AC90">
            <v>0</v>
          </cell>
          <cell r="AJ90">
            <v>0</v>
          </cell>
          <cell r="AQ90">
            <v>0</v>
          </cell>
          <cell r="AX90">
            <v>0</v>
          </cell>
          <cell r="BE90">
            <v>0</v>
          </cell>
          <cell r="BL90">
            <v>0</v>
          </cell>
          <cell r="BS90">
            <v>0</v>
          </cell>
          <cell r="BZ90">
            <v>0</v>
          </cell>
          <cell r="CG90">
            <v>0</v>
          </cell>
        </row>
        <row r="91">
          <cell r="H91">
            <v>0</v>
          </cell>
          <cell r="O91">
            <v>0</v>
          </cell>
          <cell r="V91">
            <v>0</v>
          </cell>
          <cell r="AC91">
            <v>0</v>
          </cell>
          <cell r="AJ91">
            <v>0</v>
          </cell>
          <cell r="AQ91">
            <v>0</v>
          </cell>
          <cell r="AX91">
            <v>0</v>
          </cell>
          <cell r="BE91">
            <v>0</v>
          </cell>
          <cell r="BL91">
            <v>0</v>
          </cell>
          <cell r="BS91">
            <v>0</v>
          </cell>
          <cell r="BZ91">
            <v>0</v>
          </cell>
          <cell r="CG91">
            <v>0</v>
          </cell>
        </row>
        <row r="92">
          <cell r="H92">
            <v>0</v>
          </cell>
          <cell r="O92">
            <v>0</v>
          </cell>
          <cell r="V92">
            <v>0</v>
          </cell>
          <cell r="AC92">
            <v>0</v>
          </cell>
          <cell r="AJ92">
            <v>0</v>
          </cell>
          <cell r="AQ92">
            <v>0</v>
          </cell>
          <cell r="AX92">
            <v>0</v>
          </cell>
          <cell r="BE92">
            <v>0</v>
          </cell>
          <cell r="BL92">
            <v>0</v>
          </cell>
          <cell r="BS92">
            <v>0</v>
          </cell>
          <cell r="BZ92">
            <v>0</v>
          </cell>
          <cell r="CG92">
            <v>0</v>
          </cell>
        </row>
        <row r="93">
          <cell r="H93">
            <v>72.56</v>
          </cell>
          <cell r="O93">
            <v>0</v>
          </cell>
          <cell r="V93">
            <v>0</v>
          </cell>
          <cell r="AC93">
            <v>0</v>
          </cell>
          <cell r="AJ93">
            <v>0</v>
          </cell>
          <cell r="AQ93">
            <v>0</v>
          </cell>
          <cell r="AX93">
            <v>0</v>
          </cell>
          <cell r="BE93">
            <v>0</v>
          </cell>
          <cell r="BL93">
            <v>0</v>
          </cell>
          <cell r="BS93">
            <v>0</v>
          </cell>
          <cell r="BZ93">
            <v>0</v>
          </cell>
          <cell r="CG93">
            <v>0</v>
          </cell>
        </row>
        <row r="94">
          <cell r="H94">
            <v>0</v>
          </cell>
          <cell r="O94">
            <v>0</v>
          </cell>
          <cell r="V94">
            <v>0</v>
          </cell>
          <cell r="AC94">
            <v>0</v>
          </cell>
          <cell r="AJ94">
            <v>0</v>
          </cell>
          <cell r="AQ94">
            <v>0</v>
          </cell>
          <cell r="AX94">
            <v>0</v>
          </cell>
          <cell r="BE94">
            <v>0</v>
          </cell>
          <cell r="BL94">
            <v>0</v>
          </cell>
          <cell r="BS94">
            <v>0</v>
          </cell>
          <cell r="BZ94">
            <v>0</v>
          </cell>
          <cell r="CG94">
            <v>0</v>
          </cell>
        </row>
        <row r="95">
          <cell r="H95">
            <v>3.09</v>
          </cell>
          <cell r="O95">
            <v>0</v>
          </cell>
          <cell r="V95">
            <v>0</v>
          </cell>
          <cell r="AC95">
            <v>0</v>
          </cell>
          <cell r="AJ95">
            <v>0</v>
          </cell>
          <cell r="AQ95">
            <v>0</v>
          </cell>
          <cell r="AX95">
            <v>0</v>
          </cell>
          <cell r="BE95">
            <v>0</v>
          </cell>
          <cell r="BL95">
            <v>0</v>
          </cell>
          <cell r="BS95">
            <v>0</v>
          </cell>
          <cell r="BZ95">
            <v>0</v>
          </cell>
          <cell r="CG95">
            <v>0</v>
          </cell>
        </row>
        <row r="96">
          <cell r="H96">
            <v>3.09</v>
          </cell>
          <cell r="O96">
            <v>0</v>
          </cell>
          <cell r="V96">
            <v>0</v>
          </cell>
          <cell r="AC96">
            <v>0</v>
          </cell>
          <cell r="AJ96">
            <v>0</v>
          </cell>
          <cell r="AQ96">
            <v>0</v>
          </cell>
          <cell r="AX96">
            <v>0</v>
          </cell>
          <cell r="BE96">
            <v>0</v>
          </cell>
          <cell r="BL96">
            <v>0</v>
          </cell>
          <cell r="BS96">
            <v>0</v>
          </cell>
          <cell r="BZ96">
            <v>0</v>
          </cell>
          <cell r="CG96">
            <v>0</v>
          </cell>
        </row>
        <row r="97">
          <cell r="H97">
            <v>1.3900000000000001</v>
          </cell>
          <cell r="O97">
            <v>0</v>
          </cell>
          <cell r="V97">
            <v>0</v>
          </cell>
          <cell r="AC97">
            <v>0</v>
          </cell>
          <cell r="AJ97">
            <v>0</v>
          </cell>
          <cell r="AQ97">
            <v>0</v>
          </cell>
          <cell r="AX97">
            <v>0</v>
          </cell>
          <cell r="BE97">
            <v>0</v>
          </cell>
          <cell r="BL97">
            <v>0</v>
          </cell>
          <cell r="BS97">
            <v>0</v>
          </cell>
          <cell r="BZ97">
            <v>0</v>
          </cell>
          <cell r="CG97">
            <v>0</v>
          </cell>
        </row>
        <row r="98">
          <cell r="H98">
            <v>1.33</v>
          </cell>
          <cell r="O98">
            <v>0</v>
          </cell>
          <cell r="V98">
            <v>0</v>
          </cell>
          <cell r="AC98">
            <v>0</v>
          </cell>
          <cell r="AJ98">
            <v>0</v>
          </cell>
          <cell r="AQ98">
            <v>0</v>
          </cell>
          <cell r="AX98">
            <v>0</v>
          </cell>
          <cell r="BE98">
            <v>0</v>
          </cell>
          <cell r="BL98">
            <v>0</v>
          </cell>
          <cell r="BS98">
            <v>0</v>
          </cell>
          <cell r="BZ98">
            <v>0</v>
          </cell>
          <cell r="CG98">
            <v>0</v>
          </cell>
        </row>
        <row r="99">
          <cell r="H99">
            <v>0</v>
          </cell>
          <cell r="O99">
            <v>0</v>
          </cell>
          <cell r="V99">
            <v>0</v>
          </cell>
          <cell r="AC99">
            <v>0</v>
          </cell>
          <cell r="AJ99">
            <v>0</v>
          </cell>
          <cell r="AQ99">
            <v>0</v>
          </cell>
          <cell r="AX99">
            <v>0</v>
          </cell>
          <cell r="BE99">
            <v>0</v>
          </cell>
          <cell r="BL99">
            <v>0</v>
          </cell>
          <cell r="BS99">
            <v>0</v>
          </cell>
          <cell r="BZ99">
            <v>0</v>
          </cell>
          <cell r="CG99">
            <v>0</v>
          </cell>
        </row>
        <row r="100">
          <cell r="H100">
            <v>0.63</v>
          </cell>
          <cell r="O100">
            <v>0</v>
          </cell>
          <cell r="V100">
            <v>0</v>
          </cell>
          <cell r="AC100">
            <v>0</v>
          </cell>
          <cell r="AJ100">
            <v>0</v>
          </cell>
          <cell r="AQ100">
            <v>0</v>
          </cell>
          <cell r="AX100">
            <v>0</v>
          </cell>
          <cell r="BE100">
            <v>0</v>
          </cell>
          <cell r="BL100">
            <v>0</v>
          </cell>
          <cell r="BS100">
            <v>0</v>
          </cell>
          <cell r="BZ100">
            <v>0</v>
          </cell>
          <cell r="CG100">
            <v>0</v>
          </cell>
        </row>
        <row r="101">
          <cell r="H101">
            <v>0</v>
          </cell>
          <cell r="O101">
            <v>0</v>
          </cell>
          <cell r="V101">
            <v>0</v>
          </cell>
          <cell r="AC101">
            <v>0</v>
          </cell>
          <cell r="AJ101">
            <v>0</v>
          </cell>
          <cell r="AQ101">
            <v>0</v>
          </cell>
          <cell r="AX101">
            <v>0</v>
          </cell>
          <cell r="BE101">
            <v>0</v>
          </cell>
          <cell r="BL101">
            <v>0</v>
          </cell>
          <cell r="BS101">
            <v>0</v>
          </cell>
          <cell r="BZ101">
            <v>0</v>
          </cell>
          <cell r="CG101">
            <v>0</v>
          </cell>
        </row>
        <row r="102">
          <cell r="H102">
            <v>1.96</v>
          </cell>
          <cell r="O102">
            <v>0</v>
          </cell>
          <cell r="V102">
            <v>0</v>
          </cell>
          <cell r="AC102">
            <v>0</v>
          </cell>
          <cell r="AJ102">
            <v>0</v>
          </cell>
          <cell r="AQ102">
            <v>0</v>
          </cell>
          <cell r="AX102">
            <v>0</v>
          </cell>
          <cell r="BE102">
            <v>0</v>
          </cell>
          <cell r="BL102">
            <v>0</v>
          </cell>
          <cell r="BS102">
            <v>0</v>
          </cell>
          <cell r="BZ102">
            <v>0</v>
          </cell>
          <cell r="CG102">
            <v>0</v>
          </cell>
        </row>
        <row r="103">
          <cell r="H103">
            <v>0.17</v>
          </cell>
          <cell r="O103">
            <v>0</v>
          </cell>
          <cell r="V103">
            <v>0</v>
          </cell>
          <cell r="AC103">
            <v>0</v>
          </cell>
          <cell r="AJ103">
            <v>0</v>
          </cell>
          <cell r="AQ103">
            <v>0</v>
          </cell>
          <cell r="AX103">
            <v>0</v>
          </cell>
          <cell r="BE103">
            <v>0</v>
          </cell>
          <cell r="BL103">
            <v>0</v>
          </cell>
          <cell r="BS103">
            <v>0</v>
          </cell>
          <cell r="BZ103">
            <v>0</v>
          </cell>
          <cell r="CG103">
            <v>0</v>
          </cell>
        </row>
        <row r="104">
          <cell r="H104">
            <v>3.49</v>
          </cell>
          <cell r="O104">
            <v>0</v>
          </cell>
          <cell r="V104">
            <v>0</v>
          </cell>
          <cell r="AC104">
            <v>0</v>
          </cell>
          <cell r="AJ104">
            <v>0</v>
          </cell>
          <cell r="AQ104">
            <v>0</v>
          </cell>
          <cell r="AX104">
            <v>0</v>
          </cell>
          <cell r="BE104">
            <v>0</v>
          </cell>
          <cell r="BL104">
            <v>0</v>
          </cell>
          <cell r="BS104">
            <v>0</v>
          </cell>
          <cell r="BZ104">
            <v>0</v>
          </cell>
          <cell r="CG104">
            <v>0</v>
          </cell>
        </row>
        <row r="105">
          <cell r="H105">
            <v>0</v>
          </cell>
          <cell r="O105">
            <v>0</v>
          </cell>
          <cell r="V105">
            <v>0</v>
          </cell>
          <cell r="AC105">
            <v>0</v>
          </cell>
          <cell r="AJ105">
            <v>0</v>
          </cell>
          <cell r="AQ105">
            <v>0</v>
          </cell>
          <cell r="AX105">
            <v>0</v>
          </cell>
          <cell r="BE105">
            <v>0</v>
          </cell>
          <cell r="BL105">
            <v>0</v>
          </cell>
          <cell r="BS105">
            <v>0</v>
          </cell>
          <cell r="BZ105">
            <v>0</v>
          </cell>
          <cell r="CG105">
            <v>0</v>
          </cell>
        </row>
        <row r="106">
          <cell r="H106">
            <v>0</v>
          </cell>
          <cell r="O106">
            <v>0</v>
          </cell>
          <cell r="V106">
            <v>0</v>
          </cell>
          <cell r="AC106">
            <v>0</v>
          </cell>
          <cell r="AJ106">
            <v>0</v>
          </cell>
          <cell r="AQ106">
            <v>0</v>
          </cell>
          <cell r="AX106">
            <v>0</v>
          </cell>
          <cell r="BE106">
            <v>0</v>
          </cell>
          <cell r="BL106">
            <v>0</v>
          </cell>
          <cell r="BS106">
            <v>0</v>
          </cell>
          <cell r="BZ106">
            <v>0</v>
          </cell>
          <cell r="CG106">
            <v>0</v>
          </cell>
        </row>
        <row r="107">
          <cell r="H107">
            <v>0.42</v>
          </cell>
          <cell r="O107">
            <v>0</v>
          </cell>
          <cell r="V107">
            <v>0</v>
          </cell>
          <cell r="AC107">
            <v>0</v>
          </cell>
          <cell r="AJ107">
            <v>0</v>
          </cell>
          <cell r="AQ107">
            <v>0</v>
          </cell>
          <cell r="AX107">
            <v>0</v>
          </cell>
          <cell r="BE107">
            <v>0</v>
          </cell>
          <cell r="BL107">
            <v>0</v>
          </cell>
          <cell r="BS107">
            <v>0</v>
          </cell>
          <cell r="BZ107">
            <v>0</v>
          </cell>
          <cell r="CG107">
            <v>0</v>
          </cell>
        </row>
        <row r="108">
          <cell r="H108">
            <v>0</v>
          </cell>
          <cell r="O108">
            <v>0</v>
          </cell>
          <cell r="V108">
            <v>0</v>
          </cell>
          <cell r="AC108">
            <v>0</v>
          </cell>
          <cell r="AJ108">
            <v>0</v>
          </cell>
          <cell r="AQ108">
            <v>0</v>
          </cell>
          <cell r="AX108">
            <v>0</v>
          </cell>
          <cell r="BE108">
            <v>0</v>
          </cell>
          <cell r="BL108">
            <v>0</v>
          </cell>
          <cell r="BS108">
            <v>0</v>
          </cell>
          <cell r="BZ108">
            <v>0</v>
          </cell>
          <cell r="CG108">
            <v>0</v>
          </cell>
        </row>
        <row r="109">
          <cell r="H109">
            <v>0</v>
          </cell>
          <cell r="O109">
            <v>0</v>
          </cell>
          <cell r="V109">
            <v>0</v>
          </cell>
          <cell r="AC109">
            <v>0</v>
          </cell>
          <cell r="AJ109">
            <v>0</v>
          </cell>
          <cell r="AQ109">
            <v>0</v>
          </cell>
          <cell r="AX109">
            <v>0</v>
          </cell>
          <cell r="BE109">
            <v>0</v>
          </cell>
          <cell r="BL109">
            <v>0</v>
          </cell>
          <cell r="BS109">
            <v>0</v>
          </cell>
          <cell r="BZ109">
            <v>0</v>
          </cell>
          <cell r="CG109">
            <v>0</v>
          </cell>
        </row>
        <row r="110">
          <cell r="H110">
            <v>0</v>
          </cell>
          <cell r="O110">
            <v>0</v>
          </cell>
          <cell r="V110">
            <v>0</v>
          </cell>
          <cell r="AC110">
            <v>0</v>
          </cell>
          <cell r="AJ110">
            <v>0</v>
          </cell>
          <cell r="AQ110">
            <v>0</v>
          </cell>
          <cell r="AX110">
            <v>0</v>
          </cell>
          <cell r="BE110">
            <v>0</v>
          </cell>
          <cell r="BL110">
            <v>0</v>
          </cell>
          <cell r="BS110">
            <v>0</v>
          </cell>
          <cell r="BZ110">
            <v>0</v>
          </cell>
          <cell r="CG110">
            <v>0</v>
          </cell>
        </row>
        <row r="111">
          <cell r="H111">
            <v>0</v>
          </cell>
          <cell r="O111">
            <v>0</v>
          </cell>
          <cell r="V111">
            <v>0</v>
          </cell>
          <cell r="AC111">
            <v>0</v>
          </cell>
          <cell r="AJ111">
            <v>0</v>
          </cell>
          <cell r="AQ111">
            <v>0</v>
          </cell>
          <cell r="AX111">
            <v>0</v>
          </cell>
          <cell r="BE111">
            <v>0</v>
          </cell>
          <cell r="BL111">
            <v>0</v>
          </cell>
          <cell r="BS111">
            <v>0</v>
          </cell>
          <cell r="BZ111">
            <v>0</v>
          </cell>
          <cell r="CG111">
            <v>0</v>
          </cell>
        </row>
        <row r="112">
          <cell r="H112">
            <v>0</v>
          </cell>
          <cell r="O112">
            <v>0</v>
          </cell>
          <cell r="V112">
            <v>0</v>
          </cell>
          <cell r="AC112">
            <v>0</v>
          </cell>
          <cell r="AJ112">
            <v>0</v>
          </cell>
          <cell r="AQ112">
            <v>0</v>
          </cell>
          <cell r="AX112">
            <v>0</v>
          </cell>
          <cell r="BE112">
            <v>0</v>
          </cell>
          <cell r="BL112">
            <v>0</v>
          </cell>
          <cell r="BS112">
            <v>0</v>
          </cell>
          <cell r="BZ112">
            <v>0</v>
          </cell>
          <cell r="CG112">
            <v>0</v>
          </cell>
        </row>
        <row r="113">
          <cell r="H113">
            <v>-0.45</v>
          </cell>
          <cell r="O113">
            <v>0</v>
          </cell>
          <cell r="V113">
            <v>0</v>
          </cell>
          <cell r="AC113">
            <v>0</v>
          </cell>
          <cell r="AJ113">
            <v>0</v>
          </cell>
          <cell r="AQ113">
            <v>0</v>
          </cell>
          <cell r="AX113">
            <v>0</v>
          </cell>
          <cell r="BE113">
            <v>0</v>
          </cell>
          <cell r="BL113">
            <v>0</v>
          </cell>
          <cell r="BS113">
            <v>0</v>
          </cell>
          <cell r="BZ113">
            <v>0</v>
          </cell>
          <cell r="CG113">
            <v>0</v>
          </cell>
        </row>
        <row r="114">
          <cell r="H114">
            <v>3.63</v>
          </cell>
          <cell r="O114">
            <v>0</v>
          </cell>
          <cell r="V114">
            <v>0</v>
          </cell>
          <cell r="AC114">
            <v>0</v>
          </cell>
          <cell r="AJ114">
            <v>0</v>
          </cell>
          <cell r="AQ114">
            <v>0</v>
          </cell>
          <cell r="AX114">
            <v>0</v>
          </cell>
          <cell r="BE114">
            <v>0</v>
          </cell>
          <cell r="BL114">
            <v>0</v>
          </cell>
          <cell r="BS114">
            <v>0</v>
          </cell>
          <cell r="BZ114">
            <v>0</v>
          </cell>
          <cell r="CG114">
            <v>0</v>
          </cell>
        </row>
        <row r="115">
          <cell r="H115">
            <v>10.07</v>
          </cell>
          <cell r="O115">
            <v>0</v>
          </cell>
          <cell r="V115">
            <v>0</v>
          </cell>
          <cell r="AC115">
            <v>0</v>
          </cell>
          <cell r="AJ115">
            <v>0</v>
          </cell>
          <cell r="AQ115">
            <v>0</v>
          </cell>
          <cell r="AX115">
            <v>0</v>
          </cell>
          <cell r="BE115">
            <v>0</v>
          </cell>
          <cell r="BL115">
            <v>0</v>
          </cell>
          <cell r="BS115">
            <v>0</v>
          </cell>
          <cell r="BZ115">
            <v>0</v>
          </cell>
          <cell r="CG115">
            <v>0</v>
          </cell>
        </row>
        <row r="116">
          <cell r="H116">
            <v>0</v>
          </cell>
          <cell r="O116">
            <v>0</v>
          </cell>
          <cell r="V116">
            <v>0</v>
          </cell>
          <cell r="AC116">
            <v>0</v>
          </cell>
          <cell r="AJ116">
            <v>0</v>
          </cell>
          <cell r="AQ116">
            <v>0</v>
          </cell>
          <cell r="AX116">
            <v>0</v>
          </cell>
          <cell r="BE116">
            <v>0</v>
          </cell>
          <cell r="BL116">
            <v>0</v>
          </cell>
          <cell r="BS116">
            <v>0</v>
          </cell>
          <cell r="BZ116">
            <v>0</v>
          </cell>
          <cell r="CG116">
            <v>0</v>
          </cell>
        </row>
        <row r="117">
          <cell r="H117">
            <v>0</v>
          </cell>
          <cell r="O117">
            <v>0</v>
          </cell>
          <cell r="V117">
            <v>0</v>
          </cell>
          <cell r="AC117">
            <v>0</v>
          </cell>
          <cell r="AJ117">
            <v>0</v>
          </cell>
          <cell r="AQ117">
            <v>0</v>
          </cell>
          <cell r="AX117">
            <v>0</v>
          </cell>
          <cell r="BE117">
            <v>0</v>
          </cell>
          <cell r="BL117">
            <v>0</v>
          </cell>
          <cell r="BS117">
            <v>0</v>
          </cell>
          <cell r="BZ117">
            <v>0</v>
          </cell>
          <cell r="CG117">
            <v>0</v>
          </cell>
        </row>
        <row r="118">
          <cell r="H118">
            <v>0</v>
          </cell>
          <cell r="O118">
            <v>0</v>
          </cell>
          <cell r="V118">
            <v>0</v>
          </cell>
          <cell r="AC118">
            <v>0</v>
          </cell>
          <cell r="AJ118">
            <v>0</v>
          </cell>
          <cell r="AQ118">
            <v>0</v>
          </cell>
          <cell r="AX118">
            <v>0</v>
          </cell>
          <cell r="BE118">
            <v>0</v>
          </cell>
          <cell r="BL118">
            <v>0</v>
          </cell>
          <cell r="BS118">
            <v>0</v>
          </cell>
          <cell r="BZ118">
            <v>0</v>
          </cell>
          <cell r="CG118">
            <v>0</v>
          </cell>
        </row>
        <row r="119">
          <cell r="H119">
            <v>0</v>
          </cell>
          <cell r="O119">
            <v>0</v>
          </cell>
          <cell r="V119">
            <v>0</v>
          </cell>
          <cell r="AC119">
            <v>0</v>
          </cell>
          <cell r="AJ119">
            <v>0</v>
          </cell>
          <cell r="AQ119">
            <v>0</v>
          </cell>
          <cell r="AX119">
            <v>0</v>
          </cell>
          <cell r="BE119">
            <v>0</v>
          </cell>
          <cell r="BL119">
            <v>0</v>
          </cell>
          <cell r="BS119">
            <v>0</v>
          </cell>
          <cell r="BZ119">
            <v>0</v>
          </cell>
          <cell r="CG119">
            <v>0</v>
          </cell>
        </row>
        <row r="120">
          <cell r="H120">
            <v>0</v>
          </cell>
          <cell r="O120">
            <v>0</v>
          </cell>
          <cell r="V120">
            <v>0</v>
          </cell>
          <cell r="AC120">
            <v>0</v>
          </cell>
          <cell r="AJ120">
            <v>0</v>
          </cell>
          <cell r="AQ120">
            <v>0</v>
          </cell>
          <cell r="AX120">
            <v>0</v>
          </cell>
          <cell r="BE120">
            <v>0</v>
          </cell>
          <cell r="BL120">
            <v>0</v>
          </cell>
          <cell r="BS120">
            <v>0</v>
          </cell>
          <cell r="BZ120">
            <v>0</v>
          </cell>
          <cell r="CG120">
            <v>0</v>
          </cell>
        </row>
        <row r="121">
          <cell r="H121">
            <v>0</v>
          </cell>
          <cell r="O121">
            <v>0</v>
          </cell>
          <cell r="V121">
            <v>0</v>
          </cell>
          <cell r="AC121">
            <v>0</v>
          </cell>
          <cell r="AJ121">
            <v>0</v>
          </cell>
          <cell r="AQ121">
            <v>0</v>
          </cell>
          <cell r="AX121">
            <v>0</v>
          </cell>
          <cell r="BE121">
            <v>0</v>
          </cell>
          <cell r="BL121">
            <v>0</v>
          </cell>
          <cell r="BS121">
            <v>0</v>
          </cell>
          <cell r="BZ121">
            <v>0</v>
          </cell>
          <cell r="CG121">
            <v>0</v>
          </cell>
        </row>
        <row r="122">
          <cell r="H122">
            <v>0</v>
          </cell>
          <cell r="O122">
            <v>0</v>
          </cell>
          <cell r="V122">
            <v>0</v>
          </cell>
          <cell r="AC122">
            <v>0</v>
          </cell>
          <cell r="AJ122">
            <v>0</v>
          </cell>
          <cell r="AQ122">
            <v>0</v>
          </cell>
          <cell r="AX122">
            <v>0</v>
          </cell>
          <cell r="BE122">
            <v>0</v>
          </cell>
          <cell r="BL122">
            <v>0</v>
          </cell>
          <cell r="BS122">
            <v>0</v>
          </cell>
          <cell r="BZ122">
            <v>0</v>
          </cell>
          <cell r="CG122">
            <v>0</v>
          </cell>
        </row>
        <row r="123">
          <cell r="H123">
            <v>0</v>
          </cell>
          <cell r="O123">
            <v>0</v>
          </cell>
          <cell r="V123">
            <v>0</v>
          </cell>
          <cell r="AC123">
            <v>0</v>
          </cell>
          <cell r="AJ123">
            <v>0</v>
          </cell>
          <cell r="AQ123">
            <v>0</v>
          </cell>
          <cell r="AX123">
            <v>0</v>
          </cell>
          <cell r="BE123">
            <v>0</v>
          </cell>
          <cell r="BL123">
            <v>0</v>
          </cell>
          <cell r="BS123">
            <v>0</v>
          </cell>
          <cell r="BZ123">
            <v>0</v>
          </cell>
          <cell r="CG123">
            <v>0</v>
          </cell>
        </row>
        <row r="124">
          <cell r="H124">
            <v>0</v>
          </cell>
          <cell r="O124">
            <v>0</v>
          </cell>
          <cell r="V124">
            <v>0</v>
          </cell>
          <cell r="AC124">
            <v>0</v>
          </cell>
          <cell r="AJ124">
            <v>0</v>
          </cell>
          <cell r="AQ124">
            <v>0</v>
          </cell>
          <cell r="AX124">
            <v>0</v>
          </cell>
          <cell r="BE124">
            <v>0</v>
          </cell>
          <cell r="BL124">
            <v>0</v>
          </cell>
          <cell r="BS124">
            <v>0</v>
          </cell>
          <cell r="BZ124">
            <v>0</v>
          </cell>
          <cell r="CG124">
            <v>0</v>
          </cell>
        </row>
        <row r="125">
          <cell r="H125">
            <v>0</v>
          </cell>
          <cell r="O125">
            <v>0</v>
          </cell>
          <cell r="V125">
            <v>0</v>
          </cell>
          <cell r="AC125">
            <v>0</v>
          </cell>
          <cell r="AJ125">
            <v>0</v>
          </cell>
          <cell r="AQ125">
            <v>0</v>
          </cell>
          <cell r="AX125">
            <v>0</v>
          </cell>
          <cell r="BE125">
            <v>0</v>
          </cell>
          <cell r="BL125">
            <v>0</v>
          </cell>
          <cell r="BS125">
            <v>0</v>
          </cell>
          <cell r="BZ125">
            <v>0</v>
          </cell>
          <cell r="CG125">
            <v>0</v>
          </cell>
        </row>
        <row r="126">
          <cell r="H126">
            <v>0</v>
          </cell>
          <cell r="O126">
            <v>0</v>
          </cell>
          <cell r="V126">
            <v>0</v>
          </cell>
          <cell r="AC126">
            <v>0</v>
          </cell>
          <cell r="AJ126">
            <v>0</v>
          </cell>
          <cell r="AQ126">
            <v>0</v>
          </cell>
          <cell r="AX126">
            <v>0</v>
          </cell>
          <cell r="BE126">
            <v>0</v>
          </cell>
          <cell r="BL126">
            <v>0</v>
          </cell>
          <cell r="BS126">
            <v>0</v>
          </cell>
          <cell r="BZ126">
            <v>0</v>
          </cell>
          <cell r="CG126">
            <v>0</v>
          </cell>
        </row>
        <row r="127">
          <cell r="H127">
            <v>0</v>
          </cell>
          <cell r="O127">
            <v>0</v>
          </cell>
          <cell r="V127">
            <v>0</v>
          </cell>
          <cell r="AC127">
            <v>0</v>
          </cell>
          <cell r="AJ127">
            <v>0</v>
          </cell>
          <cell r="AQ127">
            <v>0</v>
          </cell>
          <cell r="AX127">
            <v>0</v>
          </cell>
          <cell r="BE127">
            <v>0</v>
          </cell>
          <cell r="BL127">
            <v>0</v>
          </cell>
          <cell r="BS127">
            <v>0</v>
          </cell>
          <cell r="BZ127">
            <v>0</v>
          </cell>
          <cell r="CG127">
            <v>0</v>
          </cell>
        </row>
        <row r="128">
          <cell r="H128">
            <v>0</v>
          </cell>
          <cell r="O128">
            <v>0</v>
          </cell>
          <cell r="V128">
            <v>0</v>
          </cell>
          <cell r="AC128">
            <v>0</v>
          </cell>
          <cell r="AJ128">
            <v>0</v>
          </cell>
          <cell r="AQ128">
            <v>0</v>
          </cell>
          <cell r="AX128">
            <v>0</v>
          </cell>
          <cell r="BE128">
            <v>0</v>
          </cell>
          <cell r="BL128">
            <v>0</v>
          </cell>
          <cell r="BS128">
            <v>0</v>
          </cell>
          <cell r="BZ128">
            <v>0</v>
          </cell>
          <cell r="CG128">
            <v>0</v>
          </cell>
        </row>
        <row r="129">
          <cell r="H129">
            <v>0</v>
          </cell>
          <cell r="O129">
            <v>0</v>
          </cell>
          <cell r="V129">
            <v>0</v>
          </cell>
          <cell r="AC129">
            <v>0</v>
          </cell>
          <cell r="AJ129">
            <v>0</v>
          </cell>
          <cell r="AQ129">
            <v>0</v>
          </cell>
          <cell r="AX129">
            <v>0</v>
          </cell>
          <cell r="BE129">
            <v>0</v>
          </cell>
          <cell r="BL129">
            <v>0</v>
          </cell>
          <cell r="BS129">
            <v>0</v>
          </cell>
          <cell r="BZ129">
            <v>0</v>
          </cell>
          <cell r="CG129">
            <v>0</v>
          </cell>
        </row>
        <row r="130">
          <cell r="H130">
            <v>0</v>
          </cell>
          <cell r="O130">
            <v>0</v>
          </cell>
          <cell r="V130">
            <v>0</v>
          </cell>
          <cell r="AC130">
            <v>0</v>
          </cell>
          <cell r="AJ130">
            <v>0</v>
          </cell>
          <cell r="AQ130">
            <v>0</v>
          </cell>
          <cell r="AX130">
            <v>0</v>
          </cell>
          <cell r="BE130">
            <v>0</v>
          </cell>
          <cell r="BL130">
            <v>0</v>
          </cell>
          <cell r="BS130">
            <v>0</v>
          </cell>
          <cell r="BZ130">
            <v>0</v>
          </cell>
          <cell r="CG130">
            <v>0</v>
          </cell>
        </row>
        <row r="131">
          <cell r="H131">
            <v>0</v>
          </cell>
          <cell r="O131">
            <v>0</v>
          </cell>
          <cell r="V131">
            <v>0</v>
          </cell>
          <cell r="AC131">
            <v>0</v>
          </cell>
          <cell r="AJ131">
            <v>0</v>
          </cell>
          <cell r="AQ131">
            <v>0</v>
          </cell>
          <cell r="AX131">
            <v>0</v>
          </cell>
          <cell r="BE131">
            <v>0</v>
          </cell>
          <cell r="BL131">
            <v>0</v>
          </cell>
          <cell r="BS131">
            <v>0</v>
          </cell>
          <cell r="BZ131">
            <v>0</v>
          </cell>
          <cell r="CG131">
            <v>0</v>
          </cell>
        </row>
        <row r="132">
          <cell r="H132">
            <v>0</v>
          </cell>
          <cell r="O132">
            <v>0</v>
          </cell>
          <cell r="V132">
            <v>0</v>
          </cell>
          <cell r="AC132">
            <v>0</v>
          </cell>
          <cell r="AJ132">
            <v>0</v>
          </cell>
          <cell r="AQ132">
            <v>0</v>
          </cell>
          <cell r="AX132">
            <v>0</v>
          </cell>
          <cell r="BE132">
            <v>0</v>
          </cell>
          <cell r="BL132">
            <v>0</v>
          </cell>
          <cell r="BS132">
            <v>0</v>
          </cell>
          <cell r="BZ132">
            <v>0</v>
          </cell>
          <cell r="CG132">
            <v>0</v>
          </cell>
        </row>
        <row r="133">
          <cell r="H133">
            <v>0</v>
          </cell>
          <cell r="O133">
            <v>0</v>
          </cell>
          <cell r="V133">
            <v>0</v>
          </cell>
          <cell r="AC133">
            <v>0</v>
          </cell>
          <cell r="AJ133">
            <v>0</v>
          </cell>
          <cell r="AQ133">
            <v>0</v>
          </cell>
          <cell r="AX133">
            <v>0</v>
          </cell>
          <cell r="BE133">
            <v>0</v>
          </cell>
          <cell r="BL133">
            <v>0</v>
          </cell>
          <cell r="BS133">
            <v>0</v>
          </cell>
          <cell r="BZ133">
            <v>0</v>
          </cell>
          <cell r="CG133">
            <v>0</v>
          </cell>
        </row>
        <row r="134">
          <cell r="H134">
            <v>0</v>
          </cell>
          <cell r="O134">
            <v>0</v>
          </cell>
          <cell r="V134">
            <v>0</v>
          </cell>
          <cell r="AC134">
            <v>0</v>
          </cell>
          <cell r="AJ134">
            <v>0</v>
          </cell>
          <cell r="AQ134">
            <v>0</v>
          </cell>
          <cell r="AX134">
            <v>0</v>
          </cell>
          <cell r="BE134">
            <v>0</v>
          </cell>
          <cell r="BL134">
            <v>0</v>
          </cell>
          <cell r="BS134">
            <v>0</v>
          </cell>
          <cell r="BZ134">
            <v>0</v>
          </cell>
          <cell r="CG134">
            <v>0</v>
          </cell>
        </row>
        <row r="135">
          <cell r="H135">
            <v>82.63</v>
          </cell>
          <cell r="O135">
            <v>0</v>
          </cell>
          <cell r="V135">
            <v>0</v>
          </cell>
          <cell r="AC135">
            <v>0</v>
          </cell>
          <cell r="AJ135">
            <v>0</v>
          </cell>
          <cell r="AQ135">
            <v>0</v>
          </cell>
          <cell r="AX135">
            <v>0</v>
          </cell>
          <cell r="BE135">
            <v>0</v>
          </cell>
          <cell r="BL135">
            <v>0</v>
          </cell>
          <cell r="BS135">
            <v>0</v>
          </cell>
          <cell r="BZ135">
            <v>0</v>
          </cell>
          <cell r="CG135">
            <v>0</v>
          </cell>
        </row>
        <row r="136">
          <cell r="H136">
            <v>174.5200000000001</v>
          </cell>
          <cell r="O136">
            <v>0</v>
          </cell>
          <cell r="V136">
            <v>0</v>
          </cell>
          <cell r="AC136">
            <v>0</v>
          </cell>
          <cell r="AJ136">
            <v>0</v>
          </cell>
          <cell r="AQ136">
            <v>0</v>
          </cell>
          <cell r="AX136">
            <v>0</v>
          </cell>
          <cell r="BE136">
            <v>0</v>
          </cell>
          <cell r="BL136">
            <v>0</v>
          </cell>
          <cell r="BS136">
            <v>0</v>
          </cell>
          <cell r="BZ136">
            <v>0</v>
          </cell>
          <cell r="CG136">
            <v>0</v>
          </cell>
        </row>
        <row r="137">
          <cell r="H137">
            <v>0.14708559484880163</v>
          </cell>
          <cell r="O137">
            <v>0</v>
          </cell>
          <cell r="V137">
            <v>0</v>
          </cell>
          <cell r="AC137">
            <v>0</v>
          </cell>
          <cell r="AJ137">
            <v>0</v>
          </cell>
          <cell r="AQ137">
            <v>0</v>
          </cell>
          <cell r="AX137">
            <v>0</v>
          </cell>
          <cell r="BE137">
            <v>0</v>
          </cell>
          <cell r="BL137">
            <v>0</v>
          </cell>
          <cell r="BS137">
            <v>0</v>
          </cell>
          <cell r="BZ137">
            <v>0</v>
          </cell>
          <cell r="CG137">
            <v>0</v>
          </cell>
        </row>
      </sheetData>
      <sheetData sheetId="16" refreshError="1">
        <row r="12">
          <cell r="F12">
            <v>435.71000000000004</v>
          </cell>
          <cell r="K12">
            <v>0</v>
          </cell>
          <cell r="P12">
            <v>0</v>
          </cell>
          <cell r="U12">
            <v>0</v>
          </cell>
          <cell r="Z12">
            <v>0</v>
          </cell>
          <cell r="AE12">
            <v>0</v>
          </cell>
          <cell r="AJ12">
            <v>0</v>
          </cell>
          <cell r="AO12">
            <v>0</v>
          </cell>
          <cell r="AT12">
            <v>0</v>
          </cell>
          <cell r="AY12">
            <v>0</v>
          </cell>
          <cell r="BD12">
            <v>0</v>
          </cell>
          <cell r="BI12">
            <v>0</v>
          </cell>
        </row>
        <row r="13">
          <cell r="F13">
            <v>0</v>
          </cell>
          <cell r="K13">
            <v>0</v>
          </cell>
          <cell r="P13">
            <v>0</v>
          </cell>
          <cell r="U13">
            <v>0</v>
          </cell>
          <cell r="Z13">
            <v>0</v>
          </cell>
          <cell r="AE13">
            <v>0</v>
          </cell>
          <cell r="AJ13">
            <v>0</v>
          </cell>
          <cell r="AO13">
            <v>0</v>
          </cell>
          <cell r="AT13">
            <v>0</v>
          </cell>
          <cell r="AY13">
            <v>0</v>
          </cell>
          <cell r="BD13">
            <v>0</v>
          </cell>
          <cell r="BI13">
            <v>0</v>
          </cell>
        </row>
        <row r="14">
          <cell r="F14">
            <v>-0.52</v>
          </cell>
          <cell r="K14">
            <v>0</v>
          </cell>
          <cell r="P14">
            <v>0</v>
          </cell>
          <cell r="U14">
            <v>0</v>
          </cell>
          <cell r="Z14">
            <v>0</v>
          </cell>
          <cell r="AE14">
            <v>0</v>
          </cell>
          <cell r="AJ14">
            <v>0</v>
          </cell>
          <cell r="AO14">
            <v>0</v>
          </cell>
          <cell r="AT14">
            <v>0</v>
          </cell>
          <cell r="AY14">
            <v>0</v>
          </cell>
          <cell r="BD14">
            <v>0</v>
          </cell>
          <cell r="BI14">
            <v>0</v>
          </cell>
        </row>
        <row r="15">
          <cell r="F15">
            <v>0</v>
          </cell>
          <cell r="K15">
            <v>0</v>
          </cell>
          <cell r="P15">
            <v>0</v>
          </cell>
          <cell r="U15">
            <v>0</v>
          </cell>
          <cell r="Z15">
            <v>0</v>
          </cell>
          <cell r="AE15">
            <v>0</v>
          </cell>
          <cell r="AJ15">
            <v>0</v>
          </cell>
          <cell r="AO15">
            <v>0</v>
          </cell>
          <cell r="AT15">
            <v>0</v>
          </cell>
          <cell r="AY15">
            <v>0</v>
          </cell>
          <cell r="BD15">
            <v>0</v>
          </cell>
          <cell r="BI15">
            <v>0</v>
          </cell>
        </row>
        <row r="16">
          <cell r="F16">
            <v>435.19000000000005</v>
          </cell>
          <cell r="K16">
            <v>0</v>
          </cell>
          <cell r="P16">
            <v>0</v>
          </cell>
          <cell r="U16">
            <v>0</v>
          </cell>
          <cell r="Z16">
            <v>0</v>
          </cell>
          <cell r="AE16">
            <v>0</v>
          </cell>
          <cell r="AJ16">
            <v>0</v>
          </cell>
          <cell r="AO16">
            <v>0</v>
          </cell>
          <cell r="AT16">
            <v>0</v>
          </cell>
          <cell r="AY16">
            <v>0</v>
          </cell>
          <cell r="BD16">
            <v>0</v>
          </cell>
          <cell r="BI16">
            <v>0</v>
          </cell>
        </row>
        <row r="17">
          <cell r="F17">
            <v>0</v>
          </cell>
          <cell r="K17">
            <v>0</v>
          </cell>
          <cell r="P17">
            <v>0</v>
          </cell>
          <cell r="U17">
            <v>0</v>
          </cell>
          <cell r="Z17">
            <v>0</v>
          </cell>
          <cell r="AE17">
            <v>0</v>
          </cell>
          <cell r="AJ17">
            <v>0</v>
          </cell>
          <cell r="AO17">
            <v>0</v>
          </cell>
          <cell r="AT17">
            <v>0</v>
          </cell>
          <cell r="AY17">
            <v>0</v>
          </cell>
          <cell r="BD17">
            <v>0</v>
          </cell>
          <cell r="BI17">
            <v>0</v>
          </cell>
        </row>
        <row r="18">
          <cell r="F18">
            <v>0</v>
          </cell>
          <cell r="K18">
            <v>0</v>
          </cell>
          <cell r="P18">
            <v>0</v>
          </cell>
          <cell r="U18">
            <v>0</v>
          </cell>
          <cell r="Z18">
            <v>0</v>
          </cell>
          <cell r="AE18">
            <v>0</v>
          </cell>
          <cell r="AJ18">
            <v>0</v>
          </cell>
          <cell r="AO18">
            <v>0</v>
          </cell>
          <cell r="AT18">
            <v>0</v>
          </cell>
          <cell r="AY18">
            <v>0</v>
          </cell>
          <cell r="BD18">
            <v>0</v>
          </cell>
          <cell r="BI18">
            <v>0</v>
          </cell>
        </row>
        <row r="19">
          <cell r="F19">
            <v>0</v>
          </cell>
          <cell r="K19">
            <v>0</v>
          </cell>
          <cell r="P19">
            <v>0</v>
          </cell>
          <cell r="U19">
            <v>0</v>
          </cell>
          <cell r="Z19">
            <v>0</v>
          </cell>
          <cell r="AE19">
            <v>0</v>
          </cell>
          <cell r="AJ19">
            <v>0</v>
          </cell>
          <cell r="AO19">
            <v>0</v>
          </cell>
          <cell r="AT19">
            <v>0</v>
          </cell>
          <cell r="AY19">
            <v>0</v>
          </cell>
          <cell r="BD19">
            <v>0</v>
          </cell>
          <cell r="BI19">
            <v>0</v>
          </cell>
        </row>
        <row r="20">
          <cell r="F20">
            <v>0</v>
          </cell>
          <cell r="K20">
            <v>0</v>
          </cell>
          <cell r="P20">
            <v>0</v>
          </cell>
          <cell r="U20">
            <v>0</v>
          </cell>
          <cell r="Z20">
            <v>0</v>
          </cell>
          <cell r="AE20">
            <v>0</v>
          </cell>
          <cell r="AJ20">
            <v>0</v>
          </cell>
          <cell r="AO20">
            <v>0</v>
          </cell>
          <cell r="AT20">
            <v>0</v>
          </cell>
          <cell r="AY20">
            <v>0</v>
          </cell>
          <cell r="BD20">
            <v>0</v>
          </cell>
          <cell r="BI20">
            <v>0</v>
          </cell>
        </row>
        <row r="21">
          <cell r="F21">
            <v>435.19000000000005</v>
          </cell>
          <cell r="K21">
            <v>0</v>
          </cell>
          <cell r="P21">
            <v>0</v>
          </cell>
          <cell r="U21">
            <v>0</v>
          </cell>
          <cell r="Z21">
            <v>0</v>
          </cell>
          <cell r="AE21">
            <v>0</v>
          </cell>
          <cell r="AJ21">
            <v>0</v>
          </cell>
          <cell r="AO21">
            <v>0</v>
          </cell>
          <cell r="AT21">
            <v>0</v>
          </cell>
          <cell r="AY21">
            <v>0</v>
          </cell>
          <cell r="BD21">
            <v>0</v>
          </cell>
          <cell r="BI21">
            <v>0</v>
          </cell>
        </row>
        <row r="22">
          <cell r="F22">
            <v>40.4</v>
          </cell>
          <cell r="K22">
            <v>0</v>
          </cell>
          <cell r="P22">
            <v>0</v>
          </cell>
          <cell r="U22">
            <v>0</v>
          </cell>
          <cell r="Z22">
            <v>0</v>
          </cell>
          <cell r="AE22">
            <v>0</v>
          </cell>
          <cell r="AJ22">
            <v>0</v>
          </cell>
          <cell r="AO22">
            <v>0</v>
          </cell>
          <cell r="AT22">
            <v>0</v>
          </cell>
          <cell r="AY22">
            <v>0</v>
          </cell>
          <cell r="BD22">
            <v>0</v>
          </cell>
          <cell r="BI22">
            <v>0</v>
          </cell>
        </row>
        <row r="23">
          <cell r="F23">
            <v>0</v>
          </cell>
          <cell r="K23">
            <v>0</v>
          </cell>
          <cell r="P23">
            <v>0</v>
          </cell>
          <cell r="U23">
            <v>0</v>
          </cell>
          <cell r="Z23">
            <v>0</v>
          </cell>
          <cell r="AE23">
            <v>0</v>
          </cell>
          <cell r="AJ23">
            <v>0</v>
          </cell>
          <cell r="AO23">
            <v>0</v>
          </cell>
          <cell r="AT23">
            <v>0</v>
          </cell>
          <cell r="AY23">
            <v>0</v>
          </cell>
          <cell r="BD23">
            <v>0</v>
          </cell>
          <cell r="BI23">
            <v>0</v>
          </cell>
        </row>
        <row r="24">
          <cell r="F24">
            <v>286.27</v>
          </cell>
          <cell r="K24">
            <v>0</v>
          </cell>
          <cell r="P24">
            <v>0</v>
          </cell>
          <cell r="U24">
            <v>0</v>
          </cell>
          <cell r="Z24">
            <v>0</v>
          </cell>
          <cell r="AE24">
            <v>0</v>
          </cell>
          <cell r="AJ24">
            <v>0</v>
          </cell>
          <cell r="AO24">
            <v>0</v>
          </cell>
          <cell r="AT24">
            <v>0</v>
          </cell>
          <cell r="AY24">
            <v>0</v>
          </cell>
          <cell r="BD24">
            <v>0</v>
          </cell>
          <cell r="BI24">
            <v>0</v>
          </cell>
        </row>
        <row r="25">
          <cell r="F25">
            <v>29.939999999999998</v>
          </cell>
          <cell r="K25">
            <v>0</v>
          </cell>
          <cell r="P25">
            <v>0</v>
          </cell>
          <cell r="U25">
            <v>0</v>
          </cell>
          <cell r="Z25">
            <v>0</v>
          </cell>
          <cell r="AE25">
            <v>0</v>
          </cell>
          <cell r="AJ25">
            <v>0</v>
          </cell>
          <cell r="AO25">
            <v>0</v>
          </cell>
          <cell r="AT25">
            <v>0</v>
          </cell>
          <cell r="AY25">
            <v>0</v>
          </cell>
          <cell r="BD25">
            <v>0</v>
          </cell>
          <cell r="BI25">
            <v>0</v>
          </cell>
        </row>
        <row r="26">
          <cell r="F26">
            <v>0</v>
          </cell>
          <cell r="K26">
            <v>0</v>
          </cell>
          <cell r="P26">
            <v>0</v>
          </cell>
          <cell r="U26">
            <v>0</v>
          </cell>
          <cell r="Z26">
            <v>0</v>
          </cell>
          <cell r="AE26">
            <v>0</v>
          </cell>
          <cell r="AJ26">
            <v>0</v>
          </cell>
          <cell r="AO26">
            <v>0</v>
          </cell>
          <cell r="AT26">
            <v>0</v>
          </cell>
          <cell r="AY26">
            <v>0</v>
          </cell>
          <cell r="BD26">
            <v>0</v>
          </cell>
          <cell r="BI26">
            <v>0</v>
          </cell>
        </row>
        <row r="27">
          <cell r="F27">
            <v>5.6400000000000006</v>
          </cell>
          <cell r="K27">
            <v>0</v>
          </cell>
          <cell r="P27">
            <v>0</v>
          </cell>
          <cell r="U27">
            <v>0</v>
          </cell>
          <cell r="Z27">
            <v>0</v>
          </cell>
          <cell r="AE27">
            <v>0</v>
          </cell>
          <cell r="AJ27">
            <v>0</v>
          </cell>
          <cell r="AO27">
            <v>0</v>
          </cell>
          <cell r="AT27">
            <v>0</v>
          </cell>
          <cell r="AY27">
            <v>0</v>
          </cell>
          <cell r="BD27">
            <v>0</v>
          </cell>
          <cell r="BI27">
            <v>0</v>
          </cell>
        </row>
        <row r="28">
          <cell r="F28">
            <v>362.24999999999994</v>
          </cell>
          <cell r="K28">
            <v>0</v>
          </cell>
          <cell r="P28">
            <v>0</v>
          </cell>
          <cell r="U28">
            <v>0</v>
          </cell>
          <cell r="Z28">
            <v>0</v>
          </cell>
          <cell r="AE28">
            <v>0</v>
          </cell>
          <cell r="AJ28">
            <v>0</v>
          </cell>
          <cell r="AO28">
            <v>0</v>
          </cell>
          <cell r="AT28">
            <v>0</v>
          </cell>
          <cell r="AY28">
            <v>0</v>
          </cell>
          <cell r="BD28">
            <v>0</v>
          </cell>
          <cell r="BI28">
            <v>0</v>
          </cell>
        </row>
        <row r="29">
          <cell r="F29">
            <v>0</v>
          </cell>
          <cell r="K29">
            <v>0</v>
          </cell>
          <cell r="P29">
            <v>0</v>
          </cell>
          <cell r="U29">
            <v>0</v>
          </cell>
          <cell r="Z29">
            <v>0</v>
          </cell>
          <cell r="AE29">
            <v>0</v>
          </cell>
          <cell r="AJ29">
            <v>0</v>
          </cell>
          <cell r="AO29">
            <v>0</v>
          </cell>
          <cell r="AT29">
            <v>0</v>
          </cell>
          <cell r="AY29">
            <v>0</v>
          </cell>
          <cell r="BD29">
            <v>0</v>
          </cell>
          <cell r="BI29">
            <v>0</v>
          </cell>
        </row>
        <row r="30">
          <cell r="F30">
            <v>19</v>
          </cell>
          <cell r="K30">
            <v>0</v>
          </cell>
          <cell r="P30">
            <v>0</v>
          </cell>
          <cell r="U30">
            <v>0</v>
          </cell>
          <cell r="Z30">
            <v>0</v>
          </cell>
          <cell r="AE30">
            <v>0</v>
          </cell>
          <cell r="AJ30">
            <v>0</v>
          </cell>
          <cell r="AO30">
            <v>0</v>
          </cell>
          <cell r="AT30">
            <v>0</v>
          </cell>
          <cell r="AY30">
            <v>0</v>
          </cell>
          <cell r="BD30">
            <v>0</v>
          </cell>
          <cell r="BI30">
            <v>0</v>
          </cell>
        </row>
        <row r="31">
          <cell r="F31">
            <v>0</v>
          </cell>
          <cell r="K31">
            <v>0</v>
          </cell>
          <cell r="P31">
            <v>0</v>
          </cell>
          <cell r="U31">
            <v>0</v>
          </cell>
          <cell r="Z31">
            <v>0</v>
          </cell>
          <cell r="AE31">
            <v>0</v>
          </cell>
          <cell r="AJ31">
            <v>0</v>
          </cell>
          <cell r="AO31">
            <v>0</v>
          </cell>
          <cell r="AT31">
            <v>0</v>
          </cell>
          <cell r="AY31">
            <v>0</v>
          </cell>
          <cell r="BD31">
            <v>0</v>
          </cell>
          <cell r="BI31">
            <v>0</v>
          </cell>
        </row>
        <row r="32">
          <cell r="F32">
            <v>19</v>
          </cell>
          <cell r="K32">
            <v>0</v>
          </cell>
          <cell r="P32">
            <v>0</v>
          </cell>
          <cell r="U32">
            <v>0</v>
          </cell>
          <cell r="Z32">
            <v>0</v>
          </cell>
          <cell r="AE32">
            <v>0</v>
          </cell>
          <cell r="AJ32">
            <v>0</v>
          </cell>
          <cell r="AO32">
            <v>0</v>
          </cell>
          <cell r="AT32">
            <v>0</v>
          </cell>
          <cell r="AY32">
            <v>0</v>
          </cell>
          <cell r="BD32">
            <v>0</v>
          </cell>
          <cell r="BI32">
            <v>0</v>
          </cell>
        </row>
        <row r="33">
          <cell r="F33">
            <v>381.24999999999994</v>
          </cell>
          <cell r="K33">
            <v>0</v>
          </cell>
          <cell r="P33">
            <v>0</v>
          </cell>
          <cell r="U33">
            <v>0</v>
          </cell>
          <cell r="Z33">
            <v>0</v>
          </cell>
          <cell r="AE33">
            <v>0</v>
          </cell>
          <cell r="AJ33">
            <v>0</v>
          </cell>
          <cell r="AO33">
            <v>0</v>
          </cell>
          <cell r="AT33">
            <v>0</v>
          </cell>
          <cell r="AY33">
            <v>0</v>
          </cell>
          <cell r="BD33">
            <v>0</v>
          </cell>
          <cell r="BI33">
            <v>0</v>
          </cell>
        </row>
        <row r="34">
          <cell r="F34">
            <v>53.940000000000111</v>
          </cell>
          <cell r="K34">
            <v>0</v>
          </cell>
          <cell r="P34">
            <v>0</v>
          </cell>
          <cell r="U34">
            <v>0</v>
          </cell>
          <cell r="Z34">
            <v>0</v>
          </cell>
          <cell r="AE34">
            <v>0</v>
          </cell>
          <cell r="AJ34">
            <v>0</v>
          </cell>
          <cell r="AO34">
            <v>0</v>
          </cell>
          <cell r="AT34">
            <v>0</v>
          </cell>
          <cell r="AY34">
            <v>0</v>
          </cell>
          <cell r="BD34">
            <v>0</v>
          </cell>
          <cell r="BI34">
            <v>0</v>
          </cell>
        </row>
        <row r="35">
          <cell r="F35">
            <v>0.12394586272662539</v>
          </cell>
          <cell r="K35">
            <v>0</v>
          </cell>
          <cell r="P35">
            <v>0</v>
          </cell>
          <cell r="U35">
            <v>0</v>
          </cell>
          <cell r="Z35">
            <v>0</v>
          </cell>
          <cell r="AE35">
            <v>0</v>
          </cell>
          <cell r="AJ35">
            <v>0</v>
          </cell>
          <cell r="AO35">
            <v>0</v>
          </cell>
          <cell r="AT35">
            <v>0</v>
          </cell>
          <cell r="AY35">
            <v>0</v>
          </cell>
          <cell r="BD35">
            <v>0</v>
          </cell>
          <cell r="BI35">
            <v>0</v>
          </cell>
        </row>
        <row r="36">
          <cell r="F36">
            <v>12.04</v>
          </cell>
          <cell r="K36">
            <v>0</v>
          </cell>
          <cell r="P36">
            <v>0</v>
          </cell>
          <cell r="U36">
            <v>0</v>
          </cell>
          <cell r="Z36">
            <v>0</v>
          </cell>
          <cell r="AE36">
            <v>0</v>
          </cell>
          <cell r="AJ36">
            <v>0</v>
          </cell>
          <cell r="AO36">
            <v>0</v>
          </cell>
          <cell r="AT36">
            <v>0</v>
          </cell>
          <cell r="AY36">
            <v>0</v>
          </cell>
          <cell r="BD36">
            <v>0</v>
          </cell>
          <cell r="BI36">
            <v>0</v>
          </cell>
        </row>
        <row r="37">
          <cell r="F37">
            <v>0</v>
          </cell>
          <cell r="K37">
            <v>0</v>
          </cell>
          <cell r="P37">
            <v>0</v>
          </cell>
          <cell r="U37">
            <v>0</v>
          </cell>
          <cell r="Z37">
            <v>0</v>
          </cell>
          <cell r="AE37">
            <v>0</v>
          </cell>
          <cell r="AJ37">
            <v>0</v>
          </cell>
          <cell r="AO37">
            <v>0</v>
          </cell>
          <cell r="AT37">
            <v>0</v>
          </cell>
          <cell r="AY37">
            <v>0</v>
          </cell>
          <cell r="BD37">
            <v>0</v>
          </cell>
          <cell r="BI37">
            <v>0</v>
          </cell>
        </row>
        <row r="38">
          <cell r="F38">
            <v>0.82</v>
          </cell>
          <cell r="K38">
            <v>0</v>
          </cell>
          <cell r="P38">
            <v>0</v>
          </cell>
          <cell r="U38">
            <v>0</v>
          </cell>
          <cell r="Z38">
            <v>0</v>
          </cell>
          <cell r="AE38">
            <v>0</v>
          </cell>
          <cell r="AJ38">
            <v>0</v>
          </cell>
          <cell r="AO38">
            <v>0</v>
          </cell>
          <cell r="AT38">
            <v>0</v>
          </cell>
          <cell r="AY38">
            <v>0</v>
          </cell>
          <cell r="BD38">
            <v>0</v>
          </cell>
          <cell r="BI38">
            <v>0</v>
          </cell>
        </row>
        <row r="39">
          <cell r="F39">
            <v>0.08</v>
          </cell>
          <cell r="K39">
            <v>0</v>
          </cell>
          <cell r="P39">
            <v>0</v>
          </cell>
          <cell r="U39">
            <v>0</v>
          </cell>
          <cell r="Z39">
            <v>0</v>
          </cell>
          <cell r="AE39">
            <v>0</v>
          </cell>
          <cell r="AJ39">
            <v>0</v>
          </cell>
          <cell r="AO39">
            <v>0</v>
          </cell>
          <cell r="AT39">
            <v>0</v>
          </cell>
          <cell r="AY39">
            <v>0</v>
          </cell>
          <cell r="BD39">
            <v>0</v>
          </cell>
          <cell r="BI39">
            <v>0</v>
          </cell>
        </row>
        <row r="40">
          <cell r="F40">
            <v>1.86</v>
          </cell>
          <cell r="K40">
            <v>0</v>
          </cell>
          <cell r="P40">
            <v>0</v>
          </cell>
          <cell r="U40">
            <v>0</v>
          </cell>
          <cell r="Z40">
            <v>0</v>
          </cell>
          <cell r="AE40">
            <v>0</v>
          </cell>
          <cell r="AJ40">
            <v>0</v>
          </cell>
          <cell r="AO40">
            <v>0</v>
          </cell>
          <cell r="AT40">
            <v>0</v>
          </cell>
          <cell r="AY40">
            <v>0</v>
          </cell>
          <cell r="BD40">
            <v>0</v>
          </cell>
          <cell r="BI40">
            <v>0</v>
          </cell>
        </row>
        <row r="41">
          <cell r="F41">
            <v>0</v>
          </cell>
          <cell r="K41">
            <v>0</v>
          </cell>
          <cell r="P41">
            <v>0</v>
          </cell>
          <cell r="U41">
            <v>0</v>
          </cell>
          <cell r="Z41">
            <v>0</v>
          </cell>
          <cell r="AE41">
            <v>0</v>
          </cell>
          <cell r="AJ41">
            <v>0</v>
          </cell>
          <cell r="AO41">
            <v>0</v>
          </cell>
          <cell r="AT41">
            <v>0</v>
          </cell>
          <cell r="AY41">
            <v>0</v>
          </cell>
          <cell r="BD41">
            <v>0</v>
          </cell>
          <cell r="BI41">
            <v>0</v>
          </cell>
        </row>
        <row r="42">
          <cell r="F42">
            <v>0.2</v>
          </cell>
          <cell r="K42">
            <v>0</v>
          </cell>
          <cell r="P42">
            <v>0</v>
          </cell>
          <cell r="U42">
            <v>0</v>
          </cell>
          <cell r="Z42">
            <v>0</v>
          </cell>
          <cell r="AE42">
            <v>0</v>
          </cell>
          <cell r="AJ42">
            <v>0</v>
          </cell>
          <cell r="AO42">
            <v>0</v>
          </cell>
          <cell r="AT42">
            <v>0</v>
          </cell>
          <cell r="AY42">
            <v>0</v>
          </cell>
          <cell r="BD42">
            <v>0</v>
          </cell>
          <cell r="BI42">
            <v>0</v>
          </cell>
        </row>
        <row r="43">
          <cell r="F43">
            <v>0</v>
          </cell>
          <cell r="K43">
            <v>0</v>
          </cell>
          <cell r="P43">
            <v>0</v>
          </cell>
          <cell r="U43">
            <v>0</v>
          </cell>
          <cell r="Z43">
            <v>0</v>
          </cell>
          <cell r="AE43">
            <v>0</v>
          </cell>
          <cell r="AJ43">
            <v>0</v>
          </cell>
          <cell r="AO43">
            <v>0</v>
          </cell>
          <cell r="AT43">
            <v>0</v>
          </cell>
          <cell r="AY43">
            <v>0</v>
          </cell>
          <cell r="BD43">
            <v>0</v>
          </cell>
          <cell r="BI43">
            <v>0</v>
          </cell>
        </row>
        <row r="44">
          <cell r="F44">
            <v>2.52</v>
          </cell>
          <cell r="K44">
            <v>0</v>
          </cell>
          <cell r="P44">
            <v>0</v>
          </cell>
          <cell r="U44">
            <v>0</v>
          </cell>
          <cell r="Z44">
            <v>0</v>
          </cell>
          <cell r="AE44">
            <v>0</v>
          </cell>
          <cell r="AJ44">
            <v>0</v>
          </cell>
          <cell r="AO44">
            <v>0</v>
          </cell>
          <cell r="AT44">
            <v>0</v>
          </cell>
          <cell r="AY44">
            <v>0</v>
          </cell>
          <cell r="BD44">
            <v>0</v>
          </cell>
          <cell r="BI44">
            <v>0</v>
          </cell>
        </row>
        <row r="45">
          <cell r="F45">
            <v>0</v>
          </cell>
          <cell r="K45">
            <v>0</v>
          </cell>
          <cell r="P45">
            <v>0</v>
          </cell>
          <cell r="U45">
            <v>0</v>
          </cell>
          <cell r="Z45">
            <v>0</v>
          </cell>
          <cell r="AE45">
            <v>0</v>
          </cell>
          <cell r="AJ45">
            <v>0</v>
          </cell>
          <cell r="AO45">
            <v>0</v>
          </cell>
          <cell r="AT45">
            <v>0</v>
          </cell>
          <cell r="AY45">
            <v>0</v>
          </cell>
          <cell r="BD45">
            <v>0</v>
          </cell>
          <cell r="BI45">
            <v>0</v>
          </cell>
        </row>
        <row r="46">
          <cell r="F46">
            <v>0</v>
          </cell>
          <cell r="K46">
            <v>0</v>
          </cell>
          <cell r="P46">
            <v>0</v>
          </cell>
          <cell r="U46">
            <v>0</v>
          </cell>
          <cell r="Z46">
            <v>0</v>
          </cell>
          <cell r="AE46">
            <v>0</v>
          </cell>
          <cell r="AJ46">
            <v>0</v>
          </cell>
          <cell r="AO46">
            <v>0</v>
          </cell>
          <cell r="AT46">
            <v>0</v>
          </cell>
          <cell r="AY46">
            <v>0</v>
          </cell>
          <cell r="BD46">
            <v>0</v>
          </cell>
          <cell r="BI46">
            <v>0</v>
          </cell>
        </row>
        <row r="47">
          <cell r="F47">
            <v>0</v>
          </cell>
          <cell r="K47">
            <v>0</v>
          </cell>
          <cell r="P47">
            <v>0</v>
          </cell>
          <cell r="U47">
            <v>0</v>
          </cell>
          <cell r="Z47">
            <v>0</v>
          </cell>
          <cell r="AE47">
            <v>0</v>
          </cell>
          <cell r="AJ47">
            <v>0</v>
          </cell>
          <cell r="AO47">
            <v>0</v>
          </cell>
          <cell r="AT47">
            <v>0</v>
          </cell>
          <cell r="AY47">
            <v>0</v>
          </cell>
          <cell r="BD47">
            <v>0</v>
          </cell>
          <cell r="BI47">
            <v>0</v>
          </cell>
        </row>
        <row r="48">
          <cell r="F48">
            <v>0</v>
          </cell>
          <cell r="K48">
            <v>0</v>
          </cell>
          <cell r="P48">
            <v>0</v>
          </cell>
          <cell r="U48">
            <v>0</v>
          </cell>
          <cell r="Z48">
            <v>0</v>
          </cell>
          <cell r="AE48">
            <v>0</v>
          </cell>
          <cell r="AJ48">
            <v>0</v>
          </cell>
          <cell r="AO48">
            <v>0</v>
          </cell>
          <cell r="AT48">
            <v>0</v>
          </cell>
          <cell r="AY48">
            <v>0</v>
          </cell>
          <cell r="BD48">
            <v>0</v>
          </cell>
          <cell r="BI48">
            <v>0</v>
          </cell>
        </row>
        <row r="49">
          <cell r="F49">
            <v>0</v>
          </cell>
          <cell r="K49">
            <v>0</v>
          </cell>
          <cell r="P49">
            <v>0</v>
          </cell>
          <cell r="U49">
            <v>0</v>
          </cell>
          <cell r="Z49">
            <v>0</v>
          </cell>
          <cell r="AE49">
            <v>0</v>
          </cell>
          <cell r="AJ49">
            <v>0</v>
          </cell>
          <cell r="AO49">
            <v>0</v>
          </cell>
          <cell r="AT49">
            <v>0</v>
          </cell>
          <cell r="AY49">
            <v>0</v>
          </cell>
          <cell r="BD49">
            <v>0</v>
          </cell>
          <cell r="BI49">
            <v>0</v>
          </cell>
        </row>
        <row r="50">
          <cell r="F50">
            <v>17.52</v>
          </cell>
          <cell r="K50">
            <v>0</v>
          </cell>
          <cell r="P50">
            <v>0</v>
          </cell>
          <cell r="U50">
            <v>0</v>
          </cell>
          <cell r="Z50">
            <v>0</v>
          </cell>
          <cell r="AE50">
            <v>0</v>
          </cell>
          <cell r="AJ50">
            <v>0</v>
          </cell>
          <cell r="AO50">
            <v>0</v>
          </cell>
          <cell r="AT50">
            <v>0</v>
          </cell>
          <cell r="AY50">
            <v>0</v>
          </cell>
          <cell r="BD50">
            <v>0</v>
          </cell>
          <cell r="BI50">
            <v>0</v>
          </cell>
        </row>
        <row r="51">
          <cell r="F51">
            <v>0</v>
          </cell>
          <cell r="K51">
            <v>0</v>
          </cell>
          <cell r="P51">
            <v>0</v>
          </cell>
          <cell r="U51">
            <v>0</v>
          </cell>
          <cell r="Z51">
            <v>0</v>
          </cell>
          <cell r="AE51">
            <v>0</v>
          </cell>
          <cell r="AJ51">
            <v>0</v>
          </cell>
          <cell r="AO51">
            <v>0</v>
          </cell>
          <cell r="AT51">
            <v>0</v>
          </cell>
          <cell r="AY51">
            <v>0</v>
          </cell>
          <cell r="BD51">
            <v>0</v>
          </cell>
          <cell r="BI51">
            <v>0</v>
          </cell>
        </row>
        <row r="52">
          <cell r="F52">
            <v>0</v>
          </cell>
          <cell r="K52">
            <v>0</v>
          </cell>
          <cell r="P52">
            <v>0</v>
          </cell>
          <cell r="U52">
            <v>0</v>
          </cell>
          <cell r="Z52">
            <v>0</v>
          </cell>
          <cell r="AE52">
            <v>0</v>
          </cell>
          <cell r="AJ52">
            <v>0</v>
          </cell>
          <cell r="AO52">
            <v>0</v>
          </cell>
          <cell r="AT52">
            <v>0</v>
          </cell>
          <cell r="AY52">
            <v>0</v>
          </cell>
          <cell r="BD52">
            <v>0</v>
          </cell>
          <cell r="BI52">
            <v>0</v>
          </cell>
        </row>
        <row r="53">
          <cell r="F53">
            <v>0</v>
          </cell>
          <cell r="K53">
            <v>0</v>
          </cell>
          <cell r="P53">
            <v>0</v>
          </cell>
          <cell r="U53">
            <v>0</v>
          </cell>
          <cell r="Z53">
            <v>0</v>
          </cell>
          <cell r="AE53">
            <v>0</v>
          </cell>
          <cell r="AJ53">
            <v>0</v>
          </cell>
          <cell r="AO53">
            <v>0</v>
          </cell>
          <cell r="AT53">
            <v>0</v>
          </cell>
          <cell r="AY53">
            <v>0</v>
          </cell>
          <cell r="BD53">
            <v>0</v>
          </cell>
          <cell r="BI53">
            <v>0</v>
          </cell>
        </row>
        <row r="54">
          <cell r="F54">
            <v>0</v>
          </cell>
          <cell r="K54">
            <v>0</v>
          </cell>
          <cell r="P54">
            <v>0</v>
          </cell>
          <cell r="U54">
            <v>0</v>
          </cell>
          <cell r="Z54">
            <v>0</v>
          </cell>
          <cell r="AE54">
            <v>0</v>
          </cell>
          <cell r="AJ54">
            <v>0</v>
          </cell>
          <cell r="AO54">
            <v>0</v>
          </cell>
          <cell r="AT54">
            <v>0</v>
          </cell>
          <cell r="AY54">
            <v>0</v>
          </cell>
          <cell r="BD54">
            <v>0</v>
          </cell>
          <cell r="BI54">
            <v>0</v>
          </cell>
        </row>
        <row r="55">
          <cell r="F55">
            <v>0</v>
          </cell>
          <cell r="K55">
            <v>0</v>
          </cell>
          <cell r="P55">
            <v>0</v>
          </cell>
          <cell r="U55">
            <v>0</v>
          </cell>
          <cell r="Z55">
            <v>0</v>
          </cell>
          <cell r="AE55">
            <v>0</v>
          </cell>
          <cell r="AJ55">
            <v>0</v>
          </cell>
          <cell r="AO55">
            <v>0</v>
          </cell>
          <cell r="AT55">
            <v>0</v>
          </cell>
          <cell r="AY55">
            <v>0</v>
          </cell>
          <cell r="BD55">
            <v>0</v>
          </cell>
          <cell r="BI55">
            <v>0</v>
          </cell>
        </row>
        <row r="56">
          <cell r="F56">
            <v>0</v>
          </cell>
          <cell r="K56">
            <v>0</v>
          </cell>
          <cell r="P56">
            <v>0</v>
          </cell>
          <cell r="U56">
            <v>0</v>
          </cell>
          <cell r="Z56">
            <v>0</v>
          </cell>
          <cell r="AE56">
            <v>0</v>
          </cell>
          <cell r="AJ56">
            <v>0</v>
          </cell>
          <cell r="AO56">
            <v>0</v>
          </cell>
          <cell r="AT56">
            <v>0</v>
          </cell>
          <cell r="AY56">
            <v>0</v>
          </cell>
          <cell r="BD56">
            <v>0</v>
          </cell>
          <cell r="BI56">
            <v>0</v>
          </cell>
        </row>
        <row r="57">
          <cell r="F57">
            <v>0.44</v>
          </cell>
          <cell r="K57">
            <v>0</v>
          </cell>
          <cell r="P57">
            <v>0</v>
          </cell>
          <cell r="U57">
            <v>0</v>
          </cell>
          <cell r="Z57">
            <v>0</v>
          </cell>
          <cell r="AE57">
            <v>0</v>
          </cell>
          <cell r="AJ57">
            <v>0</v>
          </cell>
          <cell r="AO57">
            <v>0</v>
          </cell>
          <cell r="AT57">
            <v>0</v>
          </cell>
          <cell r="AY57">
            <v>0</v>
          </cell>
          <cell r="BD57">
            <v>0</v>
          </cell>
          <cell r="BI57">
            <v>0</v>
          </cell>
        </row>
        <row r="58">
          <cell r="F58">
            <v>0</v>
          </cell>
          <cell r="K58">
            <v>0</v>
          </cell>
          <cell r="P58">
            <v>0</v>
          </cell>
          <cell r="U58">
            <v>0</v>
          </cell>
          <cell r="Z58">
            <v>0</v>
          </cell>
          <cell r="AE58">
            <v>0</v>
          </cell>
          <cell r="AJ58">
            <v>0</v>
          </cell>
          <cell r="AO58">
            <v>0</v>
          </cell>
          <cell r="AT58">
            <v>0</v>
          </cell>
          <cell r="AY58">
            <v>0</v>
          </cell>
          <cell r="BD58">
            <v>0</v>
          </cell>
          <cell r="BI58">
            <v>0</v>
          </cell>
        </row>
        <row r="59">
          <cell r="F59">
            <v>0</v>
          </cell>
          <cell r="K59">
            <v>0</v>
          </cell>
          <cell r="P59">
            <v>0</v>
          </cell>
          <cell r="U59">
            <v>0</v>
          </cell>
          <cell r="Z59">
            <v>0</v>
          </cell>
          <cell r="AE59">
            <v>0</v>
          </cell>
          <cell r="AJ59">
            <v>0</v>
          </cell>
          <cell r="AO59">
            <v>0</v>
          </cell>
          <cell r="AT59">
            <v>0</v>
          </cell>
          <cell r="AY59">
            <v>0</v>
          </cell>
          <cell r="BD59">
            <v>0</v>
          </cell>
          <cell r="BI59">
            <v>0</v>
          </cell>
        </row>
        <row r="60">
          <cell r="F60">
            <v>0.08</v>
          </cell>
          <cell r="K60">
            <v>0</v>
          </cell>
          <cell r="P60">
            <v>0</v>
          </cell>
          <cell r="U60">
            <v>0</v>
          </cell>
          <cell r="Z60">
            <v>0</v>
          </cell>
          <cell r="AE60">
            <v>0</v>
          </cell>
          <cell r="AJ60">
            <v>0</v>
          </cell>
          <cell r="AO60">
            <v>0</v>
          </cell>
          <cell r="AT60">
            <v>0</v>
          </cell>
          <cell r="AY60">
            <v>0</v>
          </cell>
          <cell r="BD60">
            <v>0</v>
          </cell>
          <cell r="BI60">
            <v>0</v>
          </cell>
        </row>
        <row r="61">
          <cell r="F61">
            <v>0</v>
          </cell>
          <cell r="K61">
            <v>0</v>
          </cell>
          <cell r="P61">
            <v>0</v>
          </cell>
          <cell r="U61">
            <v>0</v>
          </cell>
          <cell r="Z61">
            <v>0</v>
          </cell>
          <cell r="AE61">
            <v>0</v>
          </cell>
          <cell r="AJ61">
            <v>0</v>
          </cell>
          <cell r="AO61">
            <v>0</v>
          </cell>
          <cell r="AT61">
            <v>0</v>
          </cell>
          <cell r="AY61">
            <v>0</v>
          </cell>
          <cell r="BD61">
            <v>0</v>
          </cell>
          <cell r="BI61">
            <v>0</v>
          </cell>
        </row>
        <row r="62">
          <cell r="F62">
            <v>0</v>
          </cell>
          <cell r="K62">
            <v>0</v>
          </cell>
          <cell r="P62">
            <v>0</v>
          </cell>
          <cell r="U62">
            <v>0</v>
          </cell>
          <cell r="Z62">
            <v>0</v>
          </cell>
          <cell r="AE62">
            <v>0</v>
          </cell>
          <cell r="AJ62">
            <v>0</v>
          </cell>
          <cell r="AO62">
            <v>0</v>
          </cell>
          <cell r="AT62">
            <v>0</v>
          </cell>
          <cell r="AY62">
            <v>0</v>
          </cell>
          <cell r="BD62">
            <v>0</v>
          </cell>
          <cell r="BI62">
            <v>0</v>
          </cell>
        </row>
        <row r="63">
          <cell r="F63">
            <v>0</v>
          </cell>
          <cell r="K63">
            <v>0</v>
          </cell>
          <cell r="P63">
            <v>0</v>
          </cell>
          <cell r="U63">
            <v>0</v>
          </cell>
          <cell r="Z63">
            <v>0</v>
          </cell>
          <cell r="AE63">
            <v>0</v>
          </cell>
          <cell r="AJ63">
            <v>0</v>
          </cell>
          <cell r="AO63">
            <v>0</v>
          </cell>
          <cell r="AT63">
            <v>0</v>
          </cell>
          <cell r="AY63">
            <v>0</v>
          </cell>
          <cell r="BD63">
            <v>0</v>
          </cell>
          <cell r="BI63">
            <v>0</v>
          </cell>
        </row>
        <row r="64">
          <cell r="F64">
            <v>0</v>
          </cell>
          <cell r="K64">
            <v>0</v>
          </cell>
          <cell r="P64">
            <v>0</v>
          </cell>
          <cell r="U64">
            <v>0</v>
          </cell>
          <cell r="Z64">
            <v>0</v>
          </cell>
          <cell r="AE64">
            <v>0</v>
          </cell>
          <cell r="AJ64">
            <v>0</v>
          </cell>
          <cell r="AO64">
            <v>0</v>
          </cell>
          <cell r="AT64">
            <v>0</v>
          </cell>
          <cell r="AY64">
            <v>0</v>
          </cell>
          <cell r="BD64">
            <v>0</v>
          </cell>
          <cell r="BI64">
            <v>0</v>
          </cell>
        </row>
        <row r="65">
          <cell r="F65">
            <v>0.08</v>
          </cell>
          <cell r="K65">
            <v>0</v>
          </cell>
          <cell r="P65">
            <v>0</v>
          </cell>
          <cell r="U65">
            <v>0</v>
          </cell>
          <cell r="Z65">
            <v>0</v>
          </cell>
          <cell r="AE65">
            <v>0</v>
          </cell>
          <cell r="AJ65">
            <v>0</v>
          </cell>
          <cell r="AO65">
            <v>0</v>
          </cell>
          <cell r="AT65">
            <v>0</v>
          </cell>
          <cell r="AY65">
            <v>0</v>
          </cell>
          <cell r="BD65">
            <v>0</v>
          </cell>
          <cell r="BI65">
            <v>0</v>
          </cell>
        </row>
        <row r="66">
          <cell r="F66">
            <v>0.04</v>
          </cell>
          <cell r="K66">
            <v>0</v>
          </cell>
          <cell r="P66">
            <v>0</v>
          </cell>
          <cell r="U66">
            <v>0</v>
          </cell>
          <cell r="Z66">
            <v>0</v>
          </cell>
          <cell r="AE66">
            <v>0</v>
          </cell>
          <cell r="AJ66">
            <v>0</v>
          </cell>
          <cell r="AO66">
            <v>0</v>
          </cell>
          <cell r="AT66">
            <v>0</v>
          </cell>
          <cell r="AY66">
            <v>0</v>
          </cell>
          <cell r="BD66">
            <v>0</v>
          </cell>
          <cell r="BI66">
            <v>0</v>
          </cell>
        </row>
        <row r="67">
          <cell r="F67">
            <v>0</v>
          </cell>
          <cell r="K67">
            <v>0</v>
          </cell>
          <cell r="P67">
            <v>0</v>
          </cell>
          <cell r="U67">
            <v>0</v>
          </cell>
          <cell r="Z67">
            <v>0</v>
          </cell>
          <cell r="AE67">
            <v>0</v>
          </cell>
          <cell r="AJ67">
            <v>0</v>
          </cell>
          <cell r="AO67">
            <v>0</v>
          </cell>
          <cell r="AT67">
            <v>0</v>
          </cell>
          <cell r="AY67">
            <v>0</v>
          </cell>
          <cell r="BD67">
            <v>0</v>
          </cell>
          <cell r="BI67">
            <v>0</v>
          </cell>
        </row>
        <row r="68">
          <cell r="F68">
            <v>2.44</v>
          </cell>
          <cell r="K68">
            <v>0</v>
          </cell>
          <cell r="P68">
            <v>0</v>
          </cell>
          <cell r="U68">
            <v>0</v>
          </cell>
          <cell r="Z68">
            <v>0</v>
          </cell>
          <cell r="AE68">
            <v>0</v>
          </cell>
          <cell r="AJ68">
            <v>0</v>
          </cell>
          <cell r="AO68">
            <v>0</v>
          </cell>
          <cell r="AT68">
            <v>0</v>
          </cell>
          <cell r="AY68">
            <v>0</v>
          </cell>
          <cell r="BD68">
            <v>0</v>
          </cell>
          <cell r="BI68">
            <v>0</v>
          </cell>
        </row>
        <row r="69">
          <cell r="F69">
            <v>0</v>
          </cell>
          <cell r="K69">
            <v>0</v>
          </cell>
          <cell r="P69">
            <v>0</v>
          </cell>
          <cell r="U69">
            <v>0</v>
          </cell>
          <cell r="Z69">
            <v>0</v>
          </cell>
          <cell r="AE69">
            <v>0</v>
          </cell>
          <cell r="AJ69">
            <v>0</v>
          </cell>
          <cell r="AO69">
            <v>0</v>
          </cell>
          <cell r="AT69">
            <v>0</v>
          </cell>
          <cell r="AY69">
            <v>0</v>
          </cell>
          <cell r="BD69">
            <v>0</v>
          </cell>
          <cell r="BI69">
            <v>0</v>
          </cell>
        </row>
        <row r="70">
          <cell r="F70">
            <v>0.92</v>
          </cell>
          <cell r="K70">
            <v>0</v>
          </cell>
          <cell r="P70">
            <v>0</v>
          </cell>
          <cell r="U70">
            <v>0</v>
          </cell>
          <cell r="Z70">
            <v>0</v>
          </cell>
          <cell r="AE70">
            <v>0</v>
          </cell>
          <cell r="AJ70">
            <v>0</v>
          </cell>
          <cell r="AO70">
            <v>0</v>
          </cell>
          <cell r="AT70">
            <v>0</v>
          </cell>
          <cell r="AY70">
            <v>0</v>
          </cell>
          <cell r="BD70">
            <v>0</v>
          </cell>
          <cell r="BI70">
            <v>0</v>
          </cell>
        </row>
        <row r="71">
          <cell r="F71">
            <v>0</v>
          </cell>
          <cell r="K71">
            <v>0</v>
          </cell>
          <cell r="P71">
            <v>0</v>
          </cell>
          <cell r="U71">
            <v>0</v>
          </cell>
          <cell r="Z71">
            <v>0</v>
          </cell>
          <cell r="AE71">
            <v>0</v>
          </cell>
          <cell r="AJ71">
            <v>0</v>
          </cell>
          <cell r="AO71">
            <v>0</v>
          </cell>
          <cell r="AT71">
            <v>0</v>
          </cell>
          <cell r="AY71">
            <v>0</v>
          </cell>
          <cell r="BD71">
            <v>0</v>
          </cell>
          <cell r="BI71">
            <v>0</v>
          </cell>
        </row>
        <row r="72">
          <cell r="F72">
            <v>0</v>
          </cell>
          <cell r="K72">
            <v>0</v>
          </cell>
          <cell r="P72">
            <v>0</v>
          </cell>
          <cell r="U72">
            <v>0</v>
          </cell>
          <cell r="Z72">
            <v>0</v>
          </cell>
          <cell r="AE72">
            <v>0</v>
          </cell>
          <cell r="AJ72">
            <v>0</v>
          </cell>
          <cell r="AO72">
            <v>0</v>
          </cell>
          <cell r="AT72">
            <v>0</v>
          </cell>
          <cell r="AY72">
            <v>0</v>
          </cell>
          <cell r="BD72">
            <v>0</v>
          </cell>
          <cell r="BI72">
            <v>0</v>
          </cell>
        </row>
        <row r="73">
          <cell r="F73">
            <v>0</v>
          </cell>
          <cell r="K73">
            <v>0</v>
          </cell>
          <cell r="P73">
            <v>0</v>
          </cell>
          <cell r="U73">
            <v>0</v>
          </cell>
          <cell r="Z73">
            <v>0</v>
          </cell>
          <cell r="AE73">
            <v>0</v>
          </cell>
          <cell r="AJ73">
            <v>0</v>
          </cell>
          <cell r="AO73">
            <v>0</v>
          </cell>
          <cell r="AT73">
            <v>0</v>
          </cell>
          <cell r="AY73">
            <v>0</v>
          </cell>
          <cell r="BD73">
            <v>0</v>
          </cell>
          <cell r="BI73">
            <v>0</v>
          </cell>
        </row>
        <row r="74">
          <cell r="F74">
            <v>0</v>
          </cell>
          <cell r="K74">
            <v>0</v>
          </cell>
          <cell r="P74">
            <v>0</v>
          </cell>
          <cell r="U74">
            <v>0</v>
          </cell>
          <cell r="Z74">
            <v>0</v>
          </cell>
          <cell r="AE74">
            <v>0</v>
          </cell>
          <cell r="AJ74">
            <v>0</v>
          </cell>
          <cell r="AO74">
            <v>0</v>
          </cell>
          <cell r="AT74">
            <v>0</v>
          </cell>
          <cell r="AY74">
            <v>0</v>
          </cell>
          <cell r="BD74">
            <v>0</v>
          </cell>
          <cell r="BI74">
            <v>0</v>
          </cell>
        </row>
        <row r="75">
          <cell r="F75">
            <v>0</v>
          </cell>
          <cell r="K75">
            <v>0</v>
          </cell>
          <cell r="P75">
            <v>0</v>
          </cell>
          <cell r="U75">
            <v>0</v>
          </cell>
          <cell r="Z75">
            <v>0</v>
          </cell>
          <cell r="AE75">
            <v>0</v>
          </cell>
          <cell r="AJ75">
            <v>0</v>
          </cell>
          <cell r="AO75">
            <v>0</v>
          </cell>
          <cell r="AT75">
            <v>0</v>
          </cell>
          <cell r="AY75">
            <v>0</v>
          </cell>
          <cell r="BD75">
            <v>0</v>
          </cell>
          <cell r="BI75">
            <v>0</v>
          </cell>
        </row>
        <row r="76">
          <cell r="F76">
            <v>0</v>
          </cell>
          <cell r="K76">
            <v>0</v>
          </cell>
          <cell r="P76">
            <v>0</v>
          </cell>
          <cell r="U76">
            <v>0</v>
          </cell>
          <cell r="Z76">
            <v>0</v>
          </cell>
          <cell r="AE76">
            <v>0</v>
          </cell>
          <cell r="AJ76">
            <v>0</v>
          </cell>
          <cell r="AO76">
            <v>0</v>
          </cell>
          <cell r="AT76">
            <v>0</v>
          </cell>
          <cell r="AY76">
            <v>0</v>
          </cell>
          <cell r="BD76">
            <v>0</v>
          </cell>
          <cell r="BI76">
            <v>0</v>
          </cell>
        </row>
        <row r="77">
          <cell r="F77">
            <v>4.24</v>
          </cell>
          <cell r="K77">
            <v>0</v>
          </cell>
          <cell r="P77">
            <v>0</v>
          </cell>
          <cell r="U77">
            <v>0</v>
          </cell>
          <cell r="Z77">
            <v>0</v>
          </cell>
          <cell r="AE77">
            <v>0</v>
          </cell>
          <cell r="AJ77">
            <v>0</v>
          </cell>
          <cell r="AO77">
            <v>0</v>
          </cell>
          <cell r="AT77">
            <v>0</v>
          </cell>
          <cell r="AY77">
            <v>0</v>
          </cell>
          <cell r="BD77">
            <v>0</v>
          </cell>
          <cell r="BI77">
            <v>0</v>
          </cell>
        </row>
        <row r="78">
          <cell r="F78">
            <v>0.48</v>
          </cell>
          <cell r="K78">
            <v>0</v>
          </cell>
          <cell r="P78">
            <v>0</v>
          </cell>
          <cell r="U78">
            <v>0</v>
          </cell>
          <cell r="Z78">
            <v>0</v>
          </cell>
          <cell r="AE78">
            <v>0</v>
          </cell>
          <cell r="AJ78">
            <v>0</v>
          </cell>
          <cell r="AO78">
            <v>0</v>
          </cell>
          <cell r="AT78">
            <v>0</v>
          </cell>
          <cell r="AY78">
            <v>0</v>
          </cell>
          <cell r="BD78">
            <v>0</v>
          </cell>
          <cell r="BI78">
            <v>0</v>
          </cell>
        </row>
        <row r="79">
          <cell r="F79">
            <v>1.2</v>
          </cell>
          <cell r="K79">
            <v>0</v>
          </cell>
          <cell r="P79">
            <v>0</v>
          </cell>
          <cell r="U79">
            <v>0</v>
          </cell>
          <cell r="Z79">
            <v>0</v>
          </cell>
          <cell r="AE79">
            <v>0</v>
          </cell>
          <cell r="AJ79">
            <v>0</v>
          </cell>
          <cell r="AO79">
            <v>0</v>
          </cell>
          <cell r="AT79">
            <v>0</v>
          </cell>
          <cell r="AY79">
            <v>0</v>
          </cell>
          <cell r="BD79">
            <v>0</v>
          </cell>
          <cell r="BI79">
            <v>0</v>
          </cell>
        </row>
        <row r="80">
          <cell r="F80">
            <v>1.1000000000000001</v>
          </cell>
          <cell r="K80">
            <v>0</v>
          </cell>
          <cell r="P80">
            <v>0</v>
          </cell>
          <cell r="U80">
            <v>0</v>
          </cell>
          <cell r="Z80">
            <v>0</v>
          </cell>
          <cell r="AE80">
            <v>0</v>
          </cell>
          <cell r="AJ80">
            <v>0</v>
          </cell>
          <cell r="AO80">
            <v>0</v>
          </cell>
          <cell r="AT80">
            <v>0</v>
          </cell>
          <cell r="AY80">
            <v>0</v>
          </cell>
          <cell r="BD80">
            <v>0</v>
          </cell>
          <cell r="BI80">
            <v>0</v>
          </cell>
        </row>
        <row r="81">
          <cell r="F81">
            <v>0</v>
          </cell>
          <cell r="K81">
            <v>0</v>
          </cell>
          <cell r="P81">
            <v>0</v>
          </cell>
          <cell r="U81">
            <v>0</v>
          </cell>
          <cell r="Z81">
            <v>0</v>
          </cell>
          <cell r="AE81">
            <v>0</v>
          </cell>
          <cell r="AJ81">
            <v>0</v>
          </cell>
          <cell r="AO81">
            <v>0</v>
          </cell>
          <cell r="AT81">
            <v>0</v>
          </cell>
          <cell r="AY81">
            <v>0</v>
          </cell>
          <cell r="BD81">
            <v>0</v>
          </cell>
          <cell r="BI81">
            <v>0</v>
          </cell>
        </row>
        <row r="82">
          <cell r="F82">
            <v>0</v>
          </cell>
          <cell r="K82">
            <v>0</v>
          </cell>
          <cell r="P82">
            <v>0</v>
          </cell>
          <cell r="U82">
            <v>0</v>
          </cell>
          <cell r="Z82">
            <v>0</v>
          </cell>
          <cell r="AE82">
            <v>0</v>
          </cell>
          <cell r="AJ82">
            <v>0</v>
          </cell>
          <cell r="AO82">
            <v>0</v>
          </cell>
          <cell r="AT82">
            <v>0</v>
          </cell>
          <cell r="AY82">
            <v>0</v>
          </cell>
          <cell r="BD82">
            <v>0</v>
          </cell>
          <cell r="BI82">
            <v>0</v>
          </cell>
        </row>
        <row r="83">
          <cell r="F83">
            <v>0</v>
          </cell>
          <cell r="K83">
            <v>0</v>
          </cell>
          <cell r="P83">
            <v>0</v>
          </cell>
          <cell r="U83">
            <v>0</v>
          </cell>
          <cell r="Z83">
            <v>0</v>
          </cell>
          <cell r="AE83">
            <v>0</v>
          </cell>
          <cell r="AJ83">
            <v>0</v>
          </cell>
          <cell r="AO83">
            <v>0</v>
          </cell>
          <cell r="AT83">
            <v>0</v>
          </cell>
          <cell r="AY83">
            <v>0</v>
          </cell>
          <cell r="BD83">
            <v>0</v>
          </cell>
          <cell r="BI83">
            <v>0</v>
          </cell>
        </row>
        <row r="84">
          <cell r="F84">
            <v>0</v>
          </cell>
          <cell r="K84">
            <v>0</v>
          </cell>
          <cell r="P84">
            <v>0</v>
          </cell>
          <cell r="U84">
            <v>0</v>
          </cell>
          <cell r="Z84">
            <v>0</v>
          </cell>
          <cell r="AE84">
            <v>0</v>
          </cell>
          <cell r="AJ84">
            <v>0</v>
          </cell>
          <cell r="AO84">
            <v>0</v>
          </cell>
          <cell r="AT84">
            <v>0</v>
          </cell>
          <cell r="AY84">
            <v>0</v>
          </cell>
          <cell r="BD84">
            <v>0</v>
          </cell>
          <cell r="BI84">
            <v>0</v>
          </cell>
        </row>
        <row r="85">
          <cell r="F85">
            <v>0</v>
          </cell>
          <cell r="K85">
            <v>0</v>
          </cell>
          <cell r="P85">
            <v>0</v>
          </cell>
          <cell r="U85">
            <v>0</v>
          </cell>
          <cell r="Z85">
            <v>0</v>
          </cell>
          <cell r="AE85">
            <v>0</v>
          </cell>
          <cell r="AJ85">
            <v>0</v>
          </cell>
          <cell r="AO85">
            <v>0</v>
          </cell>
          <cell r="AT85">
            <v>0</v>
          </cell>
          <cell r="AY85">
            <v>0</v>
          </cell>
          <cell r="BD85">
            <v>0</v>
          </cell>
          <cell r="BI85">
            <v>0</v>
          </cell>
        </row>
        <row r="86">
          <cell r="F86">
            <v>0</v>
          </cell>
          <cell r="K86">
            <v>0</v>
          </cell>
          <cell r="P86">
            <v>0</v>
          </cell>
          <cell r="U86">
            <v>0</v>
          </cell>
          <cell r="Z86">
            <v>0</v>
          </cell>
          <cell r="AE86">
            <v>0</v>
          </cell>
          <cell r="AJ86">
            <v>0</v>
          </cell>
          <cell r="AO86">
            <v>0</v>
          </cell>
          <cell r="AT86">
            <v>0</v>
          </cell>
          <cell r="AY86">
            <v>0</v>
          </cell>
          <cell r="BD86">
            <v>0</v>
          </cell>
          <cell r="BI86">
            <v>0</v>
          </cell>
        </row>
        <row r="87">
          <cell r="F87">
            <v>0</v>
          </cell>
          <cell r="K87">
            <v>0</v>
          </cell>
          <cell r="P87">
            <v>0</v>
          </cell>
          <cell r="U87">
            <v>0</v>
          </cell>
          <cell r="Z87">
            <v>0</v>
          </cell>
          <cell r="AE87">
            <v>0</v>
          </cell>
          <cell r="AJ87">
            <v>0</v>
          </cell>
          <cell r="AO87">
            <v>0</v>
          </cell>
          <cell r="AT87">
            <v>0</v>
          </cell>
          <cell r="AY87">
            <v>0</v>
          </cell>
          <cell r="BD87">
            <v>0</v>
          </cell>
          <cell r="BI87">
            <v>0</v>
          </cell>
        </row>
        <row r="88">
          <cell r="F88">
            <v>10.379999999999999</v>
          </cell>
          <cell r="K88">
            <v>0</v>
          </cell>
          <cell r="P88">
            <v>0</v>
          </cell>
          <cell r="U88">
            <v>0</v>
          </cell>
          <cell r="Z88">
            <v>0</v>
          </cell>
          <cell r="AE88">
            <v>0</v>
          </cell>
          <cell r="AJ88">
            <v>0</v>
          </cell>
          <cell r="AO88">
            <v>0</v>
          </cell>
          <cell r="AT88">
            <v>0</v>
          </cell>
          <cell r="AY88">
            <v>0</v>
          </cell>
          <cell r="BD88">
            <v>0</v>
          </cell>
          <cell r="BI88">
            <v>0</v>
          </cell>
        </row>
        <row r="89">
          <cell r="F89">
            <v>10.94</v>
          </cell>
          <cell r="K89">
            <v>0</v>
          </cell>
          <cell r="P89">
            <v>0</v>
          </cell>
          <cell r="U89">
            <v>0</v>
          </cell>
          <cell r="Z89">
            <v>0</v>
          </cell>
          <cell r="AE89">
            <v>0</v>
          </cell>
          <cell r="AJ89">
            <v>0</v>
          </cell>
          <cell r="AO89">
            <v>0</v>
          </cell>
          <cell r="AT89">
            <v>0</v>
          </cell>
          <cell r="AY89">
            <v>0</v>
          </cell>
          <cell r="BD89">
            <v>0</v>
          </cell>
          <cell r="BI89">
            <v>0</v>
          </cell>
        </row>
        <row r="90">
          <cell r="F90">
            <v>0</v>
          </cell>
          <cell r="K90">
            <v>0</v>
          </cell>
          <cell r="P90">
            <v>0</v>
          </cell>
          <cell r="U90">
            <v>0</v>
          </cell>
          <cell r="Z90">
            <v>0</v>
          </cell>
          <cell r="AE90">
            <v>0</v>
          </cell>
          <cell r="AJ90">
            <v>0</v>
          </cell>
          <cell r="AO90">
            <v>0</v>
          </cell>
          <cell r="AT90">
            <v>0</v>
          </cell>
          <cell r="AY90">
            <v>0</v>
          </cell>
          <cell r="BD90">
            <v>0</v>
          </cell>
          <cell r="BI90">
            <v>0</v>
          </cell>
        </row>
        <row r="91">
          <cell r="F91">
            <v>0</v>
          </cell>
          <cell r="K91">
            <v>0</v>
          </cell>
          <cell r="P91">
            <v>0</v>
          </cell>
          <cell r="U91">
            <v>0</v>
          </cell>
          <cell r="Z91">
            <v>0</v>
          </cell>
          <cell r="AE91">
            <v>0</v>
          </cell>
          <cell r="AJ91">
            <v>0</v>
          </cell>
          <cell r="AO91">
            <v>0</v>
          </cell>
          <cell r="AT91">
            <v>0</v>
          </cell>
          <cell r="AY91">
            <v>0</v>
          </cell>
          <cell r="BD91">
            <v>0</v>
          </cell>
          <cell r="BI91">
            <v>0</v>
          </cell>
        </row>
        <row r="92">
          <cell r="F92">
            <v>0</v>
          </cell>
          <cell r="K92">
            <v>0</v>
          </cell>
          <cell r="P92">
            <v>0</v>
          </cell>
          <cell r="U92">
            <v>0</v>
          </cell>
          <cell r="Z92">
            <v>0</v>
          </cell>
          <cell r="AE92">
            <v>0</v>
          </cell>
          <cell r="AJ92">
            <v>0</v>
          </cell>
          <cell r="AO92">
            <v>0</v>
          </cell>
          <cell r="AT92">
            <v>0</v>
          </cell>
          <cell r="AY92">
            <v>0</v>
          </cell>
          <cell r="BD92">
            <v>0</v>
          </cell>
          <cell r="BI92">
            <v>0</v>
          </cell>
        </row>
        <row r="93">
          <cell r="F93">
            <v>28.46</v>
          </cell>
          <cell r="K93">
            <v>0</v>
          </cell>
          <cell r="P93">
            <v>0</v>
          </cell>
          <cell r="U93">
            <v>0</v>
          </cell>
          <cell r="Z93">
            <v>0</v>
          </cell>
          <cell r="AE93">
            <v>0</v>
          </cell>
          <cell r="AJ93">
            <v>0</v>
          </cell>
          <cell r="AO93">
            <v>0</v>
          </cell>
          <cell r="AT93">
            <v>0</v>
          </cell>
          <cell r="AY93">
            <v>0</v>
          </cell>
          <cell r="BD93">
            <v>0</v>
          </cell>
          <cell r="BI93">
            <v>0</v>
          </cell>
        </row>
        <row r="94">
          <cell r="F94">
            <v>0</v>
          </cell>
          <cell r="K94">
            <v>0</v>
          </cell>
          <cell r="P94">
            <v>0</v>
          </cell>
          <cell r="U94">
            <v>0</v>
          </cell>
          <cell r="Z94">
            <v>0</v>
          </cell>
          <cell r="AE94">
            <v>0</v>
          </cell>
          <cell r="AJ94">
            <v>0</v>
          </cell>
          <cell r="AO94">
            <v>0</v>
          </cell>
          <cell r="AT94">
            <v>0</v>
          </cell>
          <cell r="AY94">
            <v>0</v>
          </cell>
          <cell r="BD94">
            <v>0</v>
          </cell>
          <cell r="BI94">
            <v>0</v>
          </cell>
        </row>
        <row r="95">
          <cell r="F95">
            <v>1.3399999999999999</v>
          </cell>
          <cell r="K95">
            <v>0</v>
          </cell>
          <cell r="P95">
            <v>0</v>
          </cell>
          <cell r="U95">
            <v>0</v>
          </cell>
          <cell r="Z95">
            <v>0</v>
          </cell>
          <cell r="AE95">
            <v>0</v>
          </cell>
          <cell r="AJ95">
            <v>0</v>
          </cell>
          <cell r="AO95">
            <v>0</v>
          </cell>
          <cell r="AT95">
            <v>0</v>
          </cell>
          <cell r="AY95">
            <v>0</v>
          </cell>
          <cell r="BD95">
            <v>0</v>
          </cell>
          <cell r="BI95">
            <v>0</v>
          </cell>
        </row>
        <row r="96">
          <cell r="F96">
            <v>1.3399999999999999</v>
          </cell>
          <cell r="K96">
            <v>0</v>
          </cell>
          <cell r="P96">
            <v>0</v>
          </cell>
          <cell r="U96">
            <v>0</v>
          </cell>
          <cell r="Z96">
            <v>0</v>
          </cell>
          <cell r="AE96">
            <v>0</v>
          </cell>
          <cell r="AJ96">
            <v>0</v>
          </cell>
          <cell r="AO96">
            <v>0</v>
          </cell>
          <cell r="AT96">
            <v>0</v>
          </cell>
          <cell r="AY96">
            <v>0</v>
          </cell>
          <cell r="BD96">
            <v>0</v>
          </cell>
          <cell r="BI96">
            <v>0</v>
          </cell>
        </row>
        <row r="97">
          <cell r="F97">
            <v>1.3900000000000001</v>
          </cell>
          <cell r="K97">
            <v>0</v>
          </cell>
          <cell r="P97">
            <v>0</v>
          </cell>
          <cell r="U97">
            <v>0</v>
          </cell>
          <cell r="Z97">
            <v>0</v>
          </cell>
          <cell r="AE97">
            <v>0</v>
          </cell>
          <cell r="AJ97">
            <v>0</v>
          </cell>
          <cell r="AO97">
            <v>0</v>
          </cell>
          <cell r="AT97">
            <v>0</v>
          </cell>
          <cell r="AY97">
            <v>0</v>
          </cell>
          <cell r="BD97">
            <v>0</v>
          </cell>
          <cell r="BI97">
            <v>0</v>
          </cell>
        </row>
        <row r="98">
          <cell r="F98">
            <v>0.84</v>
          </cell>
          <cell r="K98">
            <v>0</v>
          </cell>
          <cell r="P98">
            <v>0</v>
          </cell>
          <cell r="U98">
            <v>0</v>
          </cell>
          <cell r="Z98">
            <v>0</v>
          </cell>
          <cell r="AE98">
            <v>0</v>
          </cell>
          <cell r="AJ98">
            <v>0</v>
          </cell>
          <cell r="AO98">
            <v>0</v>
          </cell>
          <cell r="AT98">
            <v>0</v>
          </cell>
          <cell r="AY98">
            <v>0</v>
          </cell>
          <cell r="BD98">
            <v>0</v>
          </cell>
          <cell r="BI98">
            <v>0</v>
          </cell>
        </row>
        <row r="99">
          <cell r="F99">
            <v>0</v>
          </cell>
          <cell r="K99">
            <v>0</v>
          </cell>
          <cell r="P99">
            <v>0</v>
          </cell>
          <cell r="U99">
            <v>0</v>
          </cell>
          <cell r="Z99">
            <v>0</v>
          </cell>
          <cell r="AE99">
            <v>0</v>
          </cell>
          <cell r="AJ99">
            <v>0</v>
          </cell>
          <cell r="AO99">
            <v>0</v>
          </cell>
          <cell r="AT99">
            <v>0</v>
          </cell>
          <cell r="AY99">
            <v>0</v>
          </cell>
          <cell r="BD99">
            <v>0</v>
          </cell>
          <cell r="BI99">
            <v>0</v>
          </cell>
        </row>
        <row r="100">
          <cell r="F100">
            <v>2.1800000000000002</v>
          </cell>
          <cell r="K100">
            <v>0</v>
          </cell>
          <cell r="P100">
            <v>0</v>
          </cell>
          <cell r="U100">
            <v>0</v>
          </cell>
          <cell r="Z100">
            <v>0</v>
          </cell>
          <cell r="AE100">
            <v>0</v>
          </cell>
          <cell r="AJ100">
            <v>0</v>
          </cell>
          <cell r="AO100">
            <v>0</v>
          </cell>
          <cell r="AT100">
            <v>0</v>
          </cell>
          <cell r="AY100">
            <v>0</v>
          </cell>
          <cell r="BD100">
            <v>0</v>
          </cell>
          <cell r="BI100">
            <v>0</v>
          </cell>
        </row>
        <row r="101">
          <cell r="F101">
            <v>0</v>
          </cell>
          <cell r="K101">
            <v>0</v>
          </cell>
          <cell r="P101">
            <v>0</v>
          </cell>
          <cell r="U101">
            <v>0</v>
          </cell>
          <cell r="Z101">
            <v>0</v>
          </cell>
          <cell r="AE101">
            <v>0</v>
          </cell>
          <cell r="AJ101">
            <v>0</v>
          </cell>
          <cell r="AO101">
            <v>0</v>
          </cell>
          <cell r="AT101">
            <v>0</v>
          </cell>
          <cell r="AY101">
            <v>0</v>
          </cell>
          <cell r="BD101">
            <v>0</v>
          </cell>
          <cell r="BI101">
            <v>0</v>
          </cell>
        </row>
        <row r="102">
          <cell r="F102">
            <v>3.02</v>
          </cell>
          <cell r="K102">
            <v>0</v>
          </cell>
          <cell r="P102">
            <v>0</v>
          </cell>
          <cell r="U102">
            <v>0</v>
          </cell>
          <cell r="Z102">
            <v>0</v>
          </cell>
          <cell r="AE102">
            <v>0</v>
          </cell>
          <cell r="AJ102">
            <v>0</v>
          </cell>
          <cell r="AO102">
            <v>0</v>
          </cell>
          <cell r="AT102">
            <v>0</v>
          </cell>
          <cell r="AY102">
            <v>0</v>
          </cell>
          <cell r="BD102">
            <v>0</v>
          </cell>
          <cell r="BI102">
            <v>0</v>
          </cell>
        </row>
        <row r="103">
          <cell r="F103">
            <v>0.42</v>
          </cell>
          <cell r="K103">
            <v>0</v>
          </cell>
          <cell r="P103">
            <v>0</v>
          </cell>
          <cell r="U103">
            <v>0</v>
          </cell>
          <cell r="Z103">
            <v>0</v>
          </cell>
          <cell r="AE103">
            <v>0</v>
          </cell>
          <cell r="AJ103">
            <v>0</v>
          </cell>
          <cell r="AO103">
            <v>0</v>
          </cell>
          <cell r="AT103">
            <v>0</v>
          </cell>
          <cell r="AY103">
            <v>0</v>
          </cell>
          <cell r="BD103">
            <v>0</v>
          </cell>
          <cell r="BI103">
            <v>0</v>
          </cell>
        </row>
        <row r="104">
          <cell r="F104">
            <v>1.34</v>
          </cell>
          <cell r="K104">
            <v>0</v>
          </cell>
          <cell r="P104">
            <v>0</v>
          </cell>
          <cell r="U104">
            <v>0</v>
          </cell>
          <cell r="Z104">
            <v>0</v>
          </cell>
          <cell r="AE104">
            <v>0</v>
          </cell>
          <cell r="AJ104">
            <v>0</v>
          </cell>
          <cell r="AO104">
            <v>0</v>
          </cell>
          <cell r="AT104">
            <v>0</v>
          </cell>
          <cell r="AY104">
            <v>0</v>
          </cell>
          <cell r="BD104">
            <v>0</v>
          </cell>
          <cell r="BI104">
            <v>0</v>
          </cell>
        </row>
        <row r="105">
          <cell r="F105">
            <v>0</v>
          </cell>
          <cell r="K105">
            <v>0</v>
          </cell>
          <cell r="P105">
            <v>0</v>
          </cell>
          <cell r="U105">
            <v>0</v>
          </cell>
          <cell r="Z105">
            <v>0</v>
          </cell>
          <cell r="AE105">
            <v>0</v>
          </cell>
          <cell r="AJ105">
            <v>0</v>
          </cell>
          <cell r="AO105">
            <v>0</v>
          </cell>
          <cell r="AT105">
            <v>0</v>
          </cell>
          <cell r="AY105">
            <v>0</v>
          </cell>
          <cell r="BD105">
            <v>0</v>
          </cell>
          <cell r="BI105">
            <v>0</v>
          </cell>
        </row>
        <row r="106">
          <cell r="F106">
            <v>0</v>
          </cell>
          <cell r="K106">
            <v>0</v>
          </cell>
          <cell r="P106">
            <v>0</v>
          </cell>
          <cell r="U106">
            <v>0</v>
          </cell>
          <cell r="Z106">
            <v>0</v>
          </cell>
          <cell r="AE106">
            <v>0</v>
          </cell>
          <cell r="AJ106">
            <v>0</v>
          </cell>
          <cell r="AO106">
            <v>0</v>
          </cell>
          <cell r="AT106">
            <v>0</v>
          </cell>
          <cell r="AY106">
            <v>0</v>
          </cell>
          <cell r="BD106">
            <v>0</v>
          </cell>
          <cell r="BI106">
            <v>0</v>
          </cell>
        </row>
        <row r="107">
          <cell r="F107">
            <v>0.61</v>
          </cell>
          <cell r="K107">
            <v>0</v>
          </cell>
          <cell r="P107">
            <v>0</v>
          </cell>
          <cell r="U107">
            <v>0</v>
          </cell>
          <cell r="Z107">
            <v>0</v>
          </cell>
          <cell r="AE107">
            <v>0</v>
          </cell>
          <cell r="AJ107">
            <v>0</v>
          </cell>
          <cell r="AO107">
            <v>0</v>
          </cell>
          <cell r="AT107">
            <v>0</v>
          </cell>
          <cell r="AY107">
            <v>0</v>
          </cell>
          <cell r="BD107">
            <v>0</v>
          </cell>
          <cell r="BI107">
            <v>0</v>
          </cell>
        </row>
        <row r="108">
          <cell r="F108">
            <v>0</v>
          </cell>
          <cell r="K108">
            <v>0</v>
          </cell>
          <cell r="P108">
            <v>0</v>
          </cell>
          <cell r="U108">
            <v>0</v>
          </cell>
          <cell r="Z108">
            <v>0</v>
          </cell>
          <cell r="AE108">
            <v>0</v>
          </cell>
          <cell r="AJ108">
            <v>0</v>
          </cell>
          <cell r="AO108">
            <v>0</v>
          </cell>
          <cell r="AT108">
            <v>0</v>
          </cell>
          <cell r="AY108">
            <v>0</v>
          </cell>
          <cell r="BD108">
            <v>0</v>
          </cell>
          <cell r="BI108">
            <v>0</v>
          </cell>
        </row>
        <row r="109">
          <cell r="F109">
            <v>0</v>
          </cell>
          <cell r="K109">
            <v>0</v>
          </cell>
          <cell r="P109">
            <v>0</v>
          </cell>
          <cell r="U109">
            <v>0</v>
          </cell>
          <cell r="Z109">
            <v>0</v>
          </cell>
          <cell r="AE109">
            <v>0</v>
          </cell>
          <cell r="AJ109">
            <v>0</v>
          </cell>
          <cell r="AO109">
            <v>0</v>
          </cell>
          <cell r="AT109">
            <v>0</v>
          </cell>
          <cell r="AY109">
            <v>0</v>
          </cell>
          <cell r="BD109">
            <v>0</v>
          </cell>
          <cell r="BI109">
            <v>0</v>
          </cell>
        </row>
        <row r="110">
          <cell r="F110">
            <v>0</v>
          </cell>
          <cell r="K110">
            <v>0</v>
          </cell>
          <cell r="P110">
            <v>0</v>
          </cell>
          <cell r="U110">
            <v>0</v>
          </cell>
          <cell r="Z110">
            <v>0</v>
          </cell>
          <cell r="AE110">
            <v>0</v>
          </cell>
          <cell r="AJ110">
            <v>0</v>
          </cell>
          <cell r="AO110">
            <v>0</v>
          </cell>
          <cell r="AT110">
            <v>0</v>
          </cell>
          <cell r="AY110">
            <v>0</v>
          </cell>
          <cell r="BD110">
            <v>0</v>
          </cell>
          <cell r="BI110">
            <v>0</v>
          </cell>
        </row>
        <row r="111">
          <cell r="F111">
            <v>0</v>
          </cell>
          <cell r="K111">
            <v>0</v>
          </cell>
          <cell r="P111">
            <v>0</v>
          </cell>
          <cell r="U111">
            <v>0</v>
          </cell>
          <cell r="Z111">
            <v>0</v>
          </cell>
          <cell r="AE111">
            <v>0</v>
          </cell>
          <cell r="AJ111">
            <v>0</v>
          </cell>
          <cell r="AO111">
            <v>0</v>
          </cell>
          <cell r="AT111">
            <v>0</v>
          </cell>
          <cell r="AY111">
            <v>0</v>
          </cell>
          <cell r="BD111">
            <v>0</v>
          </cell>
          <cell r="BI111">
            <v>0</v>
          </cell>
        </row>
        <row r="112">
          <cell r="F112">
            <v>0</v>
          </cell>
          <cell r="K112">
            <v>0</v>
          </cell>
          <cell r="P112">
            <v>0</v>
          </cell>
          <cell r="U112">
            <v>0</v>
          </cell>
          <cell r="Z112">
            <v>0</v>
          </cell>
          <cell r="AE112">
            <v>0</v>
          </cell>
          <cell r="AJ112">
            <v>0</v>
          </cell>
          <cell r="AO112">
            <v>0</v>
          </cell>
          <cell r="AT112">
            <v>0</v>
          </cell>
          <cell r="AY112">
            <v>0</v>
          </cell>
          <cell r="BD112">
            <v>0</v>
          </cell>
          <cell r="BI112">
            <v>0</v>
          </cell>
        </row>
        <row r="113">
          <cell r="F113">
            <v>0</v>
          </cell>
          <cell r="K113">
            <v>0</v>
          </cell>
          <cell r="P113">
            <v>0</v>
          </cell>
          <cell r="U113">
            <v>0</v>
          </cell>
          <cell r="Z113">
            <v>0</v>
          </cell>
          <cell r="AE113">
            <v>0</v>
          </cell>
          <cell r="AJ113">
            <v>0</v>
          </cell>
          <cell r="AO113">
            <v>0</v>
          </cell>
          <cell r="AT113">
            <v>0</v>
          </cell>
          <cell r="AY113">
            <v>0</v>
          </cell>
          <cell r="BD113">
            <v>0</v>
          </cell>
          <cell r="BI113">
            <v>0</v>
          </cell>
        </row>
        <row r="114">
          <cell r="F114">
            <v>2.37</v>
          </cell>
          <cell r="K114">
            <v>0</v>
          </cell>
          <cell r="P114">
            <v>0</v>
          </cell>
          <cell r="U114">
            <v>0</v>
          </cell>
          <cell r="Z114">
            <v>0</v>
          </cell>
          <cell r="AE114">
            <v>0</v>
          </cell>
          <cell r="AJ114">
            <v>0</v>
          </cell>
          <cell r="AO114">
            <v>0</v>
          </cell>
          <cell r="AT114">
            <v>0</v>
          </cell>
          <cell r="AY114">
            <v>0</v>
          </cell>
          <cell r="BD114">
            <v>0</v>
          </cell>
          <cell r="BI114">
            <v>0</v>
          </cell>
        </row>
        <row r="115">
          <cell r="F115">
            <v>8.120000000000001</v>
          </cell>
          <cell r="K115">
            <v>0</v>
          </cell>
          <cell r="P115">
            <v>0</v>
          </cell>
          <cell r="U115">
            <v>0</v>
          </cell>
          <cell r="Z115">
            <v>0</v>
          </cell>
          <cell r="AE115">
            <v>0</v>
          </cell>
          <cell r="AJ115">
            <v>0</v>
          </cell>
          <cell r="AO115">
            <v>0</v>
          </cell>
          <cell r="AT115">
            <v>0</v>
          </cell>
          <cell r="AY115">
            <v>0</v>
          </cell>
          <cell r="BD115">
            <v>0</v>
          </cell>
          <cell r="BI115">
            <v>0</v>
          </cell>
        </row>
        <row r="116">
          <cell r="F116">
            <v>0</v>
          </cell>
          <cell r="K116">
            <v>0</v>
          </cell>
          <cell r="P116">
            <v>0</v>
          </cell>
          <cell r="U116">
            <v>0</v>
          </cell>
          <cell r="Z116">
            <v>0</v>
          </cell>
          <cell r="AE116">
            <v>0</v>
          </cell>
          <cell r="AJ116">
            <v>0</v>
          </cell>
          <cell r="AO116">
            <v>0</v>
          </cell>
          <cell r="AT116">
            <v>0</v>
          </cell>
          <cell r="AY116">
            <v>0</v>
          </cell>
          <cell r="BD116">
            <v>0</v>
          </cell>
          <cell r="BI116">
            <v>0</v>
          </cell>
        </row>
        <row r="117">
          <cell r="F117">
            <v>0</v>
          </cell>
          <cell r="K117">
            <v>0</v>
          </cell>
          <cell r="P117">
            <v>0</v>
          </cell>
          <cell r="U117">
            <v>0</v>
          </cell>
          <cell r="Z117">
            <v>0</v>
          </cell>
          <cell r="AE117">
            <v>0</v>
          </cell>
          <cell r="AJ117">
            <v>0</v>
          </cell>
          <cell r="AO117">
            <v>0</v>
          </cell>
          <cell r="AT117">
            <v>0</v>
          </cell>
          <cell r="AY117">
            <v>0</v>
          </cell>
          <cell r="BD117">
            <v>0</v>
          </cell>
          <cell r="BI117">
            <v>0</v>
          </cell>
        </row>
        <row r="118">
          <cell r="F118">
            <v>0</v>
          </cell>
          <cell r="K118">
            <v>0</v>
          </cell>
          <cell r="P118">
            <v>0</v>
          </cell>
          <cell r="U118">
            <v>0</v>
          </cell>
          <cell r="Z118">
            <v>0</v>
          </cell>
          <cell r="AE118">
            <v>0</v>
          </cell>
          <cell r="AJ118">
            <v>0</v>
          </cell>
          <cell r="AO118">
            <v>0</v>
          </cell>
          <cell r="AT118">
            <v>0</v>
          </cell>
          <cell r="AY118">
            <v>0</v>
          </cell>
          <cell r="BD118">
            <v>0</v>
          </cell>
          <cell r="BI118">
            <v>0</v>
          </cell>
        </row>
        <row r="119">
          <cell r="F119">
            <v>0</v>
          </cell>
          <cell r="K119">
            <v>0</v>
          </cell>
          <cell r="P119">
            <v>0</v>
          </cell>
          <cell r="U119">
            <v>0</v>
          </cell>
          <cell r="Z119">
            <v>0</v>
          </cell>
          <cell r="AE119">
            <v>0</v>
          </cell>
          <cell r="AJ119">
            <v>0</v>
          </cell>
          <cell r="AO119">
            <v>0</v>
          </cell>
          <cell r="AT119">
            <v>0</v>
          </cell>
          <cell r="AY119">
            <v>0</v>
          </cell>
          <cell r="BD119">
            <v>0</v>
          </cell>
          <cell r="BI119">
            <v>0</v>
          </cell>
        </row>
        <row r="120">
          <cell r="F120">
            <v>0</v>
          </cell>
          <cell r="K120">
            <v>0</v>
          </cell>
          <cell r="P120">
            <v>0</v>
          </cell>
          <cell r="U120">
            <v>0</v>
          </cell>
          <cell r="Z120">
            <v>0</v>
          </cell>
          <cell r="AE120">
            <v>0</v>
          </cell>
          <cell r="AJ120">
            <v>0</v>
          </cell>
          <cell r="AO120">
            <v>0</v>
          </cell>
          <cell r="AT120">
            <v>0</v>
          </cell>
          <cell r="AY120">
            <v>0</v>
          </cell>
          <cell r="BD120">
            <v>0</v>
          </cell>
          <cell r="BI120">
            <v>0</v>
          </cell>
        </row>
        <row r="121">
          <cell r="F121">
            <v>0</v>
          </cell>
          <cell r="K121">
            <v>0</v>
          </cell>
          <cell r="P121">
            <v>0</v>
          </cell>
          <cell r="U121">
            <v>0</v>
          </cell>
          <cell r="Z121">
            <v>0</v>
          </cell>
          <cell r="AE121">
            <v>0</v>
          </cell>
          <cell r="AJ121">
            <v>0</v>
          </cell>
          <cell r="AO121">
            <v>0</v>
          </cell>
          <cell r="AT121">
            <v>0</v>
          </cell>
          <cell r="AY121">
            <v>0</v>
          </cell>
          <cell r="BD121">
            <v>0</v>
          </cell>
          <cell r="BI121">
            <v>0</v>
          </cell>
        </row>
        <row r="122">
          <cell r="F122">
            <v>0</v>
          </cell>
          <cell r="K122">
            <v>0</v>
          </cell>
          <cell r="P122">
            <v>0</v>
          </cell>
          <cell r="U122">
            <v>0</v>
          </cell>
          <cell r="Z122">
            <v>0</v>
          </cell>
          <cell r="AE122">
            <v>0</v>
          </cell>
          <cell r="AJ122">
            <v>0</v>
          </cell>
          <cell r="AO122">
            <v>0</v>
          </cell>
          <cell r="AT122">
            <v>0</v>
          </cell>
          <cell r="AY122">
            <v>0</v>
          </cell>
          <cell r="BD122">
            <v>0</v>
          </cell>
          <cell r="BI122">
            <v>0</v>
          </cell>
        </row>
        <row r="123">
          <cell r="F123">
            <v>0</v>
          </cell>
          <cell r="K123">
            <v>0</v>
          </cell>
          <cell r="P123">
            <v>0</v>
          </cell>
          <cell r="U123">
            <v>0</v>
          </cell>
          <cell r="Z123">
            <v>0</v>
          </cell>
          <cell r="AE123">
            <v>0</v>
          </cell>
          <cell r="AJ123">
            <v>0</v>
          </cell>
          <cell r="AO123">
            <v>0</v>
          </cell>
          <cell r="AT123">
            <v>0</v>
          </cell>
          <cell r="AY123">
            <v>0</v>
          </cell>
          <cell r="BD123">
            <v>0</v>
          </cell>
          <cell r="BI123">
            <v>0</v>
          </cell>
        </row>
        <row r="124">
          <cell r="F124">
            <v>0</v>
          </cell>
          <cell r="K124">
            <v>0</v>
          </cell>
          <cell r="P124">
            <v>0</v>
          </cell>
          <cell r="U124">
            <v>0</v>
          </cell>
          <cell r="Z124">
            <v>0</v>
          </cell>
          <cell r="AE124">
            <v>0</v>
          </cell>
          <cell r="AJ124">
            <v>0</v>
          </cell>
          <cell r="AO124">
            <v>0</v>
          </cell>
          <cell r="AT124">
            <v>0</v>
          </cell>
          <cell r="AY124">
            <v>0</v>
          </cell>
          <cell r="BD124">
            <v>0</v>
          </cell>
          <cell r="BI124">
            <v>0</v>
          </cell>
        </row>
        <row r="125">
          <cell r="F125">
            <v>0</v>
          </cell>
          <cell r="K125">
            <v>0</v>
          </cell>
          <cell r="P125">
            <v>0</v>
          </cell>
          <cell r="U125">
            <v>0</v>
          </cell>
          <cell r="Z125">
            <v>0</v>
          </cell>
          <cell r="AE125">
            <v>0</v>
          </cell>
          <cell r="AJ125">
            <v>0</v>
          </cell>
          <cell r="AO125">
            <v>0</v>
          </cell>
          <cell r="AT125">
            <v>0</v>
          </cell>
          <cell r="AY125">
            <v>0</v>
          </cell>
          <cell r="BD125">
            <v>0</v>
          </cell>
          <cell r="BI125">
            <v>0</v>
          </cell>
        </row>
        <row r="126">
          <cell r="F126">
            <v>0</v>
          </cell>
          <cell r="K126">
            <v>0</v>
          </cell>
          <cell r="P126">
            <v>0</v>
          </cell>
          <cell r="U126">
            <v>0</v>
          </cell>
          <cell r="Z126">
            <v>0</v>
          </cell>
          <cell r="AE126">
            <v>0</v>
          </cell>
          <cell r="AJ126">
            <v>0</v>
          </cell>
          <cell r="AO126">
            <v>0</v>
          </cell>
          <cell r="AT126">
            <v>0</v>
          </cell>
          <cell r="AY126">
            <v>0</v>
          </cell>
          <cell r="BD126">
            <v>0</v>
          </cell>
          <cell r="BI126">
            <v>0</v>
          </cell>
        </row>
        <row r="127">
          <cell r="F127">
            <v>0</v>
          </cell>
          <cell r="K127">
            <v>0</v>
          </cell>
          <cell r="P127">
            <v>0</v>
          </cell>
          <cell r="U127">
            <v>0</v>
          </cell>
          <cell r="Z127">
            <v>0</v>
          </cell>
          <cell r="AE127">
            <v>0</v>
          </cell>
          <cell r="AJ127">
            <v>0</v>
          </cell>
          <cell r="AO127">
            <v>0</v>
          </cell>
          <cell r="AT127">
            <v>0</v>
          </cell>
          <cell r="AY127">
            <v>0</v>
          </cell>
          <cell r="BD127">
            <v>0</v>
          </cell>
          <cell r="BI127">
            <v>0</v>
          </cell>
        </row>
        <row r="128">
          <cell r="F128">
            <v>0</v>
          </cell>
          <cell r="K128">
            <v>0</v>
          </cell>
          <cell r="P128">
            <v>0</v>
          </cell>
          <cell r="U128">
            <v>0</v>
          </cell>
          <cell r="Z128">
            <v>0</v>
          </cell>
          <cell r="AE128">
            <v>0</v>
          </cell>
          <cell r="AJ128">
            <v>0</v>
          </cell>
          <cell r="AO128">
            <v>0</v>
          </cell>
          <cell r="AT128">
            <v>0</v>
          </cell>
          <cell r="AY128">
            <v>0</v>
          </cell>
          <cell r="BD128">
            <v>0</v>
          </cell>
          <cell r="BI128">
            <v>0</v>
          </cell>
        </row>
        <row r="129">
          <cell r="F129">
            <v>0</v>
          </cell>
          <cell r="K129">
            <v>0</v>
          </cell>
          <cell r="P129">
            <v>0</v>
          </cell>
          <cell r="U129">
            <v>0</v>
          </cell>
          <cell r="Z129">
            <v>0</v>
          </cell>
          <cell r="AE129">
            <v>0</v>
          </cell>
          <cell r="AJ129">
            <v>0</v>
          </cell>
          <cell r="AO129">
            <v>0</v>
          </cell>
          <cell r="AT129">
            <v>0</v>
          </cell>
          <cell r="AY129">
            <v>0</v>
          </cell>
          <cell r="BD129">
            <v>0</v>
          </cell>
          <cell r="BI129">
            <v>0</v>
          </cell>
        </row>
        <row r="130">
          <cell r="F130">
            <v>0</v>
          </cell>
          <cell r="K130">
            <v>0</v>
          </cell>
          <cell r="P130">
            <v>0</v>
          </cell>
          <cell r="U130">
            <v>0</v>
          </cell>
          <cell r="Z130">
            <v>0</v>
          </cell>
          <cell r="AE130">
            <v>0</v>
          </cell>
          <cell r="AJ130">
            <v>0</v>
          </cell>
          <cell r="AO130">
            <v>0</v>
          </cell>
          <cell r="AT130">
            <v>0</v>
          </cell>
          <cell r="AY130">
            <v>0</v>
          </cell>
          <cell r="BD130">
            <v>0</v>
          </cell>
          <cell r="BI130">
            <v>0</v>
          </cell>
        </row>
        <row r="131">
          <cell r="F131">
            <v>0</v>
          </cell>
          <cell r="K131">
            <v>0</v>
          </cell>
          <cell r="P131">
            <v>0</v>
          </cell>
          <cell r="U131">
            <v>0</v>
          </cell>
          <cell r="Z131">
            <v>0</v>
          </cell>
          <cell r="AE131">
            <v>0</v>
          </cell>
          <cell r="AJ131">
            <v>0</v>
          </cell>
          <cell r="AO131">
            <v>0</v>
          </cell>
          <cell r="AT131">
            <v>0</v>
          </cell>
          <cell r="AY131">
            <v>0</v>
          </cell>
          <cell r="BD131">
            <v>0</v>
          </cell>
          <cell r="BI131">
            <v>0</v>
          </cell>
        </row>
        <row r="132">
          <cell r="F132">
            <v>0</v>
          </cell>
          <cell r="K132">
            <v>0</v>
          </cell>
          <cell r="P132">
            <v>0</v>
          </cell>
          <cell r="U132">
            <v>0</v>
          </cell>
          <cell r="Z132">
            <v>0</v>
          </cell>
          <cell r="AE132">
            <v>0</v>
          </cell>
          <cell r="AJ132">
            <v>0</v>
          </cell>
          <cell r="AO132">
            <v>0</v>
          </cell>
          <cell r="AT132">
            <v>0</v>
          </cell>
          <cell r="AY132">
            <v>0</v>
          </cell>
          <cell r="BD132">
            <v>0</v>
          </cell>
          <cell r="BI132">
            <v>0</v>
          </cell>
        </row>
        <row r="133">
          <cell r="F133">
            <v>0</v>
          </cell>
          <cell r="K133">
            <v>0</v>
          </cell>
          <cell r="P133">
            <v>0</v>
          </cell>
          <cell r="U133">
            <v>0</v>
          </cell>
          <cell r="Z133">
            <v>0</v>
          </cell>
          <cell r="AE133">
            <v>0</v>
          </cell>
          <cell r="AJ133">
            <v>0</v>
          </cell>
          <cell r="AO133">
            <v>0</v>
          </cell>
          <cell r="AT133">
            <v>0</v>
          </cell>
          <cell r="AY133">
            <v>0</v>
          </cell>
          <cell r="BD133">
            <v>0</v>
          </cell>
          <cell r="BI133">
            <v>0</v>
          </cell>
        </row>
        <row r="134">
          <cell r="F134">
            <v>0</v>
          </cell>
          <cell r="K134">
            <v>0</v>
          </cell>
          <cell r="P134">
            <v>0</v>
          </cell>
          <cell r="U134">
            <v>0</v>
          </cell>
          <cell r="Z134">
            <v>0</v>
          </cell>
          <cell r="AE134">
            <v>0</v>
          </cell>
          <cell r="AJ134">
            <v>0</v>
          </cell>
          <cell r="AO134">
            <v>0</v>
          </cell>
          <cell r="AT134">
            <v>0</v>
          </cell>
          <cell r="AY134">
            <v>0</v>
          </cell>
          <cell r="BD134">
            <v>0</v>
          </cell>
          <cell r="BI134">
            <v>0</v>
          </cell>
        </row>
        <row r="135">
          <cell r="F135">
            <v>36.58</v>
          </cell>
          <cell r="K135">
            <v>0</v>
          </cell>
          <cell r="P135">
            <v>0</v>
          </cell>
          <cell r="U135">
            <v>0</v>
          </cell>
          <cell r="Z135">
            <v>0</v>
          </cell>
          <cell r="AE135">
            <v>0</v>
          </cell>
          <cell r="AJ135">
            <v>0</v>
          </cell>
          <cell r="AO135">
            <v>0</v>
          </cell>
          <cell r="AT135">
            <v>0</v>
          </cell>
          <cell r="AY135">
            <v>0</v>
          </cell>
          <cell r="BD135">
            <v>0</v>
          </cell>
          <cell r="BI135">
            <v>0</v>
          </cell>
        </row>
        <row r="136">
          <cell r="F136">
            <v>17.360000000000113</v>
          </cell>
          <cell r="K136">
            <v>0</v>
          </cell>
          <cell r="P136">
            <v>0</v>
          </cell>
          <cell r="U136">
            <v>0</v>
          </cell>
          <cell r="Z136">
            <v>0</v>
          </cell>
          <cell r="AE136">
            <v>0</v>
          </cell>
          <cell r="AJ136">
            <v>0</v>
          </cell>
          <cell r="AO136">
            <v>0</v>
          </cell>
          <cell r="AT136">
            <v>0</v>
          </cell>
          <cell r="AY136">
            <v>0</v>
          </cell>
          <cell r="BD136">
            <v>0</v>
          </cell>
          <cell r="BI136">
            <v>0</v>
          </cell>
        </row>
        <row r="137">
          <cell r="F137">
            <v>3.9890622486730191E-2</v>
          </cell>
          <cell r="K137">
            <v>0</v>
          </cell>
          <cell r="P137">
            <v>0</v>
          </cell>
          <cell r="U137">
            <v>0</v>
          </cell>
          <cell r="Z137">
            <v>0</v>
          </cell>
          <cell r="AE137">
            <v>0</v>
          </cell>
          <cell r="AJ137">
            <v>0</v>
          </cell>
          <cell r="AO137">
            <v>0</v>
          </cell>
          <cell r="AT137">
            <v>0</v>
          </cell>
          <cell r="AY137">
            <v>0</v>
          </cell>
          <cell r="BD137">
            <v>0</v>
          </cell>
          <cell r="BI137">
            <v>0</v>
          </cell>
        </row>
      </sheetData>
      <sheetData sheetId="17" refreshError="1">
        <row r="12">
          <cell r="D12">
            <v>0</v>
          </cell>
          <cell r="G12">
            <v>0</v>
          </cell>
          <cell r="J12">
            <v>0</v>
          </cell>
          <cell r="M12">
            <v>0</v>
          </cell>
          <cell r="P12">
            <v>0</v>
          </cell>
          <cell r="S12">
            <v>0</v>
          </cell>
          <cell r="V12">
            <v>0</v>
          </cell>
          <cell r="Y12">
            <v>0</v>
          </cell>
          <cell r="AB12">
            <v>0</v>
          </cell>
          <cell r="AE12">
            <v>0</v>
          </cell>
          <cell r="AH12">
            <v>0</v>
          </cell>
          <cell r="AK12">
            <v>0</v>
          </cell>
        </row>
        <row r="13">
          <cell r="D13">
            <v>0</v>
          </cell>
          <cell r="G13">
            <v>0</v>
          </cell>
          <cell r="J13">
            <v>0</v>
          </cell>
          <cell r="M13">
            <v>0</v>
          </cell>
          <cell r="P13">
            <v>0</v>
          </cell>
          <cell r="S13">
            <v>0</v>
          </cell>
          <cell r="V13">
            <v>0</v>
          </cell>
          <cell r="Y13">
            <v>0</v>
          </cell>
          <cell r="AB13">
            <v>0</v>
          </cell>
          <cell r="AE13">
            <v>0</v>
          </cell>
          <cell r="AH13">
            <v>0</v>
          </cell>
          <cell r="AK13">
            <v>0</v>
          </cell>
        </row>
        <row r="14">
          <cell r="D14">
            <v>0</v>
          </cell>
          <cell r="G14">
            <v>0</v>
          </cell>
          <cell r="J14">
            <v>0</v>
          </cell>
          <cell r="M14">
            <v>0</v>
          </cell>
          <cell r="P14">
            <v>0</v>
          </cell>
          <cell r="S14">
            <v>0</v>
          </cell>
          <cell r="V14">
            <v>0</v>
          </cell>
          <cell r="Y14">
            <v>0</v>
          </cell>
          <cell r="AB14">
            <v>0</v>
          </cell>
          <cell r="AE14">
            <v>0</v>
          </cell>
          <cell r="AH14">
            <v>0</v>
          </cell>
          <cell r="AK14">
            <v>0</v>
          </cell>
        </row>
        <row r="15">
          <cell r="D15">
            <v>224.02</v>
          </cell>
          <cell r="G15">
            <v>0</v>
          </cell>
          <cell r="J15">
            <v>0</v>
          </cell>
          <cell r="M15">
            <v>0</v>
          </cell>
          <cell r="P15">
            <v>0</v>
          </cell>
          <cell r="S15">
            <v>0</v>
          </cell>
          <cell r="V15">
            <v>0</v>
          </cell>
          <cell r="Y15">
            <v>0</v>
          </cell>
          <cell r="AB15">
            <v>0</v>
          </cell>
          <cell r="AE15">
            <v>0</v>
          </cell>
          <cell r="AH15">
            <v>0</v>
          </cell>
          <cell r="AK15">
            <v>0</v>
          </cell>
        </row>
        <row r="16">
          <cell r="D16">
            <v>224.02</v>
          </cell>
          <cell r="G16">
            <v>0</v>
          </cell>
          <cell r="J16">
            <v>0</v>
          </cell>
          <cell r="M16">
            <v>0</v>
          </cell>
          <cell r="P16">
            <v>0</v>
          </cell>
          <cell r="S16">
            <v>0</v>
          </cell>
          <cell r="V16">
            <v>0</v>
          </cell>
          <cell r="Y16">
            <v>0</v>
          </cell>
          <cell r="AB16">
            <v>0</v>
          </cell>
          <cell r="AE16">
            <v>0</v>
          </cell>
          <cell r="AH16">
            <v>0</v>
          </cell>
          <cell r="AK16">
            <v>0</v>
          </cell>
        </row>
        <row r="17">
          <cell r="D17">
            <v>0</v>
          </cell>
          <cell r="G17">
            <v>0</v>
          </cell>
          <cell r="J17">
            <v>0</v>
          </cell>
          <cell r="M17">
            <v>0</v>
          </cell>
          <cell r="P17">
            <v>0</v>
          </cell>
          <cell r="S17">
            <v>0</v>
          </cell>
          <cell r="V17">
            <v>0</v>
          </cell>
          <cell r="Y17">
            <v>0</v>
          </cell>
          <cell r="AB17">
            <v>0</v>
          </cell>
          <cell r="AE17">
            <v>0</v>
          </cell>
          <cell r="AH17">
            <v>0</v>
          </cell>
          <cell r="AK17">
            <v>0</v>
          </cell>
        </row>
        <row r="18">
          <cell r="D18">
            <v>0</v>
          </cell>
          <cell r="G18">
            <v>0</v>
          </cell>
          <cell r="J18">
            <v>0</v>
          </cell>
          <cell r="M18">
            <v>0</v>
          </cell>
          <cell r="P18">
            <v>0</v>
          </cell>
          <cell r="S18">
            <v>0</v>
          </cell>
          <cell r="V18">
            <v>0</v>
          </cell>
          <cell r="Y18">
            <v>0</v>
          </cell>
          <cell r="AB18">
            <v>0</v>
          </cell>
          <cell r="AE18">
            <v>0</v>
          </cell>
          <cell r="AH18">
            <v>0</v>
          </cell>
          <cell r="AK18">
            <v>0</v>
          </cell>
        </row>
        <row r="19">
          <cell r="D19">
            <v>0</v>
          </cell>
          <cell r="G19">
            <v>0</v>
          </cell>
          <cell r="J19">
            <v>0</v>
          </cell>
          <cell r="M19">
            <v>0</v>
          </cell>
          <cell r="P19">
            <v>0</v>
          </cell>
          <cell r="S19">
            <v>0</v>
          </cell>
          <cell r="V19">
            <v>0</v>
          </cell>
          <cell r="Y19">
            <v>0</v>
          </cell>
          <cell r="AB19">
            <v>0</v>
          </cell>
          <cell r="AE19">
            <v>0</v>
          </cell>
          <cell r="AH19">
            <v>0</v>
          </cell>
          <cell r="AK19">
            <v>0</v>
          </cell>
        </row>
        <row r="20">
          <cell r="D20">
            <v>0</v>
          </cell>
          <cell r="G20">
            <v>0</v>
          </cell>
          <cell r="J20">
            <v>0</v>
          </cell>
          <cell r="M20">
            <v>0</v>
          </cell>
          <cell r="P20">
            <v>0</v>
          </cell>
          <cell r="S20">
            <v>0</v>
          </cell>
          <cell r="V20">
            <v>0</v>
          </cell>
          <cell r="Y20">
            <v>0</v>
          </cell>
          <cell r="AB20">
            <v>0</v>
          </cell>
          <cell r="AE20">
            <v>0</v>
          </cell>
          <cell r="AH20">
            <v>0</v>
          </cell>
          <cell r="AK20">
            <v>0</v>
          </cell>
        </row>
        <row r="21">
          <cell r="D21">
            <v>224.02</v>
          </cell>
          <cell r="G21">
            <v>0</v>
          </cell>
          <cell r="J21">
            <v>0</v>
          </cell>
          <cell r="M21">
            <v>0</v>
          </cell>
          <cell r="P21">
            <v>0</v>
          </cell>
          <cell r="S21">
            <v>0</v>
          </cell>
          <cell r="V21">
            <v>0</v>
          </cell>
          <cell r="Y21">
            <v>0</v>
          </cell>
          <cell r="AB21">
            <v>0</v>
          </cell>
          <cell r="AE21">
            <v>0</v>
          </cell>
          <cell r="AH21">
            <v>0</v>
          </cell>
          <cell r="AK21">
            <v>0</v>
          </cell>
        </row>
        <row r="22">
          <cell r="D22">
            <v>71.42</v>
          </cell>
          <cell r="G22">
            <v>0</v>
          </cell>
          <cell r="J22">
            <v>0</v>
          </cell>
          <cell r="M22">
            <v>0</v>
          </cell>
          <cell r="P22">
            <v>0</v>
          </cell>
          <cell r="S22">
            <v>0</v>
          </cell>
          <cell r="V22">
            <v>0</v>
          </cell>
          <cell r="Y22">
            <v>0</v>
          </cell>
          <cell r="AB22">
            <v>0</v>
          </cell>
          <cell r="AE22">
            <v>0</v>
          </cell>
          <cell r="AH22">
            <v>0</v>
          </cell>
          <cell r="AK22">
            <v>0</v>
          </cell>
        </row>
        <row r="23">
          <cell r="D23">
            <v>0</v>
          </cell>
          <cell r="G23">
            <v>0</v>
          </cell>
          <cell r="J23">
            <v>0</v>
          </cell>
          <cell r="M23">
            <v>0</v>
          </cell>
          <cell r="P23">
            <v>0</v>
          </cell>
          <cell r="S23">
            <v>0</v>
          </cell>
          <cell r="V23">
            <v>0</v>
          </cell>
          <cell r="Y23">
            <v>0</v>
          </cell>
          <cell r="AB23">
            <v>0</v>
          </cell>
          <cell r="AE23">
            <v>0</v>
          </cell>
          <cell r="AH23">
            <v>0</v>
          </cell>
          <cell r="AK23">
            <v>0</v>
          </cell>
        </row>
        <row r="24">
          <cell r="D24">
            <v>0</v>
          </cell>
          <cell r="G24">
            <v>0</v>
          </cell>
          <cell r="J24">
            <v>0</v>
          </cell>
          <cell r="M24">
            <v>0</v>
          </cell>
          <cell r="P24">
            <v>0</v>
          </cell>
          <cell r="S24">
            <v>0</v>
          </cell>
          <cell r="V24">
            <v>0</v>
          </cell>
          <cell r="Y24">
            <v>0</v>
          </cell>
          <cell r="AB24">
            <v>0</v>
          </cell>
          <cell r="AE24">
            <v>0</v>
          </cell>
          <cell r="AH24">
            <v>0</v>
          </cell>
          <cell r="AK24">
            <v>0</v>
          </cell>
        </row>
        <row r="25">
          <cell r="D25">
            <v>0</v>
          </cell>
          <cell r="G25">
            <v>0</v>
          </cell>
          <cell r="J25">
            <v>0</v>
          </cell>
          <cell r="M25">
            <v>0</v>
          </cell>
          <cell r="P25">
            <v>0</v>
          </cell>
          <cell r="S25">
            <v>0</v>
          </cell>
          <cell r="V25">
            <v>0</v>
          </cell>
          <cell r="Y25">
            <v>0</v>
          </cell>
          <cell r="AB25">
            <v>0</v>
          </cell>
          <cell r="AE25">
            <v>0</v>
          </cell>
          <cell r="AH25">
            <v>0</v>
          </cell>
          <cell r="AK25">
            <v>0</v>
          </cell>
        </row>
        <row r="26">
          <cell r="D26">
            <v>0</v>
          </cell>
          <cell r="G26">
            <v>0</v>
          </cell>
          <cell r="J26">
            <v>0</v>
          </cell>
          <cell r="M26">
            <v>0</v>
          </cell>
          <cell r="P26">
            <v>0</v>
          </cell>
          <cell r="S26">
            <v>0</v>
          </cell>
          <cell r="V26">
            <v>0</v>
          </cell>
          <cell r="Y26">
            <v>0</v>
          </cell>
          <cell r="AB26">
            <v>0</v>
          </cell>
          <cell r="AE26">
            <v>0</v>
          </cell>
          <cell r="AH26">
            <v>0</v>
          </cell>
          <cell r="AK26">
            <v>0</v>
          </cell>
        </row>
        <row r="27">
          <cell r="D27">
            <v>0</v>
          </cell>
          <cell r="G27">
            <v>0</v>
          </cell>
          <cell r="J27">
            <v>0</v>
          </cell>
          <cell r="M27">
            <v>0</v>
          </cell>
          <cell r="P27">
            <v>0</v>
          </cell>
          <cell r="S27">
            <v>0</v>
          </cell>
          <cell r="V27">
            <v>0</v>
          </cell>
          <cell r="Y27">
            <v>0</v>
          </cell>
          <cell r="AB27">
            <v>0</v>
          </cell>
          <cell r="AE27">
            <v>0</v>
          </cell>
          <cell r="AH27">
            <v>0</v>
          </cell>
          <cell r="AK27">
            <v>0</v>
          </cell>
        </row>
        <row r="28">
          <cell r="D28">
            <v>71.42</v>
          </cell>
          <cell r="G28">
            <v>0</v>
          </cell>
          <cell r="J28">
            <v>0</v>
          </cell>
          <cell r="M28">
            <v>0</v>
          </cell>
          <cell r="P28">
            <v>0</v>
          </cell>
          <cell r="S28">
            <v>0</v>
          </cell>
          <cell r="V28">
            <v>0</v>
          </cell>
          <cell r="Y28">
            <v>0</v>
          </cell>
          <cell r="AB28">
            <v>0</v>
          </cell>
          <cell r="AE28">
            <v>0</v>
          </cell>
          <cell r="AH28">
            <v>0</v>
          </cell>
          <cell r="AK28">
            <v>0</v>
          </cell>
        </row>
        <row r="29">
          <cell r="D29">
            <v>0</v>
          </cell>
          <cell r="G29">
            <v>0</v>
          </cell>
          <cell r="J29">
            <v>0</v>
          </cell>
          <cell r="M29">
            <v>0</v>
          </cell>
          <cell r="P29">
            <v>0</v>
          </cell>
          <cell r="S29">
            <v>0</v>
          </cell>
          <cell r="V29">
            <v>0</v>
          </cell>
          <cell r="Y29">
            <v>0</v>
          </cell>
          <cell r="AB29">
            <v>0</v>
          </cell>
          <cell r="AE29">
            <v>0</v>
          </cell>
          <cell r="AH29">
            <v>0</v>
          </cell>
          <cell r="AK29">
            <v>0</v>
          </cell>
        </row>
        <row r="30">
          <cell r="D30">
            <v>0</v>
          </cell>
          <cell r="G30">
            <v>0</v>
          </cell>
          <cell r="J30">
            <v>0</v>
          </cell>
          <cell r="M30">
            <v>0</v>
          </cell>
          <cell r="P30">
            <v>0</v>
          </cell>
          <cell r="S30">
            <v>0</v>
          </cell>
          <cell r="V30">
            <v>0</v>
          </cell>
          <cell r="Y30">
            <v>0</v>
          </cell>
          <cell r="AB30">
            <v>0</v>
          </cell>
          <cell r="AE30">
            <v>0</v>
          </cell>
          <cell r="AH30">
            <v>0</v>
          </cell>
          <cell r="AK30">
            <v>0</v>
          </cell>
        </row>
        <row r="31">
          <cell r="D31">
            <v>0</v>
          </cell>
          <cell r="G31">
            <v>0</v>
          </cell>
          <cell r="J31">
            <v>0</v>
          </cell>
          <cell r="M31">
            <v>0</v>
          </cell>
          <cell r="P31">
            <v>0</v>
          </cell>
          <cell r="S31">
            <v>0</v>
          </cell>
          <cell r="V31">
            <v>0</v>
          </cell>
          <cell r="Y31">
            <v>0</v>
          </cell>
          <cell r="AB31">
            <v>0</v>
          </cell>
          <cell r="AE31">
            <v>0</v>
          </cell>
          <cell r="AH31">
            <v>0</v>
          </cell>
          <cell r="AK31">
            <v>0</v>
          </cell>
        </row>
        <row r="32">
          <cell r="D32">
            <v>0</v>
          </cell>
          <cell r="G32">
            <v>0</v>
          </cell>
          <cell r="J32">
            <v>0</v>
          </cell>
          <cell r="M32">
            <v>0</v>
          </cell>
          <cell r="P32">
            <v>0</v>
          </cell>
          <cell r="S32">
            <v>0</v>
          </cell>
          <cell r="V32">
            <v>0</v>
          </cell>
          <cell r="Y32">
            <v>0</v>
          </cell>
          <cell r="AB32">
            <v>0</v>
          </cell>
          <cell r="AE32">
            <v>0</v>
          </cell>
          <cell r="AH32">
            <v>0</v>
          </cell>
          <cell r="AK32">
            <v>0</v>
          </cell>
        </row>
        <row r="33">
          <cell r="D33">
            <v>71.42</v>
          </cell>
          <cell r="G33">
            <v>0</v>
          </cell>
          <cell r="J33">
            <v>0</v>
          </cell>
          <cell r="M33">
            <v>0</v>
          </cell>
          <cell r="P33">
            <v>0</v>
          </cell>
          <cell r="S33">
            <v>0</v>
          </cell>
          <cell r="V33">
            <v>0</v>
          </cell>
          <cell r="Y33">
            <v>0</v>
          </cell>
          <cell r="AB33">
            <v>0</v>
          </cell>
          <cell r="AE33">
            <v>0</v>
          </cell>
          <cell r="AH33">
            <v>0</v>
          </cell>
          <cell r="AK33">
            <v>0</v>
          </cell>
        </row>
        <row r="34">
          <cell r="D34">
            <v>152.60000000000002</v>
          </cell>
          <cell r="G34">
            <v>0</v>
          </cell>
          <cell r="J34">
            <v>0</v>
          </cell>
          <cell r="M34">
            <v>0</v>
          </cell>
          <cell r="P34">
            <v>0</v>
          </cell>
          <cell r="S34">
            <v>0</v>
          </cell>
          <cell r="V34">
            <v>0</v>
          </cell>
          <cell r="Y34">
            <v>0</v>
          </cell>
          <cell r="AB34">
            <v>0</v>
          </cell>
          <cell r="AE34">
            <v>0</v>
          </cell>
          <cell r="AH34">
            <v>0</v>
          </cell>
          <cell r="AK34">
            <v>0</v>
          </cell>
        </row>
        <row r="35">
          <cell r="D35">
            <v>0.68118917953754132</v>
          </cell>
          <cell r="G35">
            <v>0</v>
          </cell>
          <cell r="J35">
            <v>0</v>
          </cell>
          <cell r="M35">
            <v>0</v>
          </cell>
          <cell r="P35">
            <v>0</v>
          </cell>
          <cell r="S35">
            <v>0</v>
          </cell>
          <cell r="V35">
            <v>0</v>
          </cell>
          <cell r="Y35">
            <v>0</v>
          </cell>
          <cell r="AB35">
            <v>0</v>
          </cell>
          <cell r="AE35">
            <v>0</v>
          </cell>
          <cell r="AH35">
            <v>0</v>
          </cell>
          <cell r="AK35">
            <v>0</v>
          </cell>
        </row>
        <row r="36">
          <cell r="D36">
            <v>60.76</v>
          </cell>
          <cell r="G36">
            <v>0</v>
          </cell>
          <cell r="J36">
            <v>0</v>
          </cell>
          <cell r="M36">
            <v>0</v>
          </cell>
          <cell r="P36">
            <v>0</v>
          </cell>
          <cell r="S36">
            <v>0</v>
          </cell>
          <cell r="V36">
            <v>0</v>
          </cell>
          <cell r="Y36">
            <v>0</v>
          </cell>
          <cell r="AB36">
            <v>0</v>
          </cell>
          <cell r="AE36">
            <v>0</v>
          </cell>
          <cell r="AH36">
            <v>0</v>
          </cell>
          <cell r="AK36">
            <v>0</v>
          </cell>
        </row>
        <row r="37">
          <cell r="D37">
            <v>0</v>
          </cell>
          <cell r="G37">
            <v>0</v>
          </cell>
          <cell r="J37">
            <v>0</v>
          </cell>
          <cell r="M37">
            <v>0</v>
          </cell>
          <cell r="P37">
            <v>0</v>
          </cell>
          <cell r="S37">
            <v>0</v>
          </cell>
          <cell r="V37">
            <v>0</v>
          </cell>
          <cell r="Y37">
            <v>0</v>
          </cell>
          <cell r="AB37">
            <v>0</v>
          </cell>
          <cell r="AE37">
            <v>0</v>
          </cell>
          <cell r="AH37">
            <v>0</v>
          </cell>
          <cell r="AK37">
            <v>0</v>
          </cell>
        </row>
        <row r="38">
          <cell r="D38">
            <v>3.7800000000000002</v>
          </cell>
          <cell r="G38">
            <v>0</v>
          </cell>
          <cell r="J38">
            <v>0</v>
          </cell>
          <cell r="M38">
            <v>0</v>
          </cell>
          <cell r="P38">
            <v>0</v>
          </cell>
          <cell r="S38">
            <v>0</v>
          </cell>
          <cell r="V38">
            <v>0</v>
          </cell>
          <cell r="Y38">
            <v>0</v>
          </cell>
          <cell r="AB38">
            <v>0</v>
          </cell>
          <cell r="AE38">
            <v>0</v>
          </cell>
          <cell r="AH38">
            <v>0</v>
          </cell>
          <cell r="AK38">
            <v>0</v>
          </cell>
        </row>
        <row r="39">
          <cell r="D39">
            <v>0.18</v>
          </cell>
          <cell r="G39">
            <v>0</v>
          </cell>
          <cell r="J39">
            <v>0</v>
          </cell>
          <cell r="M39">
            <v>0</v>
          </cell>
          <cell r="P39">
            <v>0</v>
          </cell>
          <cell r="S39">
            <v>0</v>
          </cell>
          <cell r="V39">
            <v>0</v>
          </cell>
          <cell r="Y39">
            <v>0</v>
          </cell>
          <cell r="AB39">
            <v>0</v>
          </cell>
          <cell r="AE39">
            <v>0</v>
          </cell>
          <cell r="AH39">
            <v>0</v>
          </cell>
          <cell r="AK39">
            <v>0</v>
          </cell>
        </row>
        <row r="40">
          <cell r="D40">
            <v>27.3</v>
          </cell>
          <cell r="G40">
            <v>0</v>
          </cell>
          <cell r="J40">
            <v>0</v>
          </cell>
          <cell r="M40">
            <v>0</v>
          </cell>
          <cell r="P40">
            <v>0</v>
          </cell>
          <cell r="S40">
            <v>0</v>
          </cell>
          <cell r="V40">
            <v>0</v>
          </cell>
          <cell r="Y40">
            <v>0</v>
          </cell>
          <cell r="AB40">
            <v>0</v>
          </cell>
          <cell r="AE40">
            <v>0</v>
          </cell>
          <cell r="AH40">
            <v>0</v>
          </cell>
          <cell r="AK40">
            <v>0</v>
          </cell>
        </row>
        <row r="41">
          <cell r="D41">
            <v>0</v>
          </cell>
          <cell r="G41">
            <v>0</v>
          </cell>
          <cell r="J41">
            <v>0</v>
          </cell>
          <cell r="M41">
            <v>0</v>
          </cell>
          <cell r="P41">
            <v>0</v>
          </cell>
          <cell r="S41">
            <v>0</v>
          </cell>
          <cell r="V41">
            <v>0</v>
          </cell>
          <cell r="Y41">
            <v>0</v>
          </cell>
          <cell r="AB41">
            <v>0</v>
          </cell>
          <cell r="AE41">
            <v>0</v>
          </cell>
          <cell r="AH41">
            <v>0</v>
          </cell>
          <cell r="AK41">
            <v>0</v>
          </cell>
        </row>
        <row r="42">
          <cell r="D42">
            <v>-0.03</v>
          </cell>
          <cell r="G42">
            <v>0</v>
          </cell>
          <cell r="J42">
            <v>0</v>
          </cell>
          <cell r="M42">
            <v>0</v>
          </cell>
          <cell r="P42">
            <v>0</v>
          </cell>
          <cell r="S42">
            <v>0</v>
          </cell>
          <cell r="V42">
            <v>0</v>
          </cell>
          <cell r="Y42">
            <v>0</v>
          </cell>
          <cell r="AB42">
            <v>0</v>
          </cell>
          <cell r="AE42">
            <v>0</v>
          </cell>
          <cell r="AH42">
            <v>0</v>
          </cell>
          <cell r="AK42">
            <v>0</v>
          </cell>
        </row>
        <row r="43">
          <cell r="D43">
            <v>0</v>
          </cell>
          <cell r="G43">
            <v>0</v>
          </cell>
          <cell r="J43">
            <v>0</v>
          </cell>
          <cell r="M43">
            <v>0</v>
          </cell>
          <cell r="P43">
            <v>0</v>
          </cell>
          <cell r="S43">
            <v>0</v>
          </cell>
          <cell r="V43">
            <v>0</v>
          </cell>
          <cell r="Y43">
            <v>0</v>
          </cell>
          <cell r="AB43">
            <v>0</v>
          </cell>
          <cell r="AE43">
            <v>0</v>
          </cell>
          <cell r="AH43">
            <v>0</v>
          </cell>
          <cell r="AK43">
            <v>0</v>
          </cell>
        </row>
        <row r="44">
          <cell r="D44">
            <v>3.22</v>
          </cell>
          <cell r="G44">
            <v>0</v>
          </cell>
          <cell r="J44">
            <v>0</v>
          </cell>
          <cell r="M44">
            <v>0</v>
          </cell>
          <cell r="P44">
            <v>0</v>
          </cell>
          <cell r="S44">
            <v>0</v>
          </cell>
          <cell r="V44">
            <v>0</v>
          </cell>
          <cell r="Y44">
            <v>0</v>
          </cell>
          <cell r="AB44">
            <v>0</v>
          </cell>
          <cell r="AE44">
            <v>0</v>
          </cell>
          <cell r="AH44">
            <v>0</v>
          </cell>
          <cell r="AK44">
            <v>0</v>
          </cell>
        </row>
        <row r="45">
          <cell r="D45">
            <v>0</v>
          </cell>
          <cell r="G45">
            <v>0</v>
          </cell>
          <cell r="J45">
            <v>0</v>
          </cell>
          <cell r="M45">
            <v>0</v>
          </cell>
          <cell r="P45">
            <v>0</v>
          </cell>
          <cell r="S45">
            <v>0</v>
          </cell>
          <cell r="V45">
            <v>0</v>
          </cell>
          <cell r="Y45">
            <v>0</v>
          </cell>
          <cell r="AB45">
            <v>0</v>
          </cell>
          <cell r="AE45">
            <v>0</v>
          </cell>
          <cell r="AH45">
            <v>0</v>
          </cell>
          <cell r="AK45">
            <v>0</v>
          </cell>
        </row>
        <row r="46">
          <cell r="D46">
            <v>0</v>
          </cell>
          <cell r="G46">
            <v>0</v>
          </cell>
          <cell r="J46">
            <v>0</v>
          </cell>
          <cell r="M46">
            <v>0</v>
          </cell>
          <cell r="P46">
            <v>0</v>
          </cell>
          <cell r="S46">
            <v>0</v>
          </cell>
          <cell r="V46">
            <v>0</v>
          </cell>
          <cell r="Y46">
            <v>0</v>
          </cell>
          <cell r="AB46">
            <v>0</v>
          </cell>
          <cell r="AE46">
            <v>0</v>
          </cell>
          <cell r="AH46">
            <v>0</v>
          </cell>
          <cell r="AK46">
            <v>0</v>
          </cell>
        </row>
        <row r="47">
          <cell r="D47">
            <v>0</v>
          </cell>
          <cell r="G47">
            <v>0</v>
          </cell>
          <cell r="J47">
            <v>0</v>
          </cell>
          <cell r="M47">
            <v>0</v>
          </cell>
          <cell r="P47">
            <v>0</v>
          </cell>
          <cell r="S47">
            <v>0</v>
          </cell>
          <cell r="V47">
            <v>0</v>
          </cell>
          <cell r="Y47">
            <v>0</v>
          </cell>
          <cell r="AB47">
            <v>0</v>
          </cell>
          <cell r="AE47">
            <v>0</v>
          </cell>
          <cell r="AH47">
            <v>0</v>
          </cell>
          <cell r="AK47">
            <v>0</v>
          </cell>
        </row>
        <row r="48">
          <cell r="D48">
            <v>0</v>
          </cell>
          <cell r="G48">
            <v>0</v>
          </cell>
          <cell r="J48">
            <v>0</v>
          </cell>
          <cell r="M48">
            <v>0</v>
          </cell>
          <cell r="P48">
            <v>0</v>
          </cell>
          <cell r="S48">
            <v>0</v>
          </cell>
          <cell r="V48">
            <v>0</v>
          </cell>
          <cell r="Y48">
            <v>0</v>
          </cell>
          <cell r="AB48">
            <v>0</v>
          </cell>
          <cell r="AE48">
            <v>0</v>
          </cell>
          <cell r="AH48">
            <v>0</v>
          </cell>
          <cell r="AK48">
            <v>0</v>
          </cell>
        </row>
        <row r="49">
          <cell r="D49">
            <v>0</v>
          </cell>
          <cell r="G49">
            <v>0</v>
          </cell>
          <cell r="J49">
            <v>0</v>
          </cell>
          <cell r="M49">
            <v>0</v>
          </cell>
          <cell r="P49">
            <v>0</v>
          </cell>
          <cell r="S49">
            <v>0</v>
          </cell>
          <cell r="V49">
            <v>0</v>
          </cell>
          <cell r="Y49">
            <v>0</v>
          </cell>
          <cell r="AB49">
            <v>0</v>
          </cell>
          <cell r="AE49">
            <v>0</v>
          </cell>
          <cell r="AH49">
            <v>0</v>
          </cell>
          <cell r="AK49">
            <v>0</v>
          </cell>
        </row>
        <row r="50">
          <cell r="D50">
            <v>95.21</v>
          </cell>
          <cell r="G50">
            <v>0</v>
          </cell>
          <cell r="J50">
            <v>0</v>
          </cell>
          <cell r="M50">
            <v>0</v>
          </cell>
          <cell r="P50">
            <v>0</v>
          </cell>
          <cell r="S50">
            <v>0</v>
          </cell>
          <cell r="V50">
            <v>0</v>
          </cell>
          <cell r="Y50">
            <v>0</v>
          </cell>
          <cell r="AB50">
            <v>0</v>
          </cell>
          <cell r="AE50">
            <v>0</v>
          </cell>
          <cell r="AH50">
            <v>0</v>
          </cell>
          <cell r="AK50">
            <v>0</v>
          </cell>
        </row>
        <row r="51">
          <cell r="D51">
            <v>0</v>
          </cell>
          <cell r="G51">
            <v>0</v>
          </cell>
          <cell r="J51">
            <v>0</v>
          </cell>
          <cell r="M51">
            <v>0</v>
          </cell>
          <cell r="P51">
            <v>0</v>
          </cell>
          <cell r="S51">
            <v>0</v>
          </cell>
          <cell r="V51">
            <v>0</v>
          </cell>
          <cell r="Y51">
            <v>0</v>
          </cell>
          <cell r="AB51">
            <v>0</v>
          </cell>
          <cell r="AE51">
            <v>0</v>
          </cell>
          <cell r="AH51">
            <v>0</v>
          </cell>
          <cell r="AK51">
            <v>0</v>
          </cell>
        </row>
        <row r="52">
          <cell r="D52">
            <v>0</v>
          </cell>
          <cell r="G52">
            <v>0</v>
          </cell>
          <cell r="J52">
            <v>0</v>
          </cell>
          <cell r="M52">
            <v>0</v>
          </cell>
          <cell r="P52">
            <v>0</v>
          </cell>
          <cell r="S52">
            <v>0</v>
          </cell>
          <cell r="V52">
            <v>0</v>
          </cell>
          <cell r="Y52">
            <v>0</v>
          </cell>
          <cell r="AB52">
            <v>0</v>
          </cell>
          <cell r="AE52">
            <v>0</v>
          </cell>
          <cell r="AH52">
            <v>0</v>
          </cell>
          <cell r="AK52">
            <v>0</v>
          </cell>
        </row>
        <row r="53">
          <cell r="D53">
            <v>0</v>
          </cell>
          <cell r="G53">
            <v>0</v>
          </cell>
          <cell r="J53">
            <v>0</v>
          </cell>
          <cell r="M53">
            <v>0</v>
          </cell>
          <cell r="P53">
            <v>0</v>
          </cell>
          <cell r="S53">
            <v>0</v>
          </cell>
          <cell r="V53">
            <v>0</v>
          </cell>
          <cell r="Y53">
            <v>0</v>
          </cell>
          <cell r="AB53">
            <v>0</v>
          </cell>
          <cell r="AE53">
            <v>0</v>
          </cell>
          <cell r="AH53">
            <v>0</v>
          </cell>
          <cell r="AK53">
            <v>0</v>
          </cell>
        </row>
        <row r="54">
          <cell r="D54">
            <v>0</v>
          </cell>
          <cell r="G54">
            <v>0</v>
          </cell>
          <cell r="J54">
            <v>0</v>
          </cell>
          <cell r="M54">
            <v>0</v>
          </cell>
          <cell r="P54">
            <v>0</v>
          </cell>
          <cell r="S54">
            <v>0</v>
          </cell>
          <cell r="V54">
            <v>0</v>
          </cell>
          <cell r="Y54">
            <v>0</v>
          </cell>
          <cell r="AB54">
            <v>0</v>
          </cell>
          <cell r="AE54">
            <v>0</v>
          </cell>
          <cell r="AH54">
            <v>0</v>
          </cell>
          <cell r="AK54">
            <v>0</v>
          </cell>
        </row>
        <row r="55">
          <cell r="D55">
            <v>0</v>
          </cell>
          <cell r="G55">
            <v>0</v>
          </cell>
          <cell r="J55">
            <v>0</v>
          </cell>
          <cell r="M55">
            <v>0</v>
          </cell>
          <cell r="P55">
            <v>0</v>
          </cell>
          <cell r="S55">
            <v>0</v>
          </cell>
          <cell r="V55">
            <v>0</v>
          </cell>
          <cell r="Y55">
            <v>0</v>
          </cell>
          <cell r="AB55">
            <v>0</v>
          </cell>
          <cell r="AE55">
            <v>0</v>
          </cell>
          <cell r="AH55">
            <v>0</v>
          </cell>
          <cell r="AK55">
            <v>0</v>
          </cell>
        </row>
        <row r="56">
          <cell r="D56">
            <v>0</v>
          </cell>
          <cell r="G56">
            <v>0</v>
          </cell>
          <cell r="J56">
            <v>0</v>
          </cell>
          <cell r="M56">
            <v>0</v>
          </cell>
          <cell r="P56">
            <v>0</v>
          </cell>
          <cell r="S56">
            <v>0</v>
          </cell>
          <cell r="V56">
            <v>0</v>
          </cell>
          <cell r="Y56">
            <v>0</v>
          </cell>
          <cell r="AB56">
            <v>0</v>
          </cell>
          <cell r="AE56">
            <v>0</v>
          </cell>
          <cell r="AH56">
            <v>0</v>
          </cell>
          <cell r="AK56">
            <v>0</v>
          </cell>
        </row>
        <row r="57">
          <cell r="D57">
            <v>1.01</v>
          </cell>
          <cell r="G57">
            <v>0</v>
          </cell>
          <cell r="J57">
            <v>0</v>
          </cell>
          <cell r="M57">
            <v>0</v>
          </cell>
          <cell r="P57">
            <v>0</v>
          </cell>
          <cell r="S57">
            <v>0</v>
          </cell>
          <cell r="V57">
            <v>0</v>
          </cell>
          <cell r="Y57">
            <v>0</v>
          </cell>
          <cell r="AB57">
            <v>0</v>
          </cell>
          <cell r="AE57">
            <v>0</v>
          </cell>
          <cell r="AH57">
            <v>0</v>
          </cell>
          <cell r="AK57">
            <v>0</v>
          </cell>
        </row>
        <row r="58">
          <cell r="D58">
            <v>0</v>
          </cell>
          <cell r="G58">
            <v>0</v>
          </cell>
          <cell r="J58">
            <v>0</v>
          </cell>
          <cell r="M58">
            <v>0</v>
          </cell>
          <cell r="P58">
            <v>0</v>
          </cell>
          <cell r="S58">
            <v>0</v>
          </cell>
          <cell r="V58">
            <v>0</v>
          </cell>
          <cell r="Y58">
            <v>0</v>
          </cell>
          <cell r="AB58">
            <v>0</v>
          </cell>
          <cell r="AE58">
            <v>0</v>
          </cell>
          <cell r="AH58">
            <v>0</v>
          </cell>
          <cell r="AK58">
            <v>0</v>
          </cell>
        </row>
        <row r="59">
          <cell r="D59">
            <v>0</v>
          </cell>
          <cell r="G59">
            <v>0</v>
          </cell>
          <cell r="J59">
            <v>0</v>
          </cell>
          <cell r="M59">
            <v>0</v>
          </cell>
          <cell r="P59">
            <v>0</v>
          </cell>
          <cell r="S59">
            <v>0</v>
          </cell>
          <cell r="V59">
            <v>0</v>
          </cell>
          <cell r="Y59">
            <v>0</v>
          </cell>
          <cell r="AB59">
            <v>0</v>
          </cell>
          <cell r="AE59">
            <v>0</v>
          </cell>
          <cell r="AH59">
            <v>0</v>
          </cell>
          <cell r="AK59">
            <v>0</v>
          </cell>
        </row>
        <row r="60">
          <cell r="D60">
            <v>0</v>
          </cell>
          <cell r="G60">
            <v>0</v>
          </cell>
          <cell r="J60">
            <v>0</v>
          </cell>
          <cell r="M60">
            <v>0</v>
          </cell>
          <cell r="P60">
            <v>0</v>
          </cell>
          <cell r="S60">
            <v>0</v>
          </cell>
          <cell r="V60">
            <v>0</v>
          </cell>
          <cell r="Y60">
            <v>0</v>
          </cell>
          <cell r="AB60">
            <v>0</v>
          </cell>
          <cell r="AE60">
            <v>0</v>
          </cell>
          <cell r="AH60">
            <v>0</v>
          </cell>
          <cell r="AK60">
            <v>0</v>
          </cell>
        </row>
        <row r="61">
          <cell r="D61">
            <v>0</v>
          </cell>
          <cell r="G61">
            <v>0</v>
          </cell>
          <cell r="J61">
            <v>0</v>
          </cell>
          <cell r="M61">
            <v>0</v>
          </cell>
          <cell r="P61">
            <v>0</v>
          </cell>
          <cell r="S61">
            <v>0</v>
          </cell>
          <cell r="V61">
            <v>0</v>
          </cell>
          <cell r="Y61">
            <v>0</v>
          </cell>
          <cell r="AB61">
            <v>0</v>
          </cell>
          <cell r="AE61">
            <v>0</v>
          </cell>
          <cell r="AH61">
            <v>0</v>
          </cell>
          <cell r="AK61">
            <v>0</v>
          </cell>
        </row>
        <row r="62">
          <cell r="D62">
            <v>0</v>
          </cell>
          <cell r="G62">
            <v>0</v>
          </cell>
          <cell r="J62">
            <v>0</v>
          </cell>
          <cell r="M62">
            <v>0</v>
          </cell>
          <cell r="P62">
            <v>0</v>
          </cell>
          <cell r="S62">
            <v>0</v>
          </cell>
          <cell r="V62">
            <v>0</v>
          </cell>
          <cell r="Y62">
            <v>0</v>
          </cell>
          <cell r="AB62">
            <v>0</v>
          </cell>
          <cell r="AE62">
            <v>0</v>
          </cell>
          <cell r="AH62">
            <v>0</v>
          </cell>
          <cell r="AK62">
            <v>0</v>
          </cell>
        </row>
        <row r="63">
          <cell r="D63">
            <v>0</v>
          </cell>
          <cell r="G63">
            <v>0</v>
          </cell>
          <cell r="J63">
            <v>0</v>
          </cell>
          <cell r="M63">
            <v>0</v>
          </cell>
          <cell r="P63">
            <v>0</v>
          </cell>
          <cell r="S63">
            <v>0</v>
          </cell>
          <cell r="V63">
            <v>0</v>
          </cell>
          <cell r="Y63">
            <v>0</v>
          </cell>
          <cell r="AB63">
            <v>0</v>
          </cell>
          <cell r="AE63">
            <v>0</v>
          </cell>
          <cell r="AH63">
            <v>0</v>
          </cell>
          <cell r="AK63">
            <v>0</v>
          </cell>
        </row>
        <row r="64">
          <cell r="D64">
            <v>0</v>
          </cell>
          <cell r="G64">
            <v>0</v>
          </cell>
          <cell r="J64">
            <v>0</v>
          </cell>
          <cell r="M64">
            <v>0</v>
          </cell>
          <cell r="P64">
            <v>0</v>
          </cell>
          <cell r="S64">
            <v>0</v>
          </cell>
          <cell r="V64">
            <v>0</v>
          </cell>
          <cell r="Y64">
            <v>0</v>
          </cell>
          <cell r="AB64">
            <v>0</v>
          </cell>
          <cell r="AE64">
            <v>0</v>
          </cell>
          <cell r="AH64">
            <v>0</v>
          </cell>
          <cell r="AK64">
            <v>0</v>
          </cell>
        </row>
        <row r="65">
          <cell r="D65">
            <v>0</v>
          </cell>
          <cell r="G65">
            <v>0</v>
          </cell>
          <cell r="J65">
            <v>0</v>
          </cell>
          <cell r="M65">
            <v>0</v>
          </cell>
          <cell r="P65">
            <v>0</v>
          </cell>
          <cell r="S65">
            <v>0</v>
          </cell>
          <cell r="V65">
            <v>0</v>
          </cell>
          <cell r="Y65">
            <v>0</v>
          </cell>
          <cell r="AB65">
            <v>0</v>
          </cell>
          <cell r="AE65">
            <v>0</v>
          </cell>
          <cell r="AH65">
            <v>0</v>
          </cell>
          <cell r="AK65">
            <v>0</v>
          </cell>
        </row>
        <row r="66">
          <cell r="D66">
            <v>0</v>
          </cell>
          <cell r="G66">
            <v>0</v>
          </cell>
          <cell r="J66">
            <v>0</v>
          </cell>
          <cell r="M66">
            <v>0</v>
          </cell>
          <cell r="P66">
            <v>0</v>
          </cell>
          <cell r="S66">
            <v>0</v>
          </cell>
          <cell r="V66">
            <v>0</v>
          </cell>
          <cell r="Y66">
            <v>0</v>
          </cell>
          <cell r="AB66">
            <v>0</v>
          </cell>
          <cell r="AE66">
            <v>0</v>
          </cell>
          <cell r="AH66">
            <v>0</v>
          </cell>
          <cell r="AK66">
            <v>0</v>
          </cell>
        </row>
        <row r="67">
          <cell r="D67">
            <v>-0.3</v>
          </cell>
          <cell r="G67">
            <v>0</v>
          </cell>
          <cell r="J67">
            <v>0</v>
          </cell>
          <cell r="M67">
            <v>0</v>
          </cell>
          <cell r="P67">
            <v>0</v>
          </cell>
          <cell r="S67">
            <v>0</v>
          </cell>
          <cell r="V67">
            <v>0</v>
          </cell>
          <cell r="Y67">
            <v>0</v>
          </cell>
          <cell r="AB67">
            <v>0</v>
          </cell>
          <cell r="AE67">
            <v>0</v>
          </cell>
          <cell r="AH67">
            <v>0</v>
          </cell>
          <cell r="AK67">
            <v>0</v>
          </cell>
        </row>
        <row r="68">
          <cell r="D68">
            <v>1.18</v>
          </cell>
          <cell r="G68">
            <v>0</v>
          </cell>
          <cell r="J68">
            <v>0</v>
          </cell>
          <cell r="M68">
            <v>0</v>
          </cell>
          <cell r="P68">
            <v>0</v>
          </cell>
          <cell r="S68">
            <v>0</v>
          </cell>
          <cell r="V68">
            <v>0</v>
          </cell>
          <cell r="Y68">
            <v>0</v>
          </cell>
          <cell r="AB68">
            <v>0</v>
          </cell>
          <cell r="AE68">
            <v>0</v>
          </cell>
          <cell r="AH68">
            <v>0</v>
          </cell>
          <cell r="AK68">
            <v>0</v>
          </cell>
        </row>
        <row r="69">
          <cell r="D69">
            <v>0</v>
          </cell>
          <cell r="G69">
            <v>0</v>
          </cell>
          <cell r="J69">
            <v>0</v>
          </cell>
          <cell r="M69">
            <v>0</v>
          </cell>
          <cell r="P69">
            <v>0</v>
          </cell>
          <cell r="S69">
            <v>0</v>
          </cell>
          <cell r="V69">
            <v>0</v>
          </cell>
          <cell r="Y69">
            <v>0</v>
          </cell>
          <cell r="AB69">
            <v>0</v>
          </cell>
          <cell r="AE69">
            <v>0</v>
          </cell>
          <cell r="AH69">
            <v>0</v>
          </cell>
          <cell r="AK69">
            <v>0</v>
          </cell>
        </row>
        <row r="70">
          <cell r="D70">
            <v>0</v>
          </cell>
          <cell r="G70">
            <v>0</v>
          </cell>
          <cell r="J70">
            <v>0</v>
          </cell>
          <cell r="M70">
            <v>0</v>
          </cell>
          <cell r="P70">
            <v>0</v>
          </cell>
          <cell r="S70">
            <v>0</v>
          </cell>
          <cell r="V70">
            <v>0</v>
          </cell>
          <cell r="Y70">
            <v>0</v>
          </cell>
          <cell r="AB70">
            <v>0</v>
          </cell>
          <cell r="AE70">
            <v>0</v>
          </cell>
          <cell r="AH70">
            <v>0</v>
          </cell>
          <cell r="AK70">
            <v>0</v>
          </cell>
        </row>
        <row r="71">
          <cell r="D71">
            <v>0</v>
          </cell>
          <cell r="G71">
            <v>0</v>
          </cell>
          <cell r="J71">
            <v>0</v>
          </cell>
          <cell r="M71">
            <v>0</v>
          </cell>
          <cell r="P71">
            <v>0</v>
          </cell>
          <cell r="S71">
            <v>0</v>
          </cell>
          <cell r="V71">
            <v>0</v>
          </cell>
          <cell r="Y71">
            <v>0</v>
          </cell>
          <cell r="AB71">
            <v>0</v>
          </cell>
          <cell r="AE71">
            <v>0</v>
          </cell>
          <cell r="AH71">
            <v>0</v>
          </cell>
          <cell r="AK71">
            <v>0</v>
          </cell>
        </row>
        <row r="72">
          <cell r="D72">
            <v>0.72</v>
          </cell>
          <cell r="G72">
            <v>0</v>
          </cell>
          <cell r="J72">
            <v>0</v>
          </cell>
          <cell r="M72">
            <v>0</v>
          </cell>
          <cell r="P72">
            <v>0</v>
          </cell>
          <cell r="S72">
            <v>0</v>
          </cell>
          <cell r="V72">
            <v>0</v>
          </cell>
          <cell r="Y72">
            <v>0</v>
          </cell>
          <cell r="AB72">
            <v>0</v>
          </cell>
          <cell r="AE72">
            <v>0</v>
          </cell>
          <cell r="AH72">
            <v>0</v>
          </cell>
          <cell r="AK72">
            <v>0</v>
          </cell>
        </row>
        <row r="73">
          <cell r="D73">
            <v>0</v>
          </cell>
          <cell r="G73">
            <v>0</v>
          </cell>
          <cell r="J73">
            <v>0</v>
          </cell>
          <cell r="M73">
            <v>0</v>
          </cell>
          <cell r="P73">
            <v>0</v>
          </cell>
          <cell r="S73">
            <v>0</v>
          </cell>
          <cell r="V73">
            <v>0</v>
          </cell>
          <cell r="Y73">
            <v>0</v>
          </cell>
          <cell r="AB73">
            <v>0</v>
          </cell>
          <cell r="AE73">
            <v>0</v>
          </cell>
          <cell r="AH73">
            <v>0</v>
          </cell>
          <cell r="AK73">
            <v>0</v>
          </cell>
        </row>
        <row r="74">
          <cell r="D74">
            <v>0</v>
          </cell>
          <cell r="G74">
            <v>0</v>
          </cell>
          <cell r="J74">
            <v>0</v>
          </cell>
          <cell r="M74">
            <v>0</v>
          </cell>
          <cell r="P74">
            <v>0</v>
          </cell>
          <cell r="S74">
            <v>0</v>
          </cell>
          <cell r="V74">
            <v>0</v>
          </cell>
          <cell r="Y74">
            <v>0</v>
          </cell>
          <cell r="AB74">
            <v>0</v>
          </cell>
          <cell r="AE74">
            <v>0</v>
          </cell>
          <cell r="AH74">
            <v>0</v>
          </cell>
          <cell r="AK74">
            <v>0</v>
          </cell>
        </row>
        <row r="75">
          <cell r="D75">
            <v>0</v>
          </cell>
          <cell r="G75">
            <v>0</v>
          </cell>
          <cell r="J75">
            <v>0</v>
          </cell>
          <cell r="M75">
            <v>0</v>
          </cell>
          <cell r="P75">
            <v>0</v>
          </cell>
          <cell r="S75">
            <v>0</v>
          </cell>
          <cell r="V75">
            <v>0</v>
          </cell>
          <cell r="Y75">
            <v>0</v>
          </cell>
          <cell r="AB75">
            <v>0</v>
          </cell>
          <cell r="AE75">
            <v>0</v>
          </cell>
          <cell r="AH75">
            <v>0</v>
          </cell>
          <cell r="AK75">
            <v>0</v>
          </cell>
        </row>
        <row r="76">
          <cell r="D76">
            <v>0</v>
          </cell>
          <cell r="G76">
            <v>0</v>
          </cell>
          <cell r="J76">
            <v>0</v>
          </cell>
          <cell r="M76">
            <v>0</v>
          </cell>
          <cell r="P76">
            <v>0</v>
          </cell>
          <cell r="S76">
            <v>0</v>
          </cell>
          <cell r="V76">
            <v>0</v>
          </cell>
          <cell r="Y76">
            <v>0</v>
          </cell>
          <cell r="AB76">
            <v>0</v>
          </cell>
          <cell r="AE76">
            <v>0</v>
          </cell>
          <cell r="AH76">
            <v>0</v>
          </cell>
          <cell r="AK76">
            <v>0</v>
          </cell>
        </row>
        <row r="77">
          <cell r="D77">
            <v>4.04</v>
          </cell>
          <cell r="G77">
            <v>0</v>
          </cell>
          <cell r="J77">
            <v>0</v>
          </cell>
          <cell r="M77">
            <v>0</v>
          </cell>
          <cell r="P77">
            <v>0</v>
          </cell>
          <cell r="S77">
            <v>0</v>
          </cell>
          <cell r="V77">
            <v>0</v>
          </cell>
          <cell r="Y77">
            <v>0</v>
          </cell>
          <cell r="AB77">
            <v>0</v>
          </cell>
          <cell r="AE77">
            <v>0</v>
          </cell>
          <cell r="AH77">
            <v>0</v>
          </cell>
          <cell r="AK77">
            <v>0</v>
          </cell>
        </row>
        <row r="78">
          <cell r="D78">
            <v>0</v>
          </cell>
          <cell r="G78">
            <v>0</v>
          </cell>
          <cell r="J78">
            <v>0</v>
          </cell>
          <cell r="M78">
            <v>0</v>
          </cell>
          <cell r="P78">
            <v>0</v>
          </cell>
          <cell r="S78">
            <v>0</v>
          </cell>
          <cell r="V78">
            <v>0</v>
          </cell>
          <cell r="Y78">
            <v>0</v>
          </cell>
          <cell r="AB78">
            <v>0</v>
          </cell>
          <cell r="AE78">
            <v>0</v>
          </cell>
          <cell r="AH78">
            <v>0</v>
          </cell>
          <cell r="AK78">
            <v>0</v>
          </cell>
        </row>
        <row r="79">
          <cell r="D79">
            <v>0</v>
          </cell>
          <cell r="G79">
            <v>0</v>
          </cell>
          <cell r="J79">
            <v>0</v>
          </cell>
          <cell r="M79">
            <v>0</v>
          </cell>
          <cell r="P79">
            <v>0</v>
          </cell>
          <cell r="S79">
            <v>0</v>
          </cell>
          <cell r="V79">
            <v>0</v>
          </cell>
          <cell r="Y79">
            <v>0</v>
          </cell>
          <cell r="AB79">
            <v>0</v>
          </cell>
          <cell r="AE79">
            <v>0</v>
          </cell>
          <cell r="AH79">
            <v>0</v>
          </cell>
          <cell r="AK79">
            <v>0</v>
          </cell>
        </row>
        <row r="80">
          <cell r="D80">
            <v>0.52</v>
          </cell>
          <cell r="G80">
            <v>0</v>
          </cell>
          <cell r="J80">
            <v>0</v>
          </cell>
          <cell r="M80">
            <v>0</v>
          </cell>
          <cell r="P80">
            <v>0</v>
          </cell>
          <cell r="S80">
            <v>0</v>
          </cell>
          <cell r="V80">
            <v>0</v>
          </cell>
          <cell r="Y80">
            <v>0</v>
          </cell>
          <cell r="AB80">
            <v>0</v>
          </cell>
          <cell r="AE80">
            <v>0</v>
          </cell>
          <cell r="AH80">
            <v>0</v>
          </cell>
          <cell r="AK80">
            <v>0</v>
          </cell>
        </row>
        <row r="81">
          <cell r="D81">
            <v>0</v>
          </cell>
          <cell r="G81">
            <v>0</v>
          </cell>
          <cell r="J81">
            <v>0</v>
          </cell>
          <cell r="M81">
            <v>0</v>
          </cell>
          <cell r="P81">
            <v>0</v>
          </cell>
          <cell r="S81">
            <v>0</v>
          </cell>
          <cell r="V81">
            <v>0</v>
          </cell>
          <cell r="Y81">
            <v>0</v>
          </cell>
          <cell r="AB81">
            <v>0</v>
          </cell>
          <cell r="AE81">
            <v>0</v>
          </cell>
          <cell r="AH81">
            <v>0</v>
          </cell>
          <cell r="AK81">
            <v>0</v>
          </cell>
        </row>
        <row r="82">
          <cell r="D82">
            <v>0</v>
          </cell>
          <cell r="G82">
            <v>0</v>
          </cell>
          <cell r="J82">
            <v>0</v>
          </cell>
          <cell r="M82">
            <v>0</v>
          </cell>
          <cell r="P82">
            <v>0</v>
          </cell>
          <cell r="S82">
            <v>0</v>
          </cell>
          <cell r="V82">
            <v>0</v>
          </cell>
          <cell r="Y82">
            <v>0</v>
          </cell>
          <cell r="AB82">
            <v>0</v>
          </cell>
          <cell r="AE82">
            <v>0</v>
          </cell>
          <cell r="AH82">
            <v>0</v>
          </cell>
          <cell r="AK82">
            <v>0</v>
          </cell>
        </row>
        <row r="83">
          <cell r="D83">
            <v>0</v>
          </cell>
          <cell r="G83">
            <v>0</v>
          </cell>
          <cell r="J83">
            <v>0</v>
          </cell>
          <cell r="M83">
            <v>0</v>
          </cell>
          <cell r="P83">
            <v>0</v>
          </cell>
          <cell r="S83">
            <v>0</v>
          </cell>
          <cell r="V83">
            <v>0</v>
          </cell>
          <cell r="Y83">
            <v>0</v>
          </cell>
          <cell r="AB83">
            <v>0</v>
          </cell>
          <cell r="AE83">
            <v>0</v>
          </cell>
          <cell r="AH83">
            <v>0</v>
          </cell>
          <cell r="AK83">
            <v>0</v>
          </cell>
        </row>
        <row r="84">
          <cell r="D84">
            <v>0</v>
          </cell>
          <cell r="G84">
            <v>0</v>
          </cell>
          <cell r="J84">
            <v>0</v>
          </cell>
          <cell r="M84">
            <v>0</v>
          </cell>
          <cell r="P84">
            <v>0</v>
          </cell>
          <cell r="S84">
            <v>0</v>
          </cell>
          <cell r="V84">
            <v>0</v>
          </cell>
          <cell r="Y84">
            <v>0</v>
          </cell>
          <cell r="AB84">
            <v>0</v>
          </cell>
          <cell r="AE84">
            <v>0</v>
          </cell>
          <cell r="AH84">
            <v>0</v>
          </cell>
          <cell r="AK84">
            <v>0</v>
          </cell>
        </row>
        <row r="85">
          <cell r="D85">
            <v>0</v>
          </cell>
          <cell r="G85">
            <v>0</v>
          </cell>
          <cell r="J85">
            <v>0</v>
          </cell>
          <cell r="M85">
            <v>0</v>
          </cell>
          <cell r="P85">
            <v>0</v>
          </cell>
          <cell r="S85">
            <v>0</v>
          </cell>
          <cell r="V85">
            <v>0</v>
          </cell>
          <cell r="Y85">
            <v>0</v>
          </cell>
          <cell r="AB85">
            <v>0</v>
          </cell>
          <cell r="AE85">
            <v>0</v>
          </cell>
          <cell r="AH85">
            <v>0</v>
          </cell>
          <cell r="AK85">
            <v>0</v>
          </cell>
        </row>
        <row r="86">
          <cell r="D86">
            <v>0</v>
          </cell>
          <cell r="G86">
            <v>0</v>
          </cell>
          <cell r="J86">
            <v>0</v>
          </cell>
          <cell r="M86">
            <v>0</v>
          </cell>
          <cell r="P86">
            <v>0</v>
          </cell>
          <cell r="S86">
            <v>0</v>
          </cell>
          <cell r="V86">
            <v>0</v>
          </cell>
          <cell r="Y86">
            <v>0</v>
          </cell>
          <cell r="AB86">
            <v>0</v>
          </cell>
          <cell r="AE86">
            <v>0</v>
          </cell>
          <cell r="AH86">
            <v>0</v>
          </cell>
          <cell r="AK86">
            <v>0</v>
          </cell>
        </row>
        <row r="87">
          <cell r="D87">
            <v>0</v>
          </cell>
          <cell r="G87">
            <v>0</v>
          </cell>
          <cell r="J87">
            <v>0</v>
          </cell>
          <cell r="M87">
            <v>0</v>
          </cell>
          <cell r="P87">
            <v>0</v>
          </cell>
          <cell r="S87">
            <v>0</v>
          </cell>
          <cell r="V87">
            <v>0</v>
          </cell>
          <cell r="Y87">
            <v>0</v>
          </cell>
          <cell r="AB87">
            <v>0</v>
          </cell>
          <cell r="AE87">
            <v>0</v>
          </cell>
          <cell r="AH87">
            <v>0</v>
          </cell>
          <cell r="AK87">
            <v>0</v>
          </cell>
        </row>
        <row r="88">
          <cell r="D88">
            <v>6.16</v>
          </cell>
          <cell r="G88">
            <v>0</v>
          </cell>
          <cell r="J88">
            <v>0</v>
          </cell>
          <cell r="M88">
            <v>0</v>
          </cell>
          <cell r="P88">
            <v>0</v>
          </cell>
          <cell r="S88">
            <v>0</v>
          </cell>
          <cell r="V88">
            <v>0</v>
          </cell>
          <cell r="Y88">
            <v>0</v>
          </cell>
          <cell r="AB88">
            <v>0</v>
          </cell>
          <cell r="AE88">
            <v>0</v>
          </cell>
          <cell r="AH88">
            <v>0</v>
          </cell>
          <cell r="AK88">
            <v>0</v>
          </cell>
        </row>
        <row r="89">
          <cell r="D89">
            <v>7.17</v>
          </cell>
          <cell r="G89">
            <v>0</v>
          </cell>
          <cell r="J89">
            <v>0</v>
          </cell>
          <cell r="M89">
            <v>0</v>
          </cell>
          <cell r="P89">
            <v>0</v>
          </cell>
          <cell r="S89">
            <v>0</v>
          </cell>
          <cell r="V89">
            <v>0</v>
          </cell>
          <cell r="Y89">
            <v>0</v>
          </cell>
          <cell r="AB89">
            <v>0</v>
          </cell>
          <cell r="AE89">
            <v>0</v>
          </cell>
          <cell r="AH89">
            <v>0</v>
          </cell>
          <cell r="AK89">
            <v>0</v>
          </cell>
        </row>
        <row r="90">
          <cell r="D90">
            <v>0</v>
          </cell>
          <cell r="G90">
            <v>0</v>
          </cell>
          <cell r="J90">
            <v>0</v>
          </cell>
          <cell r="M90">
            <v>0</v>
          </cell>
          <cell r="P90">
            <v>0</v>
          </cell>
          <cell r="S90">
            <v>0</v>
          </cell>
          <cell r="V90">
            <v>0</v>
          </cell>
          <cell r="Y90">
            <v>0</v>
          </cell>
          <cell r="AB90">
            <v>0</v>
          </cell>
          <cell r="AE90">
            <v>0</v>
          </cell>
          <cell r="AH90">
            <v>0</v>
          </cell>
          <cell r="AK90">
            <v>0</v>
          </cell>
        </row>
        <row r="91">
          <cell r="D91">
            <v>0</v>
          </cell>
          <cell r="G91">
            <v>0</v>
          </cell>
          <cell r="J91">
            <v>0</v>
          </cell>
          <cell r="M91">
            <v>0</v>
          </cell>
          <cell r="P91">
            <v>0</v>
          </cell>
          <cell r="S91">
            <v>0</v>
          </cell>
          <cell r="V91">
            <v>0</v>
          </cell>
          <cell r="Y91">
            <v>0</v>
          </cell>
          <cell r="AB91">
            <v>0</v>
          </cell>
          <cell r="AE91">
            <v>0</v>
          </cell>
          <cell r="AH91">
            <v>0</v>
          </cell>
          <cell r="AK91">
            <v>0</v>
          </cell>
        </row>
        <row r="92">
          <cell r="D92">
            <v>0</v>
          </cell>
          <cell r="G92">
            <v>0</v>
          </cell>
          <cell r="J92">
            <v>0</v>
          </cell>
          <cell r="M92">
            <v>0</v>
          </cell>
          <cell r="P92">
            <v>0</v>
          </cell>
          <cell r="S92">
            <v>0</v>
          </cell>
          <cell r="V92">
            <v>0</v>
          </cell>
          <cell r="Y92">
            <v>0</v>
          </cell>
          <cell r="AB92">
            <v>0</v>
          </cell>
          <cell r="AE92">
            <v>0</v>
          </cell>
          <cell r="AH92">
            <v>0</v>
          </cell>
          <cell r="AK92">
            <v>0</v>
          </cell>
        </row>
        <row r="93">
          <cell r="D93">
            <v>102.38</v>
          </cell>
          <cell r="G93">
            <v>0</v>
          </cell>
          <cell r="J93">
            <v>0</v>
          </cell>
          <cell r="M93">
            <v>0</v>
          </cell>
          <cell r="P93">
            <v>0</v>
          </cell>
          <cell r="S93">
            <v>0</v>
          </cell>
          <cell r="V93">
            <v>0</v>
          </cell>
          <cell r="Y93">
            <v>0</v>
          </cell>
          <cell r="AB93">
            <v>0</v>
          </cell>
          <cell r="AE93">
            <v>0</v>
          </cell>
          <cell r="AH93">
            <v>0</v>
          </cell>
          <cell r="AK93">
            <v>0</v>
          </cell>
        </row>
        <row r="94">
          <cell r="D94">
            <v>0</v>
          </cell>
          <cell r="G94">
            <v>0</v>
          </cell>
          <cell r="J94">
            <v>0</v>
          </cell>
          <cell r="M94">
            <v>0</v>
          </cell>
          <cell r="P94">
            <v>0</v>
          </cell>
          <cell r="S94">
            <v>0</v>
          </cell>
          <cell r="V94">
            <v>0</v>
          </cell>
          <cell r="Y94">
            <v>0</v>
          </cell>
          <cell r="AB94">
            <v>0</v>
          </cell>
          <cell r="AE94">
            <v>0</v>
          </cell>
          <cell r="AH94">
            <v>0</v>
          </cell>
          <cell r="AK94">
            <v>0</v>
          </cell>
        </row>
        <row r="95">
          <cell r="D95">
            <v>0.73</v>
          </cell>
          <cell r="G95">
            <v>0</v>
          </cell>
          <cell r="J95">
            <v>0</v>
          </cell>
          <cell r="M95">
            <v>0</v>
          </cell>
          <cell r="P95">
            <v>0</v>
          </cell>
          <cell r="S95">
            <v>0</v>
          </cell>
          <cell r="V95">
            <v>0</v>
          </cell>
          <cell r="Y95">
            <v>0</v>
          </cell>
          <cell r="AB95">
            <v>0</v>
          </cell>
          <cell r="AE95">
            <v>0</v>
          </cell>
          <cell r="AH95">
            <v>0</v>
          </cell>
          <cell r="AK95">
            <v>0</v>
          </cell>
        </row>
        <row r="96">
          <cell r="D96">
            <v>0.73</v>
          </cell>
          <cell r="G96">
            <v>0</v>
          </cell>
          <cell r="J96">
            <v>0</v>
          </cell>
          <cell r="M96">
            <v>0</v>
          </cell>
          <cell r="P96">
            <v>0</v>
          </cell>
          <cell r="S96">
            <v>0</v>
          </cell>
          <cell r="V96">
            <v>0</v>
          </cell>
          <cell r="Y96">
            <v>0</v>
          </cell>
          <cell r="AB96">
            <v>0</v>
          </cell>
          <cell r="AE96">
            <v>0</v>
          </cell>
          <cell r="AH96">
            <v>0</v>
          </cell>
          <cell r="AK96">
            <v>0</v>
          </cell>
        </row>
        <row r="97">
          <cell r="D97">
            <v>0</v>
          </cell>
          <cell r="G97">
            <v>0</v>
          </cell>
          <cell r="J97">
            <v>0</v>
          </cell>
          <cell r="M97">
            <v>0</v>
          </cell>
          <cell r="P97">
            <v>0</v>
          </cell>
          <cell r="S97">
            <v>0</v>
          </cell>
          <cell r="V97">
            <v>0</v>
          </cell>
          <cell r="Y97">
            <v>0</v>
          </cell>
          <cell r="AB97">
            <v>0</v>
          </cell>
          <cell r="AE97">
            <v>0</v>
          </cell>
          <cell r="AH97">
            <v>0</v>
          </cell>
          <cell r="AK97">
            <v>0</v>
          </cell>
        </row>
        <row r="98">
          <cell r="D98">
            <v>0.79</v>
          </cell>
          <cell r="G98">
            <v>0</v>
          </cell>
          <cell r="J98">
            <v>0</v>
          </cell>
          <cell r="M98">
            <v>0</v>
          </cell>
          <cell r="P98">
            <v>0</v>
          </cell>
          <cell r="S98">
            <v>0</v>
          </cell>
          <cell r="V98">
            <v>0</v>
          </cell>
          <cell r="Y98">
            <v>0</v>
          </cell>
          <cell r="AB98">
            <v>0</v>
          </cell>
          <cell r="AE98">
            <v>0</v>
          </cell>
          <cell r="AH98">
            <v>0</v>
          </cell>
          <cell r="AK98">
            <v>0</v>
          </cell>
        </row>
        <row r="99">
          <cell r="D99">
            <v>5.4399999999999995</v>
          </cell>
          <cell r="G99">
            <v>0</v>
          </cell>
          <cell r="J99">
            <v>0</v>
          </cell>
          <cell r="M99">
            <v>0</v>
          </cell>
          <cell r="P99">
            <v>0</v>
          </cell>
          <cell r="S99">
            <v>0</v>
          </cell>
          <cell r="V99">
            <v>0</v>
          </cell>
          <cell r="Y99">
            <v>0</v>
          </cell>
          <cell r="AB99">
            <v>0</v>
          </cell>
          <cell r="AE99">
            <v>0</v>
          </cell>
          <cell r="AH99">
            <v>0</v>
          </cell>
          <cell r="AK99">
            <v>0</v>
          </cell>
        </row>
        <row r="100">
          <cell r="D100">
            <v>0</v>
          </cell>
          <cell r="G100">
            <v>0</v>
          </cell>
          <cell r="J100">
            <v>0</v>
          </cell>
          <cell r="M100">
            <v>0</v>
          </cell>
          <cell r="P100">
            <v>0</v>
          </cell>
          <cell r="S100">
            <v>0</v>
          </cell>
          <cell r="V100">
            <v>0</v>
          </cell>
          <cell r="Y100">
            <v>0</v>
          </cell>
          <cell r="AB100">
            <v>0</v>
          </cell>
          <cell r="AE100">
            <v>0</v>
          </cell>
          <cell r="AH100">
            <v>0</v>
          </cell>
          <cell r="AK100">
            <v>0</v>
          </cell>
        </row>
        <row r="101">
          <cell r="D101">
            <v>0</v>
          </cell>
          <cell r="G101">
            <v>0</v>
          </cell>
          <cell r="J101">
            <v>0</v>
          </cell>
          <cell r="M101">
            <v>0</v>
          </cell>
          <cell r="P101">
            <v>0</v>
          </cell>
          <cell r="S101">
            <v>0</v>
          </cell>
          <cell r="V101">
            <v>0</v>
          </cell>
          <cell r="Y101">
            <v>0</v>
          </cell>
          <cell r="AB101">
            <v>0</v>
          </cell>
          <cell r="AE101">
            <v>0</v>
          </cell>
          <cell r="AH101">
            <v>0</v>
          </cell>
          <cell r="AK101">
            <v>0</v>
          </cell>
        </row>
        <row r="102">
          <cell r="D102">
            <v>6.2299999999999995</v>
          </cell>
          <cell r="G102">
            <v>0</v>
          </cell>
          <cell r="J102">
            <v>0</v>
          </cell>
          <cell r="M102">
            <v>0</v>
          </cell>
          <cell r="P102">
            <v>0</v>
          </cell>
          <cell r="S102">
            <v>0</v>
          </cell>
          <cell r="V102">
            <v>0</v>
          </cell>
          <cell r="Y102">
            <v>0</v>
          </cell>
          <cell r="AB102">
            <v>0</v>
          </cell>
          <cell r="AE102">
            <v>0</v>
          </cell>
          <cell r="AH102">
            <v>0</v>
          </cell>
          <cell r="AK102">
            <v>0</v>
          </cell>
        </row>
        <row r="103">
          <cell r="D103">
            <v>0.72</v>
          </cell>
          <cell r="G103">
            <v>0</v>
          </cell>
          <cell r="J103">
            <v>0</v>
          </cell>
          <cell r="M103">
            <v>0</v>
          </cell>
          <cell r="P103">
            <v>0</v>
          </cell>
          <cell r="S103">
            <v>0</v>
          </cell>
          <cell r="V103">
            <v>0</v>
          </cell>
          <cell r="Y103">
            <v>0</v>
          </cell>
          <cell r="AB103">
            <v>0</v>
          </cell>
          <cell r="AE103">
            <v>0</v>
          </cell>
          <cell r="AH103">
            <v>0</v>
          </cell>
          <cell r="AK103">
            <v>0</v>
          </cell>
        </row>
        <row r="104">
          <cell r="D104">
            <v>0</v>
          </cell>
          <cell r="G104">
            <v>0</v>
          </cell>
          <cell r="J104">
            <v>0</v>
          </cell>
          <cell r="M104">
            <v>0</v>
          </cell>
          <cell r="P104">
            <v>0</v>
          </cell>
          <cell r="S104">
            <v>0</v>
          </cell>
          <cell r="V104">
            <v>0</v>
          </cell>
          <cell r="Y104">
            <v>0</v>
          </cell>
          <cell r="AB104">
            <v>0</v>
          </cell>
          <cell r="AE104">
            <v>0</v>
          </cell>
          <cell r="AH104">
            <v>0</v>
          </cell>
          <cell r="AK104">
            <v>0</v>
          </cell>
        </row>
        <row r="105">
          <cell r="D105">
            <v>0</v>
          </cell>
          <cell r="G105">
            <v>0</v>
          </cell>
          <cell r="J105">
            <v>0</v>
          </cell>
          <cell r="M105">
            <v>0</v>
          </cell>
          <cell r="P105">
            <v>0</v>
          </cell>
          <cell r="S105">
            <v>0</v>
          </cell>
          <cell r="V105">
            <v>0</v>
          </cell>
          <cell r="Y105">
            <v>0</v>
          </cell>
          <cell r="AB105">
            <v>0</v>
          </cell>
          <cell r="AE105">
            <v>0</v>
          </cell>
          <cell r="AH105">
            <v>0</v>
          </cell>
          <cell r="AK105">
            <v>0</v>
          </cell>
        </row>
        <row r="106">
          <cell r="D106">
            <v>0</v>
          </cell>
          <cell r="G106">
            <v>0</v>
          </cell>
          <cell r="J106">
            <v>0</v>
          </cell>
          <cell r="M106">
            <v>0</v>
          </cell>
          <cell r="P106">
            <v>0</v>
          </cell>
          <cell r="S106">
            <v>0</v>
          </cell>
          <cell r="V106">
            <v>0</v>
          </cell>
          <cell r="Y106">
            <v>0</v>
          </cell>
          <cell r="AB106">
            <v>0</v>
          </cell>
          <cell r="AE106">
            <v>0</v>
          </cell>
          <cell r="AH106">
            <v>0</v>
          </cell>
          <cell r="AK106">
            <v>0</v>
          </cell>
        </row>
        <row r="107">
          <cell r="D107">
            <v>0</v>
          </cell>
          <cell r="G107">
            <v>0</v>
          </cell>
          <cell r="J107">
            <v>0</v>
          </cell>
          <cell r="M107">
            <v>0</v>
          </cell>
          <cell r="P107">
            <v>0</v>
          </cell>
          <cell r="S107">
            <v>0</v>
          </cell>
          <cell r="V107">
            <v>0</v>
          </cell>
          <cell r="Y107">
            <v>0</v>
          </cell>
          <cell r="AB107">
            <v>0</v>
          </cell>
          <cell r="AE107">
            <v>0</v>
          </cell>
          <cell r="AH107">
            <v>0</v>
          </cell>
          <cell r="AK107">
            <v>0</v>
          </cell>
        </row>
        <row r="108">
          <cell r="D108">
            <v>0</v>
          </cell>
          <cell r="G108">
            <v>0</v>
          </cell>
          <cell r="J108">
            <v>0</v>
          </cell>
          <cell r="M108">
            <v>0</v>
          </cell>
          <cell r="P108">
            <v>0</v>
          </cell>
          <cell r="S108">
            <v>0</v>
          </cell>
          <cell r="V108">
            <v>0</v>
          </cell>
          <cell r="Y108">
            <v>0</v>
          </cell>
          <cell r="AB108">
            <v>0</v>
          </cell>
          <cell r="AE108">
            <v>0</v>
          </cell>
          <cell r="AH108">
            <v>0</v>
          </cell>
          <cell r="AK108">
            <v>0</v>
          </cell>
        </row>
        <row r="109">
          <cell r="D109">
            <v>0</v>
          </cell>
          <cell r="G109">
            <v>0</v>
          </cell>
          <cell r="J109">
            <v>0</v>
          </cell>
          <cell r="M109">
            <v>0</v>
          </cell>
          <cell r="P109">
            <v>0</v>
          </cell>
          <cell r="S109">
            <v>0</v>
          </cell>
          <cell r="V109">
            <v>0</v>
          </cell>
          <cell r="Y109">
            <v>0</v>
          </cell>
          <cell r="AB109">
            <v>0</v>
          </cell>
          <cell r="AE109">
            <v>0</v>
          </cell>
          <cell r="AH109">
            <v>0</v>
          </cell>
          <cell r="AK109">
            <v>0</v>
          </cell>
        </row>
        <row r="110">
          <cell r="D110">
            <v>0</v>
          </cell>
          <cell r="G110">
            <v>0</v>
          </cell>
          <cell r="J110">
            <v>0</v>
          </cell>
          <cell r="M110">
            <v>0</v>
          </cell>
          <cell r="P110">
            <v>0</v>
          </cell>
          <cell r="S110">
            <v>0</v>
          </cell>
          <cell r="V110">
            <v>0</v>
          </cell>
          <cell r="Y110">
            <v>0</v>
          </cell>
          <cell r="AB110">
            <v>0</v>
          </cell>
          <cell r="AE110">
            <v>0</v>
          </cell>
          <cell r="AH110">
            <v>0</v>
          </cell>
          <cell r="AK110">
            <v>0</v>
          </cell>
        </row>
        <row r="111">
          <cell r="D111">
            <v>0</v>
          </cell>
          <cell r="G111">
            <v>0</v>
          </cell>
          <cell r="J111">
            <v>0</v>
          </cell>
          <cell r="M111">
            <v>0</v>
          </cell>
          <cell r="P111">
            <v>0</v>
          </cell>
          <cell r="S111">
            <v>0</v>
          </cell>
          <cell r="V111">
            <v>0</v>
          </cell>
          <cell r="Y111">
            <v>0</v>
          </cell>
          <cell r="AB111">
            <v>0</v>
          </cell>
          <cell r="AE111">
            <v>0</v>
          </cell>
          <cell r="AH111">
            <v>0</v>
          </cell>
          <cell r="AK111">
            <v>0</v>
          </cell>
        </row>
        <row r="112">
          <cell r="D112">
            <v>0</v>
          </cell>
          <cell r="G112">
            <v>0</v>
          </cell>
          <cell r="J112">
            <v>0</v>
          </cell>
          <cell r="M112">
            <v>0</v>
          </cell>
          <cell r="P112">
            <v>0</v>
          </cell>
          <cell r="S112">
            <v>0</v>
          </cell>
          <cell r="V112">
            <v>0</v>
          </cell>
          <cell r="Y112">
            <v>0</v>
          </cell>
          <cell r="AB112">
            <v>0</v>
          </cell>
          <cell r="AE112">
            <v>0</v>
          </cell>
          <cell r="AH112">
            <v>0</v>
          </cell>
          <cell r="AK112">
            <v>0</v>
          </cell>
        </row>
        <row r="113">
          <cell r="D113">
            <v>0.28999999999999998</v>
          </cell>
          <cell r="G113">
            <v>0</v>
          </cell>
          <cell r="J113">
            <v>0</v>
          </cell>
          <cell r="M113">
            <v>0</v>
          </cell>
          <cell r="P113">
            <v>0</v>
          </cell>
          <cell r="S113">
            <v>0</v>
          </cell>
          <cell r="V113">
            <v>0</v>
          </cell>
          <cell r="Y113">
            <v>0</v>
          </cell>
          <cell r="AB113">
            <v>0</v>
          </cell>
          <cell r="AE113">
            <v>0</v>
          </cell>
          <cell r="AH113">
            <v>0</v>
          </cell>
          <cell r="AK113">
            <v>0</v>
          </cell>
        </row>
        <row r="114">
          <cell r="D114">
            <v>1.01</v>
          </cell>
          <cell r="G114">
            <v>0</v>
          </cell>
          <cell r="J114">
            <v>0</v>
          </cell>
          <cell r="M114">
            <v>0</v>
          </cell>
          <cell r="P114">
            <v>0</v>
          </cell>
          <cell r="S114">
            <v>0</v>
          </cell>
          <cell r="V114">
            <v>0</v>
          </cell>
          <cell r="Y114">
            <v>0</v>
          </cell>
          <cell r="AB114">
            <v>0</v>
          </cell>
          <cell r="AE114">
            <v>0</v>
          </cell>
          <cell r="AH114">
            <v>0</v>
          </cell>
          <cell r="AK114">
            <v>0</v>
          </cell>
        </row>
        <row r="115">
          <cell r="D115">
            <v>7.9699999999999989</v>
          </cell>
          <cell r="G115">
            <v>0</v>
          </cell>
          <cell r="J115">
            <v>0</v>
          </cell>
          <cell r="M115">
            <v>0</v>
          </cell>
          <cell r="P115">
            <v>0</v>
          </cell>
          <cell r="S115">
            <v>0</v>
          </cell>
          <cell r="V115">
            <v>0</v>
          </cell>
          <cell r="Y115">
            <v>0</v>
          </cell>
          <cell r="AB115">
            <v>0</v>
          </cell>
          <cell r="AE115">
            <v>0</v>
          </cell>
          <cell r="AH115">
            <v>0</v>
          </cell>
          <cell r="AK115">
            <v>0</v>
          </cell>
        </row>
        <row r="116">
          <cell r="D116">
            <v>0</v>
          </cell>
          <cell r="G116">
            <v>0</v>
          </cell>
          <cell r="J116">
            <v>0</v>
          </cell>
          <cell r="M116">
            <v>0</v>
          </cell>
          <cell r="P116">
            <v>0</v>
          </cell>
          <cell r="S116">
            <v>0</v>
          </cell>
          <cell r="V116">
            <v>0</v>
          </cell>
          <cell r="Y116">
            <v>0</v>
          </cell>
          <cell r="AB116">
            <v>0</v>
          </cell>
          <cell r="AE116">
            <v>0</v>
          </cell>
          <cell r="AH116">
            <v>0</v>
          </cell>
          <cell r="AK116">
            <v>0</v>
          </cell>
        </row>
        <row r="117">
          <cell r="D117">
            <v>0</v>
          </cell>
          <cell r="G117">
            <v>0</v>
          </cell>
          <cell r="J117">
            <v>0</v>
          </cell>
          <cell r="M117">
            <v>0</v>
          </cell>
          <cell r="P117">
            <v>0</v>
          </cell>
          <cell r="S117">
            <v>0</v>
          </cell>
          <cell r="V117">
            <v>0</v>
          </cell>
          <cell r="Y117">
            <v>0</v>
          </cell>
          <cell r="AB117">
            <v>0</v>
          </cell>
          <cell r="AE117">
            <v>0</v>
          </cell>
          <cell r="AH117">
            <v>0</v>
          </cell>
          <cell r="AK117">
            <v>0</v>
          </cell>
        </row>
        <row r="118">
          <cell r="D118">
            <v>0</v>
          </cell>
          <cell r="G118">
            <v>0</v>
          </cell>
          <cell r="J118">
            <v>0</v>
          </cell>
          <cell r="M118">
            <v>0</v>
          </cell>
          <cell r="P118">
            <v>0</v>
          </cell>
          <cell r="S118">
            <v>0</v>
          </cell>
          <cell r="V118">
            <v>0</v>
          </cell>
          <cell r="Y118">
            <v>0</v>
          </cell>
          <cell r="AB118">
            <v>0</v>
          </cell>
          <cell r="AE118">
            <v>0</v>
          </cell>
          <cell r="AH118">
            <v>0</v>
          </cell>
          <cell r="AK118">
            <v>0</v>
          </cell>
        </row>
        <row r="119">
          <cell r="D119">
            <v>0</v>
          </cell>
          <cell r="G119">
            <v>0</v>
          </cell>
          <cell r="J119">
            <v>0</v>
          </cell>
          <cell r="M119">
            <v>0</v>
          </cell>
          <cell r="P119">
            <v>0</v>
          </cell>
          <cell r="S119">
            <v>0</v>
          </cell>
          <cell r="V119">
            <v>0</v>
          </cell>
          <cell r="Y119">
            <v>0</v>
          </cell>
          <cell r="AB119">
            <v>0</v>
          </cell>
          <cell r="AE119">
            <v>0</v>
          </cell>
          <cell r="AH119">
            <v>0</v>
          </cell>
          <cell r="AK119">
            <v>0</v>
          </cell>
        </row>
        <row r="120">
          <cell r="D120">
            <v>0</v>
          </cell>
          <cell r="G120">
            <v>0</v>
          </cell>
          <cell r="J120">
            <v>0</v>
          </cell>
          <cell r="M120">
            <v>0</v>
          </cell>
          <cell r="P120">
            <v>0</v>
          </cell>
          <cell r="S120">
            <v>0</v>
          </cell>
          <cell r="V120">
            <v>0</v>
          </cell>
          <cell r="Y120">
            <v>0</v>
          </cell>
          <cell r="AB120">
            <v>0</v>
          </cell>
          <cell r="AE120">
            <v>0</v>
          </cell>
          <cell r="AH120">
            <v>0</v>
          </cell>
          <cell r="AK120">
            <v>0</v>
          </cell>
        </row>
        <row r="121">
          <cell r="D121">
            <v>0</v>
          </cell>
          <cell r="G121">
            <v>0</v>
          </cell>
          <cell r="J121">
            <v>0</v>
          </cell>
          <cell r="M121">
            <v>0</v>
          </cell>
          <cell r="P121">
            <v>0</v>
          </cell>
          <cell r="S121">
            <v>0</v>
          </cell>
          <cell r="V121">
            <v>0</v>
          </cell>
          <cell r="Y121">
            <v>0</v>
          </cell>
          <cell r="AB121">
            <v>0</v>
          </cell>
          <cell r="AE121">
            <v>0</v>
          </cell>
          <cell r="AH121">
            <v>0</v>
          </cell>
          <cell r="AK121">
            <v>0</v>
          </cell>
        </row>
        <row r="122">
          <cell r="D122">
            <v>0</v>
          </cell>
          <cell r="G122">
            <v>0</v>
          </cell>
          <cell r="J122">
            <v>0</v>
          </cell>
          <cell r="M122">
            <v>0</v>
          </cell>
          <cell r="P122">
            <v>0</v>
          </cell>
          <cell r="S122">
            <v>0</v>
          </cell>
          <cell r="V122">
            <v>0</v>
          </cell>
          <cell r="Y122">
            <v>0</v>
          </cell>
          <cell r="AB122">
            <v>0</v>
          </cell>
          <cell r="AE122">
            <v>0</v>
          </cell>
          <cell r="AH122">
            <v>0</v>
          </cell>
          <cell r="AK122">
            <v>0</v>
          </cell>
        </row>
        <row r="123">
          <cell r="D123">
            <v>0</v>
          </cell>
          <cell r="G123">
            <v>0</v>
          </cell>
          <cell r="J123">
            <v>0</v>
          </cell>
          <cell r="M123">
            <v>0</v>
          </cell>
          <cell r="P123">
            <v>0</v>
          </cell>
          <cell r="S123">
            <v>0</v>
          </cell>
          <cell r="V123">
            <v>0</v>
          </cell>
          <cell r="Y123">
            <v>0</v>
          </cell>
          <cell r="AB123">
            <v>0</v>
          </cell>
          <cell r="AE123">
            <v>0</v>
          </cell>
          <cell r="AH123">
            <v>0</v>
          </cell>
          <cell r="AK123">
            <v>0</v>
          </cell>
        </row>
        <row r="124">
          <cell r="D124">
            <v>0</v>
          </cell>
          <cell r="G124">
            <v>0</v>
          </cell>
          <cell r="J124">
            <v>0</v>
          </cell>
          <cell r="M124">
            <v>0</v>
          </cell>
          <cell r="P124">
            <v>0</v>
          </cell>
          <cell r="S124">
            <v>0</v>
          </cell>
          <cell r="V124">
            <v>0</v>
          </cell>
          <cell r="Y124">
            <v>0</v>
          </cell>
          <cell r="AB124">
            <v>0</v>
          </cell>
          <cell r="AE124">
            <v>0</v>
          </cell>
          <cell r="AH124">
            <v>0</v>
          </cell>
          <cell r="AK124">
            <v>0</v>
          </cell>
        </row>
        <row r="125">
          <cell r="D125">
            <v>0</v>
          </cell>
          <cell r="G125">
            <v>0</v>
          </cell>
          <cell r="J125">
            <v>0</v>
          </cell>
          <cell r="M125">
            <v>0</v>
          </cell>
          <cell r="P125">
            <v>0</v>
          </cell>
          <cell r="S125">
            <v>0</v>
          </cell>
          <cell r="V125">
            <v>0</v>
          </cell>
          <cell r="Y125">
            <v>0</v>
          </cell>
          <cell r="AB125">
            <v>0</v>
          </cell>
          <cell r="AE125">
            <v>0</v>
          </cell>
          <cell r="AH125">
            <v>0</v>
          </cell>
          <cell r="AK125">
            <v>0</v>
          </cell>
        </row>
        <row r="126">
          <cell r="D126">
            <v>0</v>
          </cell>
          <cell r="G126">
            <v>0</v>
          </cell>
          <cell r="J126">
            <v>0</v>
          </cell>
          <cell r="M126">
            <v>0</v>
          </cell>
          <cell r="P126">
            <v>0</v>
          </cell>
          <cell r="S126">
            <v>0</v>
          </cell>
          <cell r="V126">
            <v>0</v>
          </cell>
          <cell r="Y126">
            <v>0</v>
          </cell>
          <cell r="AB126">
            <v>0</v>
          </cell>
          <cell r="AE126">
            <v>0</v>
          </cell>
          <cell r="AH126">
            <v>0</v>
          </cell>
          <cell r="AK126">
            <v>0</v>
          </cell>
        </row>
        <row r="127">
          <cell r="D127">
            <v>0</v>
          </cell>
          <cell r="G127">
            <v>0</v>
          </cell>
          <cell r="J127">
            <v>0</v>
          </cell>
          <cell r="M127">
            <v>0</v>
          </cell>
          <cell r="P127">
            <v>0</v>
          </cell>
          <cell r="S127">
            <v>0</v>
          </cell>
          <cell r="V127">
            <v>0</v>
          </cell>
          <cell r="Y127">
            <v>0</v>
          </cell>
          <cell r="AB127">
            <v>0</v>
          </cell>
          <cell r="AE127">
            <v>0</v>
          </cell>
          <cell r="AH127">
            <v>0</v>
          </cell>
          <cell r="AK127">
            <v>0</v>
          </cell>
        </row>
        <row r="128">
          <cell r="D128">
            <v>0</v>
          </cell>
          <cell r="G128">
            <v>0</v>
          </cell>
          <cell r="J128">
            <v>0</v>
          </cell>
          <cell r="M128">
            <v>0</v>
          </cell>
          <cell r="P128">
            <v>0</v>
          </cell>
          <cell r="S128">
            <v>0</v>
          </cell>
          <cell r="V128">
            <v>0</v>
          </cell>
          <cell r="Y128">
            <v>0</v>
          </cell>
          <cell r="AB128">
            <v>0</v>
          </cell>
          <cell r="AE128">
            <v>0</v>
          </cell>
          <cell r="AH128">
            <v>0</v>
          </cell>
          <cell r="AK128">
            <v>0</v>
          </cell>
        </row>
        <row r="129">
          <cell r="D129">
            <v>0</v>
          </cell>
          <cell r="G129">
            <v>0</v>
          </cell>
          <cell r="J129">
            <v>0</v>
          </cell>
          <cell r="M129">
            <v>0</v>
          </cell>
          <cell r="P129">
            <v>0</v>
          </cell>
          <cell r="S129">
            <v>0</v>
          </cell>
          <cell r="V129">
            <v>0</v>
          </cell>
          <cell r="Y129">
            <v>0</v>
          </cell>
          <cell r="AB129">
            <v>0</v>
          </cell>
          <cell r="AE129">
            <v>0</v>
          </cell>
          <cell r="AH129">
            <v>0</v>
          </cell>
          <cell r="AK129">
            <v>0</v>
          </cell>
        </row>
        <row r="130">
          <cell r="D130">
            <v>0</v>
          </cell>
          <cell r="G130">
            <v>0</v>
          </cell>
          <cell r="J130">
            <v>0</v>
          </cell>
          <cell r="M130">
            <v>0</v>
          </cell>
          <cell r="P130">
            <v>0</v>
          </cell>
          <cell r="S130">
            <v>0</v>
          </cell>
          <cell r="V130">
            <v>0</v>
          </cell>
          <cell r="Y130">
            <v>0</v>
          </cell>
          <cell r="AB130">
            <v>0</v>
          </cell>
          <cell r="AE130">
            <v>0</v>
          </cell>
          <cell r="AH130">
            <v>0</v>
          </cell>
          <cell r="AK130">
            <v>0</v>
          </cell>
        </row>
        <row r="131">
          <cell r="D131">
            <v>0</v>
          </cell>
          <cell r="G131">
            <v>0</v>
          </cell>
          <cell r="J131">
            <v>0</v>
          </cell>
          <cell r="M131">
            <v>0</v>
          </cell>
          <cell r="P131">
            <v>0</v>
          </cell>
          <cell r="S131">
            <v>0</v>
          </cell>
          <cell r="V131">
            <v>0</v>
          </cell>
          <cell r="Y131">
            <v>0</v>
          </cell>
          <cell r="AB131">
            <v>0</v>
          </cell>
          <cell r="AE131">
            <v>0</v>
          </cell>
          <cell r="AH131">
            <v>0</v>
          </cell>
          <cell r="AK131">
            <v>0</v>
          </cell>
        </row>
        <row r="132">
          <cell r="D132">
            <v>0</v>
          </cell>
          <cell r="G132">
            <v>0</v>
          </cell>
          <cell r="J132">
            <v>0</v>
          </cell>
          <cell r="M132">
            <v>0</v>
          </cell>
          <cell r="P132">
            <v>0</v>
          </cell>
          <cell r="S132">
            <v>0</v>
          </cell>
          <cell r="V132">
            <v>0</v>
          </cell>
          <cell r="Y132">
            <v>0</v>
          </cell>
          <cell r="AB132">
            <v>0</v>
          </cell>
          <cell r="AE132">
            <v>0</v>
          </cell>
          <cell r="AH132">
            <v>0</v>
          </cell>
          <cell r="AK132">
            <v>0</v>
          </cell>
        </row>
        <row r="133">
          <cell r="D133">
            <v>0</v>
          </cell>
          <cell r="G133">
            <v>0</v>
          </cell>
          <cell r="J133">
            <v>0</v>
          </cell>
          <cell r="M133">
            <v>0</v>
          </cell>
          <cell r="P133">
            <v>0</v>
          </cell>
          <cell r="S133">
            <v>0</v>
          </cell>
          <cell r="V133">
            <v>0</v>
          </cell>
          <cell r="Y133">
            <v>0</v>
          </cell>
          <cell r="AB133">
            <v>0</v>
          </cell>
          <cell r="AE133">
            <v>0</v>
          </cell>
          <cell r="AH133">
            <v>0</v>
          </cell>
          <cell r="AK133">
            <v>0</v>
          </cell>
        </row>
        <row r="134">
          <cell r="D134">
            <v>0</v>
          </cell>
          <cell r="G134">
            <v>0</v>
          </cell>
          <cell r="J134">
            <v>0</v>
          </cell>
          <cell r="M134">
            <v>0</v>
          </cell>
          <cell r="P134">
            <v>0</v>
          </cell>
          <cell r="S134">
            <v>0</v>
          </cell>
          <cell r="V134">
            <v>0</v>
          </cell>
          <cell r="Y134">
            <v>0</v>
          </cell>
          <cell r="AB134">
            <v>0</v>
          </cell>
          <cell r="AE134">
            <v>0</v>
          </cell>
          <cell r="AH134">
            <v>0</v>
          </cell>
          <cell r="AK134">
            <v>0</v>
          </cell>
        </row>
        <row r="135">
          <cell r="D135">
            <v>110.35</v>
          </cell>
          <cell r="G135">
            <v>0</v>
          </cell>
          <cell r="J135">
            <v>0</v>
          </cell>
          <cell r="M135">
            <v>0</v>
          </cell>
          <cell r="P135">
            <v>0</v>
          </cell>
          <cell r="S135">
            <v>0</v>
          </cell>
          <cell r="V135">
            <v>0</v>
          </cell>
          <cell r="Y135">
            <v>0</v>
          </cell>
          <cell r="AB135">
            <v>0</v>
          </cell>
          <cell r="AE135">
            <v>0</v>
          </cell>
          <cell r="AH135">
            <v>0</v>
          </cell>
          <cell r="AK135">
            <v>0</v>
          </cell>
        </row>
        <row r="136">
          <cell r="D136">
            <v>42.250000000000028</v>
          </cell>
          <cell r="G136">
            <v>0</v>
          </cell>
          <cell r="J136">
            <v>0</v>
          </cell>
          <cell r="M136">
            <v>0</v>
          </cell>
          <cell r="P136">
            <v>0</v>
          </cell>
          <cell r="S136">
            <v>0</v>
          </cell>
          <cell r="V136">
            <v>0</v>
          </cell>
          <cell r="Y136">
            <v>0</v>
          </cell>
          <cell r="AB136">
            <v>0</v>
          </cell>
          <cell r="AE136">
            <v>0</v>
          </cell>
          <cell r="AH136">
            <v>0</v>
          </cell>
          <cell r="AK136">
            <v>0</v>
          </cell>
        </row>
        <row r="137">
          <cell r="D137">
            <v>0.18859923221140981</v>
          </cell>
          <cell r="G137">
            <v>0</v>
          </cell>
          <cell r="J137">
            <v>0</v>
          </cell>
          <cell r="M137">
            <v>0</v>
          </cell>
          <cell r="P137">
            <v>0</v>
          </cell>
          <cell r="S137">
            <v>0</v>
          </cell>
          <cell r="V137">
            <v>0</v>
          </cell>
          <cell r="Y137">
            <v>0</v>
          </cell>
          <cell r="AB137">
            <v>0</v>
          </cell>
          <cell r="AE137">
            <v>0</v>
          </cell>
          <cell r="AH137">
            <v>0</v>
          </cell>
          <cell r="AK137">
            <v>0</v>
          </cell>
        </row>
      </sheetData>
      <sheetData sheetId="18" refreshError="1">
        <row r="12">
          <cell r="E12">
            <v>283.21000000000004</v>
          </cell>
          <cell r="I12">
            <v>0</v>
          </cell>
          <cell r="M12">
            <v>0</v>
          </cell>
          <cell r="Q12">
            <v>0</v>
          </cell>
          <cell r="U12">
            <v>0</v>
          </cell>
          <cell r="Y12">
            <v>0</v>
          </cell>
          <cell r="AC12">
            <v>0</v>
          </cell>
          <cell r="AG12">
            <v>0</v>
          </cell>
          <cell r="AK12">
            <v>0</v>
          </cell>
          <cell r="AO12">
            <v>0</v>
          </cell>
          <cell r="AS12">
            <v>0</v>
          </cell>
          <cell r="AW12">
            <v>0</v>
          </cell>
        </row>
        <row r="13">
          <cell r="E13">
            <v>0</v>
          </cell>
          <cell r="I13">
            <v>0</v>
          </cell>
          <cell r="M13">
            <v>0</v>
          </cell>
          <cell r="Q13">
            <v>0</v>
          </cell>
          <cell r="U13">
            <v>0</v>
          </cell>
          <cell r="Y13">
            <v>0</v>
          </cell>
          <cell r="AC13">
            <v>0</v>
          </cell>
          <cell r="AG13">
            <v>0</v>
          </cell>
          <cell r="AK13">
            <v>0</v>
          </cell>
          <cell r="AO13">
            <v>0</v>
          </cell>
          <cell r="AS13">
            <v>0</v>
          </cell>
          <cell r="AW13">
            <v>0</v>
          </cell>
        </row>
        <row r="14">
          <cell r="E14">
            <v>0</v>
          </cell>
          <cell r="I14">
            <v>0</v>
          </cell>
          <cell r="M14">
            <v>0</v>
          </cell>
          <cell r="Q14">
            <v>0</v>
          </cell>
          <cell r="U14">
            <v>0</v>
          </cell>
          <cell r="Y14">
            <v>0</v>
          </cell>
          <cell r="AC14">
            <v>0</v>
          </cell>
          <cell r="AG14">
            <v>0</v>
          </cell>
          <cell r="AK14">
            <v>0</v>
          </cell>
          <cell r="AO14">
            <v>0</v>
          </cell>
          <cell r="AS14">
            <v>0</v>
          </cell>
          <cell r="AW14">
            <v>0</v>
          </cell>
        </row>
        <row r="15">
          <cell r="E15">
            <v>0</v>
          </cell>
          <cell r="I15">
            <v>0</v>
          </cell>
          <cell r="M15">
            <v>0</v>
          </cell>
          <cell r="Q15">
            <v>0</v>
          </cell>
          <cell r="U15">
            <v>0</v>
          </cell>
          <cell r="Y15">
            <v>0</v>
          </cell>
          <cell r="AC15">
            <v>0</v>
          </cell>
          <cell r="AG15">
            <v>0</v>
          </cell>
          <cell r="AK15">
            <v>0</v>
          </cell>
          <cell r="AO15">
            <v>0</v>
          </cell>
          <cell r="AS15">
            <v>0</v>
          </cell>
          <cell r="AW15">
            <v>0</v>
          </cell>
        </row>
        <row r="16">
          <cell r="E16">
            <v>283.21000000000004</v>
          </cell>
          <cell r="I16">
            <v>0</v>
          </cell>
          <cell r="M16">
            <v>0</v>
          </cell>
          <cell r="Q16">
            <v>0</v>
          </cell>
          <cell r="U16">
            <v>0</v>
          </cell>
          <cell r="Y16">
            <v>0</v>
          </cell>
          <cell r="AC16">
            <v>0</v>
          </cell>
          <cell r="AG16">
            <v>0</v>
          </cell>
          <cell r="AK16">
            <v>0</v>
          </cell>
          <cell r="AO16">
            <v>0</v>
          </cell>
          <cell r="AS16">
            <v>0</v>
          </cell>
          <cell r="AW16">
            <v>0</v>
          </cell>
        </row>
        <row r="17">
          <cell r="E17">
            <v>0</v>
          </cell>
          <cell r="I17">
            <v>0</v>
          </cell>
          <cell r="M17">
            <v>0</v>
          </cell>
          <cell r="Q17">
            <v>0</v>
          </cell>
          <cell r="U17">
            <v>0</v>
          </cell>
          <cell r="Y17">
            <v>0</v>
          </cell>
          <cell r="AC17">
            <v>0</v>
          </cell>
          <cell r="AG17">
            <v>0</v>
          </cell>
          <cell r="AK17">
            <v>0</v>
          </cell>
          <cell r="AO17">
            <v>0</v>
          </cell>
          <cell r="AS17">
            <v>0</v>
          </cell>
          <cell r="AW17">
            <v>0</v>
          </cell>
        </row>
        <row r="18">
          <cell r="E18">
            <v>0</v>
          </cell>
          <cell r="I18">
            <v>0</v>
          </cell>
          <cell r="M18">
            <v>0</v>
          </cell>
          <cell r="Q18">
            <v>0</v>
          </cell>
          <cell r="U18">
            <v>0</v>
          </cell>
          <cell r="Y18">
            <v>0</v>
          </cell>
          <cell r="AC18">
            <v>0</v>
          </cell>
          <cell r="AG18">
            <v>0</v>
          </cell>
          <cell r="AK18">
            <v>0</v>
          </cell>
          <cell r="AO18">
            <v>0</v>
          </cell>
          <cell r="AS18">
            <v>0</v>
          </cell>
          <cell r="AW18">
            <v>0</v>
          </cell>
        </row>
        <row r="19">
          <cell r="E19">
            <v>0</v>
          </cell>
          <cell r="I19">
            <v>0</v>
          </cell>
          <cell r="M19">
            <v>0</v>
          </cell>
          <cell r="Q19">
            <v>0</v>
          </cell>
          <cell r="U19">
            <v>0</v>
          </cell>
          <cell r="Y19">
            <v>0</v>
          </cell>
          <cell r="AC19">
            <v>0</v>
          </cell>
          <cell r="AG19">
            <v>0</v>
          </cell>
          <cell r="AK19">
            <v>0</v>
          </cell>
          <cell r="AO19">
            <v>0</v>
          </cell>
          <cell r="AS19">
            <v>0</v>
          </cell>
          <cell r="AW19">
            <v>0</v>
          </cell>
        </row>
        <row r="20">
          <cell r="E20">
            <v>0</v>
          </cell>
          <cell r="I20">
            <v>0</v>
          </cell>
          <cell r="M20">
            <v>0</v>
          </cell>
          <cell r="Q20">
            <v>0</v>
          </cell>
          <cell r="U20">
            <v>0</v>
          </cell>
          <cell r="Y20">
            <v>0</v>
          </cell>
          <cell r="AC20">
            <v>0</v>
          </cell>
          <cell r="AG20">
            <v>0</v>
          </cell>
          <cell r="AK20">
            <v>0</v>
          </cell>
          <cell r="AO20">
            <v>0</v>
          </cell>
          <cell r="AS20">
            <v>0</v>
          </cell>
          <cell r="AW20">
            <v>0</v>
          </cell>
        </row>
        <row r="21">
          <cell r="E21">
            <v>283.21000000000004</v>
          </cell>
          <cell r="I21">
            <v>0</v>
          </cell>
          <cell r="M21">
            <v>0</v>
          </cell>
          <cell r="Q21">
            <v>0</v>
          </cell>
          <cell r="U21">
            <v>0</v>
          </cell>
          <cell r="Y21">
            <v>0</v>
          </cell>
          <cell r="AC21">
            <v>0</v>
          </cell>
          <cell r="AG21">
            <v>0</v>
          </cell>
          <cell r="AK21">
            <v>0</v>
          </cell>
          <cell r="AO21">
            <v>0</v>
          </cell>
          <cell r="AS21">
            <v>0</v>
          </cell>
          <cell r="AW21">
            <v>0</v>
          </cell>
        </row>
        <row r="22">
          <cell r="E22">
            <v>-153.79000000000002</v>
          </cell>
          <cell r="I22">
            <v>0</v>
          </cell>
          <cell r="M22">
            <v>0</v>
          </cell>
          <cell r="Q22">
            <v>0</v>
          </cell>
          <cell r="U22">
            <v>0</v>
          </cell>
          <cell r="Y22">
            <v>0</v>
          </cell>
          <cell r="AC22">
            <v>0</v>
          </cell>
          <cell r="AG22">
            <v>0</v>
          </cell>
          <cell r="AK22">
            <v>0</v>
          </cell>
          <cell r="AO22">
            <v>0</v>
          </cell>
          <cell r="AS22">
            <v>0</v>
          </cell>
          <cell r="AW22">
            <v>0</v>
          </cell>
        </row>
        <row r="23">
          <cell r="E23">
            <v>0</v>
          </cell>
          <cell r="I23">
            <v>0</v>
          </cell>
          <cell r="M23">
            <v>0</v>
          </cell>
          <cell r="Q23">
            <v>0</v>
          </cell>
          <cell r="U23">
            <v>0</v>
          </cell>
          <cell r="Y23">
            <v>0</v>
          </cell>
          <cell r="AC23">
            <v>0</v>
          </cell>
          <cell r="AG23">
            <v>0</v>
          </cell>
          <cell r="AK23">
            <v>0</v>
          </cell>
          <cell r="AO23">
            <v>0</v>
          </cell>
          <cell r="AS23">
            <v>0</v>
          </cell>
          <cell r="AW23">
            <v>0</v>
          </cell>
        </row>
        <row r="24">
          <cell r="E24">
            <v>361.67</v>
          </cell>
          <cell r="I24">
            <v>0</v>
          </cell>
          <cell r="M24">
            <v>0</v>
          </cell>
          <cell r="Q24">
            <v>0</v>
          </cell>
          <cell r="U24">
            <v>0</v>
          </cell>
          <cell r="Y24">
            <v>0</v>
          </cell>
          <cell r="AC24">
            <v>0</v>
          </cell>
          <cell r="AG24">
            <v>0</v>
          </cell>
          <cell r="AK24">
            <v>0</v>
          </cell>
          <cell r="AO24">
            <v>0</v>
          </cell>
          <cell r="AS24">
            <v>0</v>
          </cell>
          <cell r="AW24">
            <v>0</v>
          </cell>
        </row>
        <row r="25">
          <cell r="E25">
            <v>1.07</v>
          </cell>
          <cell r="I25">
            <v>0</v>
          </cell>
          <cell r="M25">
            <v>0</v>
          </cell>
          <cell r="Q25">
            <v>0</v>
          </cell>
          <cell r="U25">
            <v>0</v>
          </cell>
          <cell r="Y25">
            <v>0</v>
          </cell>
          <cell r="AC25">
            <v>0</v>
          </cell>
          <cell r="AG25">
            <v>0</v>
          </cell>
          <cell r="AK25">
            <v>0</v>
          </cell>
          <cell r="AO25">
            <v>0</v>
          </cell>
          <cell r="AS25">
            <v>0</v>
          </cell>
          <cell r="AW25">
            <v>0</v>
          </cell>
        </row>
        <row r="26">
          <cell r="E26">
            <v>0</v>
          </cell>
          <cell r="I26">
            <v>0</v>
          </cell>
          <cell r="M26">
            <v>0</v>
          </cell>
          <cell r="Q26">
            <v>0</v>
          </cell>
          <cell r="U26">
            <v>0</v>
          </cell>
          <cell r="Y26">
            <v>0</v>
          </cell>
          <cell r="AC26">
            <v>0</v>
          </cell>
          <cell r="AG26">
            <v>0</v>
          </cell>
          <cell r="AK26">
            <v>0</v>
          </cell>
          <cell r="AO26">
            <v>0</v>
          </cell>
          <cell r="AS26">
            <v>0</v>
          </cell>
          <cell r="AW26">
            <v>0</v>
          </cell>
        </row>
        <row r="27">
          <cell r="E27">
            <v>22.01</v>
          </cell>
          <cell r="I27">
            <v>0</v>
          </cell>
          <cell r="M27">
            <v>0</v>
          </cell>
          <cell r="Q27">
            <v>0</v>
          </cell>
          <cell r="U27">
            <v>0</v>
          </cell>
          <cell r="Y27">
            <v>0</v>
          </cell>
          <cell r="AC27">
            <v>0</v>
          </cell>
          <cell r="AG27">
            <v>0</v>
          </cell>
          <cell r="AK27">
            <v>0</v>
          </cell>
          <cell r="AO27">
            <v>0</v>
          </cell>
          <cell r="AS27">
            <v>0</v>
          </cell>
          <cell r="AW27">
            <v>0</v>
          </cell>
        </row>
        <row r="28">
          <cell r="E28">
            <v>230.95999999999998</v>
          </cell>
          <cell r="I28">
            <v>0</v>
          </cell>
          <cell r="M28">
            <v>0</v>
          </cell>
          <cell r="Q28">
            <v>0</v>
          </cell>
          <cell r="U28">
            <v>0</v>
          </cell>
          <cell r="Y28">
            <v>0</v>
          </cell>
          <cell r="AC28">
            <v>0</v>
          </cell>
          <cell r="AG28">
            <v>0</v>
          </cell>
          <cell r="AK28">
            <v>0</v>
          </cell>
          <cell r="AO28">
            <v>0</v>
          </cell>
          <cell r="AS28">
            <v>0</v>
          </cell>
          <cell r="AW28">
            <v>0</v>
          </cell>
        </row>
        <row r="29">
          <cell r="E29">
            <v>0</v>
          </cell>
          <cell r="I29">
            <v>0</v>
          </cell>
          <cell r="M29">
            <v>0</v>
          </cell>
          <cell r="Q29">
            <v>0</v>
          </cell>
          <cell r="U29">
            <v>0</v>
          </cell>
          <cell r="Y29">
            <v>0</v>
          </cell>
          <cell r="AC29">
            <v>0</v>
          </cell>
          <cell r="AG29">
            <v>0</v>
          </cell>
          <cell r="AK29">
            <v>0</v>
          </cell>
          <cell r="AO29">
            <v>0</v>
          </cell>
          <cell r="AS29">
            <v>0</v>
          </cell>
          <cell r="AW29">
            <v>0</v>
          </cell>
        </row>
        <row r="30">
          <cell r="E30">
            <v>22</v>
          </cell>
          <cell r="I30">
            <v>0</v>
          </cell>
          <cell r="M30">
            <v>0</v>
          </cell>
          <cell r="Q30">
            <v>0</v>
          </cell>
          <cell r="U30">
            <v>0</v>
          </cell>
          <cell r="Y30">
            <v>0</v>
          </cell>
          <cell r="AC30">
            <v>0</v>
          </cell>
          <cell r="AG30">
            <v>0</v>
          </cell>
          <cell r="AK30">
            <v>0</v>
          </cell>
          <cell r="AO30">
            <v>0</v>
          </cell>
          <cell r="AS30">
            <v>0</v>
          </cell>
          <cell r="AW30">
            <v>0</v>
          </cell>
        </row>
        <row r="31">
          <cell r="E31">
            <v>0</v>
          </cell>
          <cell r="I31">
            <v>0</v>
          </cell>
          <cell r="M31">
            <v>0</v>
          </cell>
          <cell r="Q31">
            <v>0</v>
          </cell>
          <cell r="U31">
            <v>0</v>
          </cell>
          <cell r="Y31">
            <v>0</v>
          </cell>
          <cell r="AC31">
            <v>0</v>
          </cell>
          <cell r="AG31">
            <v>0</v>
          </cell>
          <cell r="AK31">
            <v>0</v>
          </cell>
          <cell r="AO31">
            <v>0</v>
          </cell>
          <cell r="AS31">
            <v>0</v>
          </cell>
          <cell r="AW31">
            <v>0</v>
          </cell>
        </row>
        <row r="32">
          <cell r="E32">
            <v>22</v>
          </cell>
          <cell r="I32">
            <v>0</v>
          </cell>
          <cell r="M32">
            <v>0</v>
          </cell>
          <cell r="Q32">
            <v>0</v>
          </cell>
          <cell r="U32">
            <v>0</v>
          </cell>
          <cell r="Y32">
            <v>0</v>
          </cell>
          <cell r="AC32">
            <v>0</v>
          </cell>
          <cell r="AG32">
            <v>0</v>
          </cell>
          <cell r="AK32">
            <v>0</v>
          </cell>
          <cell r="AO32">
            <v>0</v>
          </cell>
          <cell r="AS32">
            <v>0</v>
          </cell>
          <cell r="AW32">
            <v>0</v>
          </cell>
        </row>
        <row r="33">
          <cell r="E33">
            <v>252.95999999999998</v>
          </cell>
          <cell r="I33">
            <v>0</v>
          </cell>
          <cell r="M33">
            <v>0</v>
          </cell>
          <cell r="Q33">
            <v>0</v>
          </cell>
          <cell r="U33">
            <v>0</v>
          </cell>
          <cell r="Y33">
            <v>0</v>
          </cell>
          <cell r="AC33">
            <v>0</v>
          </cell>
          <cell r="AG33">
            <v>0</v>
          </cell>
          <cell r="AK33">
            <v>0</v>
          </cell>
          <cell r="AO33">
            <v>0</v>
          </cell>
          <cell r="AS33">
            <v>0</v>
          </cell>
          <cell r="AW33">
            <v>0</v>
          </cell>
        </row>
        <row r="34">
          <cell r="E34">
            <v>30.250000000000057</v>
          </cell>
          <cell r="I34">
            <v>0</v>
          </cell>
          <cell r="M34">
            <v>0</v>
          </cell>
          <cell r="Q34">
            <v>0</v>
          </cell>
          <cell r="U34">
            <v>0</v>
          </cell>
          <cell r="Y34">
            <v>0</v>
          </cell>
          <cell r="AC34">
            <v>0</v>
          </cell>
          <cell r="AG34">
            <v>0</v>
          </cell>
          <cell r="AK34">
            <v>0</v>
          </cell>
          <cell r="AO34">
            <v>0</v>
          </cell>
          <cell r="AS34">
            <v>0</v>
          </cell>
          <cell r="AW34">
            <v>0</v>
          </cell>
        </row>
        <row r="35">
          <cell r="E35">
            <v>0.10681120016948573</v>
          </cell>
          <cell r="I35">
            <v>0</v>
          </cell>
          <cell r="M35">
            <v>0</v>
          </cell>
          <cell r="Q35">
            <v>0</v>
          </cell>
          <cell r="U35">
            <v>0</v>
          </cell>
          <cell r="Y35">
            <v>0</v>
          </cell>
          <cell r="AC35">
            <v>0</v>
          </cell>
          <cell r="AG35">
            <v>0</v>
          </cell>
          <cell r="AK35">
            <v>0</v>
          </cell>
          <cell r="AO35">
            <v>0</v>
          </cell>
          <cell r="AS35">
            <v>0</v>
          </cell>
          <cell r="AW35">
            <v>0</v>
          </cell>
        </row>
        <row r="36">
          <cell r="E36">
            <v>6.61</v>
          </cell>
          <cell r="I36">
            <v>0</v>
          </cell>
          <cell r="M36">
            <v>0</v>
          </cell>
          <cell r="Q36">
            <v>0</v>
          </cell>
          <cell r="U36">
            <v>0</v>
          </cell>
          <cell r="Y36">
            <v>0</v>
          </cell>
          <cell r="AC36">
            <v>0</v>
          </cell>
          <cell r="AG36">
            <v>0</v>
          </cell>
          <cell r="AK36">
            <v>0</v>
          </cell>
          <cell r="AO36">
            <v>0</v>
          </cell>
          <cell r="AS36">
            <v>0</v>
          </cell>
          <cell r="AW36">
            <v>0</v>
          </cell>
        </row>
        <row r="37">
          <cell r="E37">
            <v>0</v>
          </cell>
          <cell r="I37">
            <v>0</v>
          </cell>
          <cell r="M37">
            <v>0</v>
          </cell>
          <cell r="Q37">
            <v>0</v>
          </cell>
          <cell r="U37">
            <v>0</v>
          </cell>
          <cell r="Y37">
            <v>0</v>
          </cell>
          <cell r="AC37">
            <v>0</v>
          </cell>
          <cell r="AG37">
            <v>0</v>
          </cell>
          <cell r="AK37">
            <v>0</v>
          </cell>
          <cell r="AO37">
            <v>0</v>
          </cell>
          <cell r="AS37">
            <v>0</v>
          </cell>
          <cell r="AW37">
            <v>0</v>
          </cell>
        </row>
        <row r="38">
          <cell r="E38">
            <v>0.4</v>
          </cell>
          <cell r="I38">
            <v>0</v>
          </cell>
          <cell r="M38">
            <v>0</v>
          </cell>
          <cell r="Q38">
            <v>0</v>
          </cell>
          <cell r="U38">
            <v>0</v>
          </cell>
          <cell r="Y38">
            <v>0</v>
          </cell>
          <cell r="AC38">
            <v>0</v>
          </cell>
          <cell r="AG38">
            <v>0</v>
          </cell>
          <cell r="AK38">
            <v>0</v>
          </cell>
          <cell r="AO38">
            <v>0</v>
          </cell>
          <cell r="AS38">
            <v>0</v>
          </cell>
          <cell r="AW38">
            <v>0</v>
          </cell>
        </row>
        <row r="39">
          <cell r="E39">
            <v>0.03</v>
          </cell>
          <cell r="I39">
            <v>0</v>
          </cell>
          <cell r="M39">
            <v>0</v>
          </cell>
          <cell r="Q39">
            <v>0</v>
          </cell>
          <cell r="U39">
            <v>0</v>
          </cell>
          <cell r="Y39">
            <v>0</v>
          </cell>
          <cell r="AC39">
            <v>0</v>
          </cell>
          <cell r="AG39">
            <v>0</v>
          </cell>
          <cell r="AK39">
            <v>0</v>
          </cell>
          <cell r="AO39">
            <v>0</v>
          </cell>
          <cell r="AS39">
            <v>0</v>
          </cell>
          <cell r="AW39">
            <v>0</v>
          </cell>
        </row>
        <row r="40">
          <cell r="E40">
            <v>0</v>
          </cell>
          <cell r="I40">
            <v>0</v>
          </cell>
          <cell r="M40">
            <v>0</v>
          </cell>
          <cell r="Q40">
            <v>0</v>
          </cell>
          <cell r="U40">
            <v>0</v>
          </cell>
          <cell r="Y40">
            <v>0</v>
          </cell>
          <cell r="AC40">
            <v>0</v>
          </cell>
          <cell r="AG40">
            <v>0</v>
          </cell>
          <cell r="AK40">
            <v>0</v>
          </cell>
          <cell r="AO40">
            <v>0</v>
          </cell>
          <cell r="AS40">
            <v>0</v>
          </cell>
          <cell r="AW40">
            <v>0</v>
          </cell>
        </row>
        <row r="41">
          <cell r="E41">
            <v>0</v>
          </cell>
          <cell r="I41">
            <v>0</v>
          </cell>
          <cell r="M41">
            <v>0</v>
          </cell>
          <cell r="Q41">
            <v>0</v>
          </cell>
          <cell r="U41">
            <v>0</v>
          </cell>
          <cell r="Y41">
            <v>0</v>
          </cell>
          <cell r="AC41">
            <v>0</v>
          </cell>
          <cell r="AG41">
            <v>0</v>
          </cell>
          <cell r="AK41">
            <v>0</v>
          </cell>
          <cell r="AO41">
            <v>0</v>
          </cell>
          <cell r="AS41">
            <v>0</v>
          </cell>
          <cell r="AW41">
            <v>0</v>
          </cell>
        </row>
        <row r="42">
          <cell r="E42">
            <v>0</v>
          </cell>
          <cell r="I42">
            <v>0</v>
          </cell>
          <cell r="M42">
            <v>0</v>
          </cell>
          <cell r="Q42">
            <v>0</v>
          </cell>
          <cell r="U42">
            <v>0</v>
          </cell>
          <cell r="Y42">
            <v>0</v>
          </cell>
          <cell r="AC42">
            <v>0</v>
          </cell>
          <cell r="AG42">
            <v>0</v>
          </cell>
          <cell r="AK42">
            <v>0</v>
          </cell>
          <cell r="AO42">
            <v>0</v>
          </cell>
          <cell r="AS42">
            <v>0</v>
          </cell>
          <cell r="AW42">
            <v>0</v>
          </cell>
        </row>
        <row r="43">
          <cell r="E43">
            <v>0</v>
          </cell>
          <cell r="I43">
            <v>0</v>
          </cell>
          <cell r="M43">
            <v>0</v>
          </cell>
          <cell r="Q43">
            <v>0</v>
          </cell>
          <cell r="U43">
            <v>0</v>
          </cell>
          <cell r="Y43">
            <v>0</v>
          </cell>
          <cell r="AC43">
            <v>0</v>
          </cell>
          <cell r="AG43">
            <v>0</v>
          </cell>
          <cell r="AK43">
            <v>0</v>
          </cell>
          <cell r="AO43">
            <v>0</v>
          </cell>
          <cell r="AS43">
            <v>0</v>
          </cell>
          <cell r="AW43">
            <v>0</v>
          </cell>
        </row>
        <row r="44">
          <cell r="E44">
            <v>0.05</v>
          </cell>
          <cell r="I44">
            <v>0</v>
          </cell>
          <cell r="M44">
            <v>0</v>
          </cell>
          <cell r="Q44">
            <v>0</v>
          </cell>
          <cell r="U44">
            <v>0</v>
          </cell>
          <cell r="Y44">
            <v>0</v>
          </cell>
          <cell r="AC44">
            <v>0</v>
          </cell>
          <cell r="AG44">
            <v>0</v>
          </cell>
          <cell r="AK44">
            <v>0</v>
          </cell>
          <cell r="AO44">
            <v>0</v>
          </cell>
          <cell r="AS44">
            <v>0</v>
          </cell>
          <cell r="AW44">
            <v>0</v>
          </cell>
        </row>
        <row r="45">
          <cell r="E45">
            <v>0</v>
          </cell>
          <cell r="I45">
            <v>0</v>
          </cell>
          <cell r="M45">
            <v>0</v>
          </cell>
          <cell r="Q45">
            <v>0</v>
          </cell>
          <cell r="U45">
            <v>0</v>
          </cell>
          <cell r="Y45">
            <v>0</v>
          </cell>
          <cell r="AC45">
            <v>0</v>
          </cell>
          <cell r="AG45">
            <v>0</v>
          </cell>
          <cell r="AK45">
            <v>0</v>
          </cell>
          <cell r="AO45">
            <v>0</v>
          </cell>
          <cell r="AS45">
            <v>0</v>
          </cell>
          <cell r="AW45">
            <v>0</v>
          </cell>
        </row>
        <row r="46">
          <cell r="E46">
            <v>0</v>
          </cell>
          <cell r="I46">
            <v>0</v>
          </cell>
          <cell r="M46">
            <v>0</v>
          </cell>
          <cell r="Q46">
            <v>0</v>
          </cell>
          <cell r="U46">
            <v>0</v>
          </cell>
          <cell r="Y46">
            <v>0</v>
          </cell>
          <cell r="AC46">
            <v>0</v>
          </cell>
          <cell r="AG46">
            <v>0</v>
          </cell>
          <cell r="AK46">
            <v>0</v>
          </cell>
          <cell r="AO46">
            <v>0</v>
          </cell>
          <cell r="AS46">
            <v>0</v>
          </cell>
          <cell r="AW46">
            <v>0</v>
          </cell>
        </row>
        <row r="47">
          <cell r="E47">
            <v>0</v>
          </cell>
          <cell r="I47">
            <v>0</v>
          </cell>
          <cell r="M47">
            <v>0</v>
          </cell>
          <cell r="Q47">
            <v>0</v>
          </cell>
          <cell r="U47">
            <v>0</v>
          </cell>
          <cell r="Y47">
            <v>0</v>
          </cell>
          <cell r="AC47">
            <v>0</v>
          </cell>
          <cell r="AG47">
            <v>0</v>
          </cell>
          <cell r="AK47">
            <v>0</v>
          </cell>
          <cell r="AO47">
            <v>0</v>
          </cell>
          <cell r="AS47">
            <v>0</v>
          </cell>
          <cell r="AW47">
            <v>0</v>
          </cell>
        </row>
        <row r="48">
          <cell r="E48">
            <v>0</v>
          </cell>
          <cell r="I48">
            <v>0</v>
          </cell>
          <cell r="M48">
            <v>0</v>
          </cell>
          <cell r="Q48">
            <v>0</v>
          </cell>
          <cell r="U48">
            <v>0</v>
          </cell>
          <cell r="Y48">
            <v>0</v>
          </cell>
          <cell r="AC48">
            <v>0</v>
          </cell>
          <cell r="AG48">
            <v>0</v>
          </cell>
          <cell r="AK48">
            <v>0</v>
          </cell>
          <cell r="AO48">
            <v>0</v>
          </cell>
          <cell r="AS48">
            <v>0</v>
          </cell>
          <cell r="AW48">
            <v>0</v>
          </cell>
        </row>
        <row r="49">
          <cell r="E49">
            <v>0</v>
          </cell>
          <cell r="I49">
            <v>0</v>
          </cell>
          <cell r="M49">
            <v>0</v>
          </cell>
          <cell r="Q49">
            <v>0</v>
          </cell>
          <cell r="U49">
            <v>0</v>
          </cell>
          <cell r="Y49">
            <v>0</v>
          </cell>
          <cell r="AC49">
            <v>0</v>
          </cell>
          <cell r="AG49">
            <v>0</v>
          </cell>
          <cell r="AK49">
            <v>0</v>
          </cell>
          <cell r="AO49">
            <v>0</v>
          </cell>
          <cell r="AS49">
            <v>0</v>
          </cell>
          <cell r="AW49">
            <v>0</v>
          </cell>
        </row>
        <row r="50">
          <cell r="E50">
            <v>7.0900000000000007</v>
          </cell>
          <cell r="I50">
            <v>0</v>
          </cell>
          <cell r="M50">
            <v>0</v>
          </cell>
          <cell r="Q50">
            <v>0</v>
          </cell>
          <cell r="U50">
            <v>0</v>
          </cell>
          <cell r="Y50">
            <v>0</v>
          </cell>
          <cell r="AC50">
            <v>0</v>
          </cell>
          <cell r="AG50">
            <v>0</v>
          </cell>
          <cell r="AK50">
            <v>0</v>
          </cell>
          <cell r="AO50">
            <v>0</v>
          </cell>
          <cell r="AS50">
            <v>0</v>
          </cell>
          <cell r="AW50">
            <v>0</v>
          </cell>
        </row>
        <row r="51">
          <cell r="E51">
            <v>0</v>
          </cell>
          <cell r="I51">
            <v>0</v>
          </cell>
          <cell r="M51">
            <v>0</v>
          </cell>
          <cell r="Q51">
            <v>0</v>
          </cell>
          <cell r="U51">
            <v>0</v>
          </cell>
          <cell r="Y51">
            <v>0</v>
          </cell>
          <cell r="AC51">
            <v>0</v>
          </cell>
          <cell r="AG51">
            <v>0</v>
          </cell>
          <cell r="AK51">
            <v>0</v>
          </cell>
          <cell r="AO51">
            <v>0</v>
          </cell>
          <cell r="AS51">
            <v>0</v>
          </cell>
          <cell r="AW51">
            <v>0</v>
          </cell>
        </row>
        <row r="52">
          <cell r="E52">
            <v>0.46</v>
          </cell>
          <cell r="I52">
            <v>0</v>
          </cell>
          <cell r="M52">
            <v>0</v>
          </cell>
          <cell r="Q52">
            <v>0</v>
          </cell>
          <cell r="U52">
            <v>0</v>
          </cell>
          <cell r="Y52">
            <v>0</v>
          </cell>
          <cell r="AC52">
            <v>0</v>
          </cell>
          <cell r="AG52">
            <v>0</v>
          </cell>
          <cell r="AK52">
            <v>0</v>
          </cell>
          <cell r="AO52">
            <v>0</v>
          </cell>
          <cell r="AS52">
            <v>0</v>
          </cell>
          <cell r="AW52">
            <v>0</v>
          </cell>
        </row>
        <row r="53">
          <cell r="E53">
            <v>0</v>
          </cell>
          <cell r="I53">
            <v>0</v>
          </cell>
          <cell r="M53">
            <v>0</v>
          </cell>
          <cell r="Q53">
            <v>0</v>
          </cell>
          <cell r="U53">
            <v>0</v>
          </cell>
          <cell r="Y53">
            <v>0</v>
          </cell>
          <cell r="AC53">
            <v>0</v>
          </cell>
          <cell r="AG53">
            <v>0</v>
          </cell>
          <cell r="AK53">
            <v>0</v>
          </cell>
          <cell r="AO53">
            <v>0</v>
          </cell>
          <cell r="AS53">
            <v>0</v>
          </cell>
          <cell r="AW53">
            <v>0</v>
          </cell>
        </row>
        <row r="54">
          <cell r="E54">
            <v>0</v>
          </cell>
          <cell r="I54">
            <v>0</v>
          </cell>
          <cell r="M54">
            <v>0</v>
          </cell>
          <cell r="Q54">
            <v>0</v>
          </cell>
          <cell r="U54">
            <v>0</v>
          </cell>
          <cell r="Y54">
            <v>0</v>
          </cell>
          <cell r="AC54">
            <v>0</v>
          </cell>
          <cell r="AG54">
            <v>0</v>
          </cell>
          <cell r="AK54">
            <v>0</v>
          </cell>
          <cell r="AO54">
            <v>0</v>
          </cell>
          <cell r="AS54">
            <v>0</v>
          </cell>
          <cell r="AW54">
            <v>0</v>
          </cell>
        </row>
        <row r="55">
          <cell r="E55">
            <v>0</v>
          </cell>
          <cell r="I55">
            <v>0</v>
          </cell>
          <cell r="M55">
            <v>0</v>
          </cell>
          <cell r="Q55">
            <v>0</v>
          </cell>
          <cell r="U55">
            <v>0</v>
          </cell>
          <cell r="Y55">
            <v>0</v>
          </cell>
          <cell r="AC55">
            <v>0</v>
          </cell>
          <cell r="AG55">
            <v>0</v>
          </cell>
          <cell r="AK55">
            <v>0</v>
          </cell>
          <cell r="AO55">
            <v>0</v>
          </cell>
          <cell r="AS55">
            <v>0</v>
          </cell>
          <cell r="AW55">
            <v>0</v>
          </cell>
        </row>
        <row r="56">
          <cell r="E56">
            <v>0.46</v>
          </cell>
          <cell r="I56">
            <v>0</v>
          </cell>
          <cell r="M56">
            <v>0</v>
          </cell>
          <cell r="Q56">
            <v>0</v>
          </cell>
          <cell r="U56">
            <v>0</v>
          </cell>
          <cell r="Y56">
            <v>0</v>
          </cell>
          <cell r="AC56">
            <v>0</v>
          </cell>
          <cell r="AG56">
            <v>0</v>
          </cell>
          <cell r="AK56">
            <v>0</v>
          </cell>
          <cell r="AO56">
            <v>0</v>
          </cell>
          <cell r="AS56">
            <v>0</v>
          </cell>
          <cell r="AW56">
            <v>0</v>
          </cell>
        </row>
        <row r="57">
          <cell r="E57">
            <v>0.3</v>
          </cell>
          <cell r="I57">
            <v>0</v>
          </cell>
          <cell r="M57">
            <v>0</v>
          </cell>
          <cell r="Q57">
            <v>0</v>
          </cell>
          <cell r="U57">
            <v>0</v>
          </cell>
          <cell r="Y57">
            <v>0</v>
          </cell>
          <cell r="AC57">
            <v>0</v>
          </cell>
          <cell r="AG57">
            <v>0</v>
          </cell>
          <cell r="AK57">
            <v>0</v>
          </cell>
          <cell r="AO57">
            <v>0</v>
          </cell>
          <cell r="AS57">
            <v>0</v>
          </cell>
          <cell r="AW57">
            <v>0</v>
          </cell>
        </row>
        <row r="58">
          <cell r="E58">
            <v>0</v>
          </cell>
          <cell r="I58">
            <v>0</v>
          </cell>
          <cell r="M58">
            <v>0</v>
          </cell>
          <cell r="Q58">
            <v>0</v>
          </cell>
          <cell r="U58">
            <v>0</v>
          </cell>
          <cell r="Y58">
            <v>0</v>
          </cell>
          <cell r="AC58">
            <v>0</v>
          </cell>
          <cell r="AG58">
            <v>0</v>
          </cell>
          <cell r="AK58">
            <v>0</v>
          </cell>
          <cell r="AO58">
            <v>0</v>
          </cell>
          <cell r="AS58">
            <v>0</v>
          </cell>
          <cell r="AW58">
            <v>0</v>
          </cell>
        </row>
        <row r="59">
          <cell r="E59">
            <v>0</v>
          </cell>
          <cell r="I59">
            <v>0</v>
          </cell>
          <cell r="M59">
            <v>0</v>
          </cell>
          <cell r="Q59">
            <v>0</v>
          </cell>
          <cell r="U59">
            <v>0</v>
          </cell>
          <cell r="Y59">
            <v>0</v>
          </cell>
          <cell r="AC59">
            <v>0</v>
          </cell>
          <cell r="AG59">
            <v>0</v>
          </cell>
          <cell r="AK59">
            <v>0</v>
          </cell>
          <cell r="AO59">
            <v>0</v>
          </cell>
          <cell r="AS59">
            <v>0</v>
          </cell>
          <cell r="AW59">
            <v>0</v>
          </cell>
        </row>
        <row r="60">
          <cell r="E60">
            <v>0</v>
          </cell>
          <cell r="I60">
            <v>0</v>
          </cell>
          <cell r="M60">
            <v>0</v>
          </cell>
          <cell r="Q60">
            <v>0</v>
          </cell>
          <cell r="U60">
            <v>0</v>
          </cell>
          <cell r="Y60">
            <v>0</v>
          </cell>
          <cell r="AC60">
            <v>0</v>
          </cell>
          <cell r="AG60">
            <v>0</v>
          </cell>
          <cell r="AK60">
            <v>0</v>
          </cell>
          <cell r="AO60">
            <v>0</v>
          </cell>
          <cell r="AS60">
            <v>0</v>
          </cell>
          <cell r="AW60">
            <v>0</v>
          </cell>
        </row>
        <row r="61">
          <cell r="E61">
            <v>0</v>
          </cell>
          <cell r="I61">
            <v>0</v>
          </cell>
          <cell r="M61">
            <v>0</v>
          </cell>
          <cell r="Q61">
            <v>0</v>
          </cell>
          <cell r="U61">
            <v>0</v>
          </cell>
          <cell r="Y61">
            <v>0</v>
          </cell>
          <cell r="AC61">
            <v>0</v>
          </cell>
          <cell r="AG61">
            <v>0</v>
          </cell>
          <cell r="AK61">
            <v>0</v>
          </cell>
          <cell r="AO61">
            <v>0</v>
          </cell>
          <cell r="AS61">
            <v>0</v>
          </cell>
          <cell r="AW61">
            <v>0</v>
          </cell>
        </row>
        <row r="62">
          <cell r="E62">
            <v>0</v>
          </cell>
          <cell r="I62">
            <v>0</v>
          </cell>
          <cell r="M62">
            <v>0</v>
          </cell>
          <cell r="Q62">
            <v>0</v>
          </cell>
          <cell r="U62">
            <v>0</v>
          </cell>
          <cell r="Y62">
            <v>0</v>
          </cell>
          <cell r="AC62">
            <v>0</v>
          </cell>
          <cell r="AG62">
            <v>0</v>
          </cell>
          <cell r="AK62">
            <v>0</v>
          </cell>
          <cell r="AO62">
            <v>0</v>
          </cell>
          <cell r="AS62">
            <v>0</v>
          </cell>
          <cell r="AW62">
            <v>0</v>
          </cell>
        </row>
        <row r="63">
          <cell r="E63">
            <v>0</v>
          </cell>
          <cell r="I63">
            <v>0</v>
          </cell>
          <cell r="M63">
            <v>0</v>
          </cell>
          <cell r="Q63">
            <v>0</v>
          </cell>
          <cell r="U63">
            <v>0</v>
          </cell>
          <cell r="Y63">
            <v>0</v>
          </cell>
          <cell r="AC63">
            <v>0</v>
          </cell>
          <cell r="AG63">
            <v>0</v>
          </cell>
          <cell r="AK63">
            <v>0</v>
          </cell>
          <cell r="AO63">
            <v>0</v>
          </cell>
          <cell r="AS63">
            <v>0</v>
          </cell>
          <cell r="AW63">
            <v>0</v>
          </cell>
        </row>
        <row r="64">
          <cell r="E64">
            <v>0</v>
          </cell>
          <cell r="I64">
            <v>0</v>
          </cell>
          <cell r="M64">
            <v>0</v>
          </cell>
          <cell r="Q64">
            <v>0</v>
          </cell>
          <cell r="U64">
            <v>0</v>
          </cell>
          <cell r="Y64">
            <v>0</v>
          </cell>
          <cell r="AC64">
            <v>0</v>
          </cell>
          <cell r="AG64">
            <v>0</v>
          </cell>
          <cell r="AK64">
            <v>0</v>
          </cell>
          <cell r="AO64">
            <v>0</v>
          </cell>
          <cell r="AS64">
            <v>0</v>
          </cell>
          <cell r="AW64">
            <v>0</v>
          </cell>
        </row>
        <row r="65">
          <cell r="E65">
            <v>0</v>
          </cell>
          <cell r="I65">
            <v>0</v>
          </cell>
          <cell r="M65">
            <v>0</v>
          </cell>
          <cell r="Q65">
            <v>0</v>
          </cell>
          <cell r="U65">
            <v>0</v>
          </cell>
          <cell r="Y65">
            <v>0</v>
          </cell>
          <cell r="AC65">
            <v>0</v>
          </cell>
          <cell r="AG65">
            <v>0</v>
          </cell>
          <cell r="AK65">
            <v>0</v>
          </cell>
          <cell r="AO65">
            <v>0</v>
          </cell>
          <cell r="AS65">
            <v>0</v>
          </cell>
          <cell r="AW65">
            <v>0</v>
          </cell>
        </row>
        <row r="66">
          <cell r="E66">
            <v>0.02</v>
          </cell>
          <cell r="I66">
            <v>0</v>
          </cell>
          <cell r="M66">
            <v>0</v>
          </cell>
          <cell r="Q66">
            <v>0</v>
          </cell>
          <cell r="U66">
            <v>0</v>
          </cell>
          <cell r="Y66">
            <v>0</v>
          </cell>
          <cell r="AC66">
            <v>0</v>
          </cell>
          <cell r="AG66">
            <v>0</v>
          </cell>
          <cell r="AK66">
            <v>0</v>
          </cell>
          <cell r="AO66">
            <v>0</v>
          </cell>
          <cell r="AS66">
            <v>0</v>
          </cell>
          <cell r="AW66">
            <v>0</v>
          </cell>
        </row>
        <row r="67">
          <cell r="E67">
            <v>0</v>
          </cell>
          <cell r="I67">
            <v>0</v>
          </cell>
          <cell r="M67">
            <v>0</v>
          </cell>
          <cell r="Q67">
            <v>0</v>
          </cell>
          <cell r="U67">
            <v>0</v>
          </cell>
          <cell r="Y67">
            <v>0</v>
          </cell>
          <cell r="AC67">
            <v>0</v>
          </cell>
          <cell r="AG67">
            <v>0</v>
          </cell>
          <cell r="AK67">
            <v>0</v>
          </cell>
          <cell r="AO67">
            <v>0</v>
          </cell>
          <cell r="AS67">
            <v>0</v>
          </cell>
          <cell r="AW67">
            <v>0</v>
          </cell>
        </row>
        <row r="68">
          <cell r="E68">
            <v>0.98</v>
          </cell>
          <cell r="I68">
            <v>0</v>
          </cell>
          <cell r="M68">
            <v>0</v>
          </cell>
          <cell r="Q68">
            <v>0</v>
          </cell>
          <cell r="U68">
            <v>0</v>
          </cell>
          <cell r="Y68">
            <v>0</v>
          </cell>
          <cell r="AC68">
            <v>0</v>
          </cell>
          <cell r="AG68">
            <v>0</v>
          </cell>
          <cell r="AK68">
            <v>0</v>
          </cell>
          <cell r="AO68">
            <v>0</v>
          </cell>
          <cell r="AS68">
            <v>0</v>
          </cell>
          <cell r="AW68">
            <v>0</v>
          </cell>
        </row>
        <row r="69">
          <cell r="E69">
            <v>0</v>
          </cell>
          <cell r="I69">
            <v>0</v>
          </cell>
          <cell r="M69">
            <v>0</v>
          </cell>
          <cell r="Q69">
            <v>0</v>
          </cell>
          <cell r="U69">
            <v>0</v>
          </cell>
          <cell r="Y69">
            <v>0</v>
          </cell>
          <cell r="AC69">
            <v>0</v>
          </cell>
          <cell r="AG69">
            <v>0</v>
          </cell>
          <cell r="AK69">
            <v>0</v>
          </cell>
          <cell r="AO69">
            <v>0</v>
          </cell>
          <cell r="AS69">
            <v>0</v>
          </cell>
          <cell r="AW69">
            <v>0</v>
          </cell>
        </row>
        <row r="70">
          <cell r="E70">
            <v>0.24</v>
          </cell>
          <cell r="I70">
            <v>0</v>
          </cell>
          <cell r="M70">
            <v>0</v>
          </cell>
          <cell r="Q70">
            <v>0</v>
          </cell>
          <cell r="U70">
            <v>0</v>
          </cell>
          <cell r="Y70">
            <v>0</v>
          </cell>
          <cell r="AC70">
            <v>0</v>
          </cell>
          <cell r="AG70">
            <v>0</v>
          </cell>
          <cell r="AK70">
            <v>0</v>
          </cell>
          <cell r="AO70">
            <v>0</v>
          </cell>
          <cell r="AS70">
            <v>0</v>
          </cell>
          <cell r="AW70">
            <v>0</v>
          </cell>
        </row>
        <row r="71">
          <cell r="E71">
            <v>0</v>
          </cell>
          <cell r="I71">
            <v>0</v>
          </cell>
          <cell r="M71">
            <v>0</v>
          </cell>
          <cell r="Q71">
            <v>0</v>
          </cell>
          <cell r="U71">
            <v>0</v>
          </cell>
          <cell r="Y71">
            <v>0</v>
          </cell>
          <cell r="AC71">
            <v>0</v>
          </cell>
          <cell r="AG71">
            <v>0</v>
          </cell>
          <cell r="AK71">
            <v>0</v>
          </cell>
          <cell r="AO71">
            <v>0</v>
          </cell>
          <cell r="AS71">
            <v>0</v>
          </cell>
          <cell r="AW71">
            <v>0</v>
          </cell>
        </row>
        <row r="72">
          <cell r="E72">
            <v>-0.01</v>
          </cell>
          <cell r="I72">
            <v>0</v>
          </cell>
          <cell r="M72">
            <v>0</v>
          </cell>
          <cell r="Q72">
            <v>0</v>
          </cell>
          <cell r="U72">
            <v>0</v>
          </cell>
          <cell r="Y72">
            <v>0</v>
          </cell>
          <cell r="AC72">
            <v>0</v>
          </cell>
          <cell r="AG72">
            <v>0</v>
          </cell>
          <cell r="AK72">
            <v>0</v>
          </cell>
          <cell r="AO72">
            <v>0</v>
          </cell>
          <cell r="AS72">
            <v>0</v>
          </cell>
          <cell r="AW72">
            <v>0</v>
          </cell>
        </row>
        <row r="73">
          <cell r="E73">
            <v>0</v>
          </cell>
          <cell r="I73">
            <v>0</v>
          </cell>
          <cell r="M73">
            <v>0</v>
          </cell>
          <cell r="Q73">
            <v>0</v>
          </cell>
          <cell r="U73">
            <v>0</v>
          </cell>
          <cell r="Y73">
            <v>0</v>
          </cell>
          <cell r="AC73">
            <v>0</v>
          </cell>
          <cell r="AG73">
            <v>0</v>
          </cell>
          <cell r="AK73">
            <v>0</v>
          </cell>
          <cell r="AO73">
            <v>0</v>
          </cell>
          <cell r="AS73">
            <v>0</v>
          </cell>
          <cell r="AW73">
            <v>0</v>
          </cell>
        </row>
        <row r="74">
          <cell r="E74">
            <v>0</v>
          </cell>
          <cell r="I74">
            <v>0</v>
          </cell>
          <cell r="M74">
            <v>0</v>
          </cell>
          <cell r="Q74">
            <v>0</v>
          </cell>
          <cell r="U74">
            <v>0</v>
          </cell>
          <cell r="Y74">
            <v>0</v>
          </cell>
          <cell r="AC74">
            <v>0</v>
          </cell>
          <cell r="AG74">
            <v>0</v>
          </cell>
          <cell r="AK74">
            <v>0</v>
          </cell>
          <cell r="AO74">
            <v>0</v>
          </cell>
          <cell r="AS74">
            <v>0</v>
          </cell>
          <cell r="AW74">
            <v>0</v>
          </cell>
        </row>
        <row r="75">
          <cell r="E75">
            <v>0</v>
          </cell>
          <cell r="I75">
            <v>0</v>
          </cell>
          <cell r="M75">
            <v>0</v>
          </cell>
          <cell r="Q75">
            <v>0</v>
          </cell>
          <cell r="U75">
            <v>0</v>
          </cell>
          <cell r="Y75">
            <v>0</v>
          </cell>
          <cell r="AC75">
            <v>0</v>
          </cell>
          <cell r="AG75">
            <v>0</v>
          </cell>
          <cell r="AK75">
            <v>0</v>
          </cell>
          <cell r="AO75">
            <v>0</v>
          </cell>
          <cell r="AS75">
            <v>0</v>
          </cell>
          <cell r="AW75">
            <v>0</v>
          </cell>
        </row>
        <row r="76">
          <cell r="E76">
            <v>0</v>
          </cell>
          <cell r="I76">
            <v>0</v>
          </cell>
          <cell r="M76">
            <v>0</v>
          </cell>
          <cell r="Q76">
            <v>0</v>
          </cell>
          <cell r="U76">
            <v>0</v>
          </cell>
          <cell r="Y76">
            <v>0</v>
          </cell>
          <cell r="AC76">
            <v>0</v>
          </cell>
          <cell r="AG76">
            <v>0</v>
          </cell>
          <cell r="AK76">
            <v>0</v>
          </cell>
          <cell r="AO76">
            <v>0</v>
          </cell>
          <cell r="AS76">
            <v>0</v>
          </cell>
          <cell r="AW76">
            <v>0</v>
          </cell>
        </row>
        <row r="77">
          <cell r="E77">
            <v>3.48</v>
          </cell>
          <cell r="I77">
            <v>0</v>
          </cell>
          <cell r="M77">
            <v>0</v>
          </cell>
          <cell r="Q77">
            <v>0</v>
          </cell>
          <cell r="U77">
            <v>0</v>
          </cell>
          <cell r="Y77">
            <v>0</v>
          </cell>
          <cell r="AC77">
            <v>0</v>
          </cell>
          <cell r="AG77">
            <v>0</v>
          </cell>
          <cell r="AK77">
            <v>0</v>
          </cell>
          <cell r="AO77">
            <v>0</v>
          </cell>
          <cell r="AS77">
            <v>0</v>
          </cell>
          <cell r="AW77">
            <v>0</v>
          </cell>
        </row>
        <row r="78">
          <cell r="E78">
            <v>3.5100000000000002</v>
          </cell>
          <cell r="I78">
            <v>0</v>
          </cell>
          <cell r="M78">
            <v>0</v>
          </cell>
          <cell r="Q78">
            <v>0</v>
          </cell>
          <cell r="U78">
            <v>0</v>
          </cell>
          <cell r="Y78">
            <v>0</v>
          </cell>
          <cell r="AC78">
            <v>0</v>
          </cell>
          <cell r="AG78">
            <v>0</v>
          </cell>
          <cell r="AK78">
            <v>0</v>
          </cell>
          <cell r="AO78">
            <v>0</v>
          </cell>
          <cell r="AS78">
            <v>0</v>
          </cell>
          <cell r="AW78">
            <v>0</v>
          </cell>
        </row>
        <row r="79">
          <cell r="E79">
            <v>0.15</v>
          </cell>
          <cell r="I79">
            <v>0</v>
          </cell>
          <cell r="M79">
            <v>0</v>
          </cell>
          <cell r="Q79">
            <v>0</v>
          </cell>
          <cell r="U79">
            <v>0</v>
          </cell>
          <cell r="Y79">
            <v>0</v>
          </cell>
          <cell r="AC79">
            <v>0</v>
          </cell>
          <cell r="AG79">
            <v>0</v>
          </cell>
          <cell r="AK79">
            <v>0</v>
          </cell>
          <cell r="AO79">
            <v>0</v>
          </cell>
          <cell r="AS79">
            <v>0</v>
          </cell>
          <cell r="AW79">
            <v>0</v>
          </cell>
        </row>
        <row r="80">
          <cell r="E80">
            <v>0.04</v>
          </cell>
          <cell r="I80">
            <v>0</v>
          </cell>
          <cell r="M80">
            <v>0</v>
          </cell>
          <cell r="Q80">
            <v>0</v>
          </cell>
          <cell r="U80">
            <v>0</v>
          </cell>
          <cell r="Y80">
            <v>0</v>
          </cell>
          <cell r="AC80">
            <v>0</v>
          </cell>
          <cell r="AG80">
            <v>0</v>
          </cell>
          <cell r="AK80">
            <v>0</v>
          </cell>
          <cell r="AO80">
            <v>0</v>
          </cell>
          <cell r="AS80">
            <v>0</v>
          </cell>
          <cell r="AW80">
            <v>0</v>
          </cell>
        </row>
        <row r="81">
          <cell r="E81">
            <v>0</v>
          </cell>
          <cell r="I81">
            <v>0</v>
          </cell>
          <cell r="M81">
            <v>0</v>
          </cell>
          <cell r="Q81">
            <v>0</v>
          </cell>
          <cell r="U81">
            <v>0</v>
          </cell>
          <cell r="Y81">
            <v>0</v>
          </cell>
          <cell r="AC81">
            <v>0</v>
          </cell>
          <cell r="AG81">
            <v>0</v>
          </cell>
          <cell r="AK81">
            <v>0</v>
          </cell>
          <cell r="AO81">
            <v>0</v>
          </cell>
          <cell r="AS81">
            <v>0</v>
          </cell>
          <cell r="AW81">
            <v>0</v>
          </cell>
        </row>
        <row r="82">
          <cell r="E82">
            <v>0</v>
          </cell>
          <cell r="I82">
            <v>0</v>
          </cell>
          <cell r="M82">
            <v>0</v>
          </cell>
          <cell r="Q82">
            <v>0</v>
          </cell>
          <cell r="U82">
            <v>0</v>
          </cell>
          <cell r="Y82">
            <v>0</v>
          </cell>
          <cell r="AC82">
            <v>0</v>
          </cell>
          <cell r="AG82">
            <v>0</v>
          </cell>
          <cell r="AK82">
            <v>0</v>
          </cell>
          <cell r="AO82">
            <v>0</v>
          </cell>
          <cell r="AS82">
            <v>0</v>
          </cell>
          <cell r="AW82">
            <v>0</v>
          </cell>
        </row>
        <row r="83">
          <cell r="E83">
            <v>0</v>
          </cell>
          <cell r="I83">
            <v>0</v>
          </cell>
          <cell r="M83">
            <v>0</v>
          </cell>
          <cell r="Q83">
            <v>0</v>
          </cell>
          <cell r="U83">
            <v>0</v>
          </cell>
          <cell r="Y83">
            <v>0</v>
          </cell>
          <cell r="AC83">
            <v>0</v>
          </cell>
          <cell r="AG83">
            <v>0</v>
          </cell>
          <cell r="AK83">
            <v>0</v>
          </cell>
          <cell r="AO83">
            <v>0</v>
          </cell>
          <cell r="AS83">
            <v>0</v>
          </cell>
          <cell r="AW83">
            <v>0</v>
          </cell>
        </row>
        <row r="84">
          <cell r="E84">
            <v>0</v>
          </cell>
          <cell r="I84">
            <v>0</v>
          </cell>
          <cell r="M84">
            <v>0</v>
          </cell>
          <cell r="Q84">
            <v>0</v>
          </cell>
          <cell r="U84">
            <v>0</v>
          </cell>
          <cell r="Y84">
            <v>0</v>
          </cell>
          <cell r="AC84">
            <v>0</v>
          </cell>
          <cell r="AG84">
            <v>0</v>
          </cell>
          <cell r="AK84">
            <v>0</v>
          </cell>
          <cell r="AO84">
            <v>0</v>
          </cell>
          <cell r="AS84">
            <v>0</v>
          </cell>
          <cell r="AW84">
            <v>0</v>
          </cell>
        </row>
        <row r="85">
          <cell r="E85">
            <v>0</v>
          </cell>
          <cell r="I85">
            <v>0</v>
          </cell>
          <cell r="M85">
            <v>0</v>
          </cell>
          <cell r="Q85">
            <v>0</v>
          </cell>
          <cell r="U85">
            <v>0</v>
          </cell>
          <cell r="Y85">
            <v>0</v>
          </cell>
          <cell r="AC85">
            <v>0</v>
          </cell>
          <cell r="AG85">
            <v>0</v>
          </cell>
          <cell r="AK85">
            <v>0</v>
          </cell>
          <cell r="AO85">
            <v>0</v>
          </cell>
          <cell r="AS85">
            <v>0</v>
          </cell>
          <cell r="AW85">
            <v>0</v>
          </cell>
        </row>
        <row r="86">
          <cell r="E86">
            <v>0</v>
          </cell>
          <cell r="I86">
            <v>0</v>
          </cell>
          <cell r="M86">
            <v>0</v>
          </cell>
          <cell r="Q86">
            <v>0</v>
          </cell>
          <cell r="U86">
            <v>0</v>
          </cell>
          <cell r="Y86">
            <v>0</v>
          </cell>
          <cell r="AC86">
            <v>0</v>
          </cell>
          <cell r="AG86">
            <v>0</v>
          </cell>
          <cell r="AK86">
            <v>0</v>
          </cell>
          <cell r="AO86">
            <v>0</v>
          </cell>
          <cell r="AS86">
            <v>0</v>
          </cell>
          <cell r="AW86">
            <v>0</v>
          </cell>
        </row>
        <row r="87">
          <cell r="E87">
            <v>0</v>
          </cell>
          <cell r="I87">
            <v>0</v>
          </cell>
          <cell r="M87">
            <v>0</v>
          </cell>
          <cell r="Q87">
            <v>0</v>
          </cell>
          <cell r="U87">
            <v>0</v>
          </cell>
          <cell r="Y87">
            <v>0</v>
          </cell>
          <cell r="AC87">
            <v>0</v>
          </cell>
          <cell r="AG87">
            <v>0</v>
          </cell>
          <cell r="AK87">
            <v>0</v>
          </cell>
          <cell r="AO87">
            <v>0</v>
          </cell>
          <cell r="AS87">
            <v>0</v>
          </cell>
          <cell r="AW87">
            <v>0</v>
          </cell>
        </row>
        <row r="88">
          <cell r="E88">
            <v>8.3899999999999988</v>
          </cell>
          <cell r="I88">
            <v>0</v>
          </cell>
          <cell r="M88">
            <v>0</v>
          </cell>
          <cell r="Q88">
            <v>0</v>
          </cell>
          <cell r="U88">
            <v>0</v>
          </cell>
          <cell r="Y88">
            <v>0</v>
          </cell>
          <cell r="AC88">
            <v>0</v>
          </cell>
          <cell r="AG88">
            <v>0</v>
          </cell>
          <cell r="AK88">
            <v>0</v>
          </cell>
          <cell r="AO88">
            <v>0</v>
          </cell>
          <cell r="AS88">
            <v>0</v>
          </cell>
          <cell r="AW88">
            <v>0</v>
          </cell>
        </row>
        <row r="89">
          <cell r="E89">
            <v>8.7099999999999991</v>
          </cell>
          <cell r="I89">
            <v>0</v>
          </cell>
          <cell r="M89">
            <v>0</v>
          </cell>
          <cell r="Q89">
            <v>0</v>
          </cell>
          <cell r="U89">
            <v>0</v>
          </cell>
          <cell r="Y89">
            <v>0</v>
          </cell>
          <cell r="AC89">
            <v>0</v>
          </cell>
          <cell r="AG89">
            <v>0</v>
          </cell>
          <cell r="AK89">
            <v>0</v>
          </cell>
          <cell r="AO89">
            <v>0</v>
          </cell>
          <cell r="AS89">
            <v>0</v>
          </cell>
          <cell r="AW89">
            <v>0</v>
          </cell>
        </row>
        <row r="90">
          <cell r="E90">
            <v>0</v>
          </cell>
          <cell r="I90">
            <v>0</v>
          </cell>
          <cell r="M90">
            <v>0</v>
          </cell>
          <cell r="Q90">
            <v>0</v>
          </cell>
          <cell r="U90">
            <v>0</v>
          </cell>
          <cell r="Y90">
            <v>0</v>
          </cell>
          <cell r="AC90">
            <v>0</v>
          </cell>
          <cell r="AG90">
            <v>0</v>
          </cell>
          <cell r="AK90">
            <v>0</v>
          </cell>
          <cell r="AO90">
            <v>0</v>
          </cell>
          <cell r="AS90">
            <v>0</v>
          </cell>
          <cell r="AW90">
            <v>0</v>
          </cell>
        </row>
        <row r="91">
          <cell r="E91">
            <v>0</v>
          </cell>
          <cell r="I91">
            <v>0</v>
          </cell>
          <cell r="M91">
            <v>0</v>
          </cell>
          <cell r="Q91">
            <v>0</v>
          </cell>
          <cell r="U91">
            <v>0</v>
          </cell>
          <cell r="Y91">
            <v>0</v>
          </cell>
          <cell r="AC91">
            <v>0</v>
          </cell>
          <cell r="AG91">
            <v>0</v>
          </cell>
          <cell r="AK91">
            <v>0</v>
          </cell>
          <cell r="AO91">
            <v>0</v>
          </cell>
          <cell r="AS91">
            <v>0</v>
          </cell>
          <cell r="AW91">
            <v>0</v>
          </cell>
        </row>
        <row r="92">
          <cell r="E92">
            <v>0</v>
          </cell>
          <cell r="I92">
            <v>0</v>
          </cell>
          <cell r="M92">
            <v>0</v>
          </cell>
          <cell r="Q92">
            <v>0</v>
          </cell>
          <cell r="U92">
            <v>0</v>
          </cell>
          <cell r="Y92">
            <v>0</v>
          </cell>
          <cell r="AC92">
            <v>0</v>
          </cell>
          <cell r="AG92">
            <v>0</v>
          </cell>
          <cell r="AK92">
            <v>0</v>
          </cell>
          <cell r="AO92">
            <v>0</v>
          </cell>
          <cell r="AS92">
            <v>0</v>
          </cell>
          <cell r="AW92">
            <v>0</v>
          </cell>
        </row>
        <row r="93">
          <cell r="E93">
            <v>16.259999999999998</v>
          </cell>
          <cell r="I93">
            <v>0</v>
          </cell>
          <cell r="M93">
            <v>0</v>
          </cell>
          <cell r="Q93">
            <v>0</v>
          </cell>
          <cell r="U93">
            <v>0</v>
          </cell>
          <cell r="Y93">
            <v>0</v>
          </cell>
          <cell r="AC93">
            <v>0</v>
          </cell>
          <cell r="AG93">
            <v>0</v>
          </cell>
          <cell r="AK93">
            <v>0</v>
          </cell>
          <cell r="AO93">
            <v>0</v>
          </cell>
          <cell r="AS93">
            <v>0</v>
          </cell>
          <cell r="AW93">
            <v>0</v>
          </cell>
        </row>
        <row r="94">
          <cell r="E94">
            <v>0</v>
          </cell>
          <cell r="I94">
            <v>0</v>
          </cell>
          <cell r="M94">
            <v>0</v>
          </cell>
          <cell r="Q94">
            <v>0</v>
          </cell>
          <cell r="U94">
            <v>0</v>
          </cell>
          <cell r="Y94">
            <v>0</v>
          </cell>
          <cell r="AC94">
            <v>0</v>
          </cell>
          <cell r="AG94">
            <v>0</v>
          </cell>
          <cell r="AK94">
            <v>0</v>
          </cell>
          <cell r="AO94">
            <v>0</v>
          </cell>
          <cell r="AS94">
            <v>0</v>
          </cell>
          <cell r="AW94">
            <v>0</v>
          </cell>
        </row>
        <row r="95">
          <cell r="E95">
            <v>0.70000000000000007</v>
          </cell>
          <cell r="I95">
            <v>0</v>
          </cell>
          <cell r="M95">
            <v>0</v>
          </cell>
          <cell r="Q95">
            <v>0</v>
          </cell>
          <cell r="U95">
            <v>0</v>
          </cell>
          <cell r="Y95">
            <v>0</v>
          </cell>
          <cell r="AC95">
            <v>0</v>
          </cell>
          <cell r="AG95">
            <v>0</v>
          </cell>
          <cell r="AK95">
            <v>0</v>
          </cell>
          <cell r="AO95">
            <v>0</v>
          </cell>
          <cell r="AS95">
            <v>0</v>
          </cell>
          <cell r="AW95">
            <v>0</v>
          </cell>
        </row>
        <row r="96">
          <cell r="E96">
            <v>0.70000000000000007</v>
          </cell>
          <cell r="I96">
            <v>0</v>
          </cell>
          <cell r="M96">
            <v>0</v>
          </cell>
          <cell r="Q96">
            <v>0</v>
          </cell>
          <cell r="U96">
            <v>0</v>
          </cell>
          <cell r="Y96">
            <v>0</v>
          </cell>
          <cell r="AC96">
            <v>0</v>
          </cell>
          <cell r="AG96">
            <v>0</v>
          </cell>
          <cell r="AK96">
            <v>0</v>
          </cell>
          <cell r="AO96">
            <v>0</v>
          </cell>
          <cell r="AS96">
            <v>0</v>
          </cell>
          <cell r="AW96">
            <v>0</v>
          </cell>
        </row>
        <row r="97">
          <cell r="E97">
            <v>0.23</v>
          </cell>
          <cell r="I97">
            <v>0</v>
          </cell>
          <cell r="M97">
            <v>0</v>
          </cell>
          <cell r="Q97">
            <v>0</v>
          </cell>
          <cell r="U97">
            <v>0</v>
          </cell>
          <cell r="Y97">
            <v>0</v>
          </cell>
          <cell r="AC97">
            <v>0</v>
          </cell>
          <cell r="AG97">
            <v>0</v>
          </cell>
          <cell r="AK97">
            <v>0</v>
          </cell>
          <cell r="AO97">
            <v>0</v>
          </cell>
          <cell r="AS97">
            <v>0</v>
          </cell>
          <cell r="AW97">
            <v>0</v>
          </cell>
        </row>
        <row r="98">
          <cell r="E98">
            <v>0.27999999999999997</v>
          </cell>
          <cell r="I98">
            <v>0</v>
          </cell>
          <cell r="M98">
            <v>0</v>
          </cell>
          <cell r="Q98">
            <v>0</v>
          </cell>
          <cell r="U98">
            <v>0</v>
          </cell>
          <cell r="Y98">
            <v>0</v>
          </cell>
          <cell r="AC98">
            <v>0</v>
          </cell>
          <cell r="AG98">
            <v>0</v>
          </cell>
          <cell r="AK98">
            <v>0</v>
          </cell>
          <cell r="AO98">
            <v>0</v>
          </cell>
          <cell r="AS98">
            <v>0</v>
          </cell>
          <cell r="AW98">
            <v>0</v>
          </cell>
        </row>
        <row r="99">
          <cell r="E99">
            <v>0.06</v>
          </cell>
          <cell r="I99">
            <v>0</v>
          </cell>
          <cell r="M99">
            <v>0</v>
          </cell>
          <cell r="Q99">
            <v>0</v>
          </cell>
          <cell r="U99">
            <v>0</v>
          </cell>
          <cell r="Y99">
            <v>0</v>
          </cell>
          <cell r="AC99">
            <v>0</v>
          </cell>
          <cell r="AG99">
            <v>0</v>
          </cell>
          <cell r="AK99">
            <v>0</v>
          </cell>
          <cell r="AO99">
            <v>0</v>
          </cell>
          <cell r="AS99">
            <v>0</v>
          </cell>
          <cell r="AW99">
            <v>0</v>
          </cell>
        </row>
        <row r="100">
          <cell r="E100">
            <v>0.5</v>
          </cell>
          <cell r="I100">
            <v>0</v>
          </cell>
          <cell r="M100">
            <v>0</v>
          </cell>
          <cell r="Q100">
            <v>0</v>
          </cell>
          <cell r="U100">
            <v>0</v>
          </cell>
          <cell r="Y100">
            <v>0</v>
          </cell>
          <cell r="AC100">
            <v>0</v>
          </cell>
          <cell r="AG100">
            <v>0</v>
          </cell>
          <cell r="AK100">
            <v>0</v>
          </cell>
          <cell r="AO100">
            <v>0</v>
          </cell>
          <cell r="AS100">
            <v>0</v>
          </cell>
          <cell r="AW100">
            <v>0</v>
          </cell>
        </row>
        <row r="101">
          <cell r="E101">
            <v>0</v>
          </cell>
          <cell r="I101">
            <v>0</v>
          </cell>
          <cell r="M101">
            <v>0</v>
          </cell>
          <cell r="Q101">
            <v>0</v>
          </cell>
          <cell r="U101">
            <v>0</v>
          </cell>
          <cell r="Y101">
            <v>0</v>
          </cell>
          <cell r="AC101">
            <v>0</v>
          </cell>
          <cell r="AG101">
            <v>0</v>
          </cell>
          <cell r="AK101">
            <v>0</v>
          </cell>
          <cell r="AO101">
            <v>0</v>
          </cell>
          <cell r="AS101">
            <v>0</v>
          </cell>
          <cell r="AW101">
            <v>0</v>
          </cell>
        </row>
        <row r="102">
          <cell r="E102">
            <v>0.84</v>
          </cell>
          <cell r="I102">
            <v>0</v>
          </cell>
          <cell r="M102">
            <v>0</v>
          </cell>
          <cell r="Q102">
            <v>0</v>
          </cell>
          <cell r="U102">
            <v>0</v>
          </cell>
          <cell r="Y102">
            <v>0</v>
          </cell>
          <cell r="AC102">
            <v>0</v>
          </cell>
          <cell r="AG102">
            <v>0</v>
          </cell>
          <cell r="AK102">
            <v>0</v>
          </cell>
          <cell r="AO102">
            <v>0</v>
          </cell>
          <cell r="AS102">
            <v>0</v>
          </cell>
          <cell r="AW102">
            <v>0</v>
          </cell>
        </row>
        <row r="103">
          <cell r="E103">
            <v>0.2</v>
          </cell>
          <cell r="I103">
            <v>0</v>
          </cell>
          <cell r="M103">
            <v>0</v>
          </cell>
          <cell r="Q103">
            <v>0</v>
          </cell>
          <cell r="U103">
            <v>0</v>
          </cell>
          <cell r="Y103">
            <v>0</v>
          </cell>
          <cell r="AC103">
            <v>0</v>
          </cell>
          <cell r="AG103">
            <v>0</v>
          </cell>
          <cell r="AK103">
            <v>0</v>
          </cell>
          <cell r="AO103">
            <v>0</v>
          </cell>
          <cell r="AS103">
            <v>0</v>
          </cell>
          <cell r="AW103">
            <v>0</v>
          </cell>
        </row>
        <row r="104">
          <cell r="E104">
            <v>0.2</v>
          </cell>
          <cell r="I104">
            <v>0</v>
          </cell>
          <cell r="M104">
            <v>0</v>
          </cell>
          <cell r="Q104">
            <v>0</v>
          </cell>
          <cell r="U104">
            <v>0</v>
          </cell>
          <cell r="Y104">
            <v>0</v>
          </cell>
          <cell r="AC104">
            <v>0</v>
          </cell>
          <cell r="AG104">
            <v>0</v>
          </cell>
          <cell r="AK104">
            <v>0</v>
          </cell>
          <cell r="AO104">
            <v>0</v>
          </cell>
          <cell r="AS104">
            <v>0</v>
          </cell>
          <cell r="AW104">
            <v>0</v>
          </cell>
        </row>
        <row r="105">
          <cell r="E105">
            <v>0</v>
          </cell>
          <cell r="I105">
            <v>0</v>
          </cell>
          <cell r="M105">
            <v>0</v>
          </cell>
          <cell r="Q105">
            <v>0</v>
          </cell>
          <cell r="U105">
            <v>0</v>
          </cell>
          <cell r="Y105">
            <v>0</v>
          </cell>
          <cell r="AC105">
            <v>0</v>
          </cell>
          <cell r="AG105">
            <v>0</v>
          </cell>
          <cell r="AK105">
            <v>0</v>
          </cell>
          <cell r="AO105">
            <v>0</v>
          </cell>
          <cell r="AS105">
            <v>0</v>
          </cell>
          <cell r="AW105">
            <v>0</v>
          </cell>
        </row>
        <row r="106">
          <cell r="E106">
            <v>0</v>
          </cell>
          <cell r="I106">
            <v>0</v>
          </cell>
          <cell r="M106">
            <v>0</v>
          </cell>
          <cell r="Q106">
            <v>0</v>
          </cell>
          <cell r="U106">
            <v>0</v>
          </cell>
          <cell r="Y106">
            <v>0</v>
          </cell>
          <cell r="AC106">
            <v>0</v>
          </cell>
          <cell r="AG106">
            <v>0</v>
          </cell>
          <cell r="AK106">
            <v>0</v>
          </cell>
          <cell r="AO106">
            <v>0</v>
          </cell>
          <cell r="AS106">
            <v>0</v>
          </cell>
          <cell r="AW106">
            <v>0</v>
          </cell>
        </row>
        <row r="107">
          <cell r="E107">
            <v>0.60000000000000009</v>
          </cell>
          <cell r="I107">
            <v>0</v>
          </cell>
          <cell r="M107">
            <v>0</v>
          </cell>
          <cell r="Q107">
            <v>0</v>
          </cell>
          <cell r="U107">
            <v>0</v>
          </cell>
          <cell r="Y107">
            <v>0</v>
          </cell>
          <cell r="AC107">
            <v>0</v>
          </cell>
          <cell r="AG107">
            <v>0</v>
          </cell>
          <cell r="AK107">
            <v>0</v>
          </cell>
          <cell r="AO107">
            <v>0</v>
          </cell>
          <cell r="AS107">
            <v>0</v>
          </cell>
          <cell r="AW107">
            <v>0</v>
          </cell>
        </row>
        <row r="108">
          <cell r="E108">
            <v>0</v>
          </cell>
          <cell r="I108">
            <v>0</v>
          </cell>
          <cell r="M108">
            <v>0</v>
          </cell>
          <cell r="Q108">
            <v>0</v>
          </cell>
          <cell r="U108">
            <v>0</v>
          </cell>
          <cell r="Y108">
            <v>0</v>
          </cell>
          <cell r="AC108">
            <v>0</v>
          </cell>
          <cell r="AG108">
            <v>0</v>
          </cell>
          <cell r="AK108">
            <v>0</v>
          </cell>
          <cell r="AO108">
            <v>0</v>
          </cell>
          <cell r="AS108">
            <v>0</v>
          </cell>
          <cell r="AW108">
            <v>0</v>
          </cell>
        </row>
        <row r="109">
          <cell r="E109">
            <v>0</v>
          </cell>
          <cell r="I109">
            <v>0</v>
          </cell>
          <cell r="M109">
            <v>0</v>
          </cell>
          <cell r="Q109">
            <v>0</v>
          </cell>
          <cell r="U109">
            <v>0</v>
          </cell>
          <cell r="Y109">
            <v>0</v>
          </cell>
          <cell r="AC109">
            <v>0</v>
          </cell>
          <cell r="AG109">
            <v>0</v>
          </cell>
          <cell r="AK109">
            <v>0</v>
          </cell>
          <cell r="AO109">
            <v>0</v>
          </cell>
          <cell r="AS109">
            <v>0</v>
          </cell>
          <cell r="AW109">
            <v>0</v>
          </cell>
        </row>
        <row r="110">
          <cell r="E110">
            <v>0</v>
          </cell>
          <cell r="I110">
            <v>0</v>
          </cell>
          <cell r="M110">
            <v>0</v>
          </cell>
          <cell r="Q110">
            <v>0</v>
          </cell>
          <cell r="U110">
            <v>0</v>
          </cell>
          <cell r="Y110">
            <v>0</v>
          </cell>
          <cell r="AC110">
            <v>0</v>
          </cell>
          <cell r="AG110">
            <v>0</v>
          </cell>
          <cell r="AK110">
            <v>0</v>
          </cell>
          <cell r="AO110">
            <v>0</v>
          </cell>
          <cell r="AS110">
            <v>0</v>
          </cell>
          <cell r="AW110">
            <v>0</v>
          </cell>
        </row>
        <row r="111">
          <cell r="E111">
            <v>0</v>
          </cell>
          <cell r="I111">
            <v>0</v>
          </cell>
          <cell r="M111">
            <v>0</v>
          </cell>
          <cell r="Q111">
            <v>0</v>
          </cell>
          <cell r="U111">
            <v>0</v>
          </cell>
          <cell r="Y111">
            <v>0</v>
          </cell>
          <cell r="AC111">
            <v>0</v>
          </cell>
          <cell r="AG111">
            <v>0</v>
          </cell>
          <cell r="AK111">
            <v>0</v>
          </cell>
          <cell r="AO111">
            <v>0</v>
          </cell>
          <cell r="AS111">
            <v>0</v>
          </cell>
          <cell r="AW111">
            <v>0</v>
          </cell>
        </row>
        <row r="112">
          <cell r="E112">
            <v>0</v>
          </cell>
          <cell r="I112">
            <v>0</v>
          </cell>
          <cell r="M112">
            <v>0</v>
          </cell>
          <cell r="Q112">
            <v>0</v>
          </cell>
          <cell r="U112">
            <v>0</v>
          </cell>
          <cell r="Y112">
            <v>0</v>
          </cell>
          <cell r="AC112">
            <v>0</v>
          </cell>
          <cell r="AG112">
            <v>0</v>
          </cell>
          <cell r="AK112">
            <v>0</v>
          </cell>
          <cell r="AO112">
            <v>0</v>
          </cell>
          <cell r="AS112">
            <v>0</v>
          </cell>
          <cell r="AW112">
            <v>0</v>
          </cell>
        </row>
        <row r="113">
          <cell r="E113">
            <v>0</v>
          </cell>
          <cell r="I113">
            <v>0</v>
          </cell>
          <cell r="M113">
            <v>0</v>
          </cell>
          <cell r="Q113">
            <v>0</v>
          </cell>
          <cell r="U113">
            <v>0</v>
          </cell>
          <cell r="Y113">
            <v>0</v>
          </cell>
          <cell r="AC113">
            <v>0</v>
          </cell>
          <cell r="AG113">
            <v>0</v>
          </cell>
          <cell r="AK113">
            <v>0</v>
          </cell>
          <cell r="AO113">
            <v>0</v>
          </cell>
          <cell r="AS113">
            <v>0</v>
          </cell>
          <cell r="AW113">
            <v>0</v>
          </cell>
        </row>
        <row r="114">
          <cell r="E114">
            <v>1</v>
          </cell>
          <cell r="I114">
            <v>0</v>
          </cell>
          <cell r="M114">
            <v>0</v>
          </cell>
          <cell r="Q114">
            <v>0</v>
          </cell>
          <cell r="U114">
            <v>0</v>
          </cell>
          <cell r="Y114">
            <v>0</v>
          </cell>
          <cell r="AC114">
            <v>0</v>
          </cell>
          <cell r="AG114">
            <v>0</v>
          </cell>
          <cell r="AK114">
            <v>0</v>
          </cell>
          <cell r="AO114">
            <v>0</v>
          </cell>
          <cell r="AS114">
            <v>0</v>
          </cell>
          <cell r="AW114">
            <v>0</v>
          </cell>
        </row>
        <row r="115">
          <cell r="E115">
            <v>2.77</v>
          </cell>
          <cell r="I115">
            <v>0</v>
          </cell>
          <cell r="M115">
            <v>0</v>
          </cell>
          <cell r="Q115">
            <v>0</v>
          </cell>
          <cell r="U115">
            <v>0</v>
          </cell>
          <cell r="Y115">
            <v>0</v>
          </cell>
          <cell r="AC115">
            <v>0</v>
          </cell>
          <cell r="AG115">
            <v>0</v>
          </cell>
          <cell r="AK115">
            <v>0</v>
          </cell>
          <cell r="AO115">
            <v>0</v>
          </cell>
          <cell r="AS115">
            <v>0</v>
          </cell>
          <cell r="AW115">
            <v>0</v>
          </cell>
        </row>
        <row r="116">
          <cell r="E116">
            <v>0</v>
          </cell>
          <cell r="I116">
            <v>0</v>
          </cell>
          <cell r="M116">
            <v>0</v>
          </cell>
          <cell r="Q116">
            <v>0</v>
          </cell>
          <cell r="U116">
            <v>0</v>
          </cell>
          <cell r="Y116">
            <v>0</v>
          </cell>
          <cell r="AC116">
            <v>0</v>
          </cell>
          <cell r="AG116">
            <v>0</v>
          </cell>
          <cell r="AK116">
            <v>0</v>
          </cell>
          <cell r="AO116">
            <v>0</v>
          </cell>
          <cell r="AS116">
            <v>0</v>
          </cell>
          <cell r="AW116">
            <v>0</v>
          </cell>
        </row>
        <row r="117">
          <cell r="E117">
            <v>0</v>
          </cell>
          <cell r="I117">
            <v>0</v>
          </cell>
          <cell r="M117">
            <v>0</v>
          </cell>
          <cell r="Q117">
            <v>0</v>
          </cell>
          <cell r="U117">
            <v>0</v>
          </cell>
          <cell r="Y117">
            <v>0</v>
          </cell>
          <cell r="AC117">
            <v>0</v>
          </cell>
          <cell r="AG117">
            <v>0</v>
          </cell>
          <cell r="AK117">
            <v>0</v>
          </cell>
          <cell r="AO117">
            <v>0</v>
          </cell>
          <cell r="AS117">
            <v>0</v>
          </cell>
          <cell r="AW117">
            <v>0</v>
          </cell>
        </row>
        <row r="118">
          <cell r="E118">
            <v>0</v>
          </cell>
          <cell r="I118">
            <v>0</v>
          </cell>
          <cell r="M118">
            <v>0</v>
          </cell>
          <cell r="Q118">
            <v>0</v>
          </cell>
          <cell r="U118">
            <v>0</v>
          </cell>
          <cell r="Y118">
            <v>0</v>
          </cell>
          <cell r="AC118">
            <v>0</v>
          </cell>
          <cell r="AG118">
            <v>0</v>
          </cell>
          <cell r="AK118">
            <v>0</v>
          </cell>
          <cell r="AO118">
            <v>0</v>
          </cell>
          <cell r="AS118">
            <v>0</v>
          </cell>
          <cell r="AW118">
            <v>0</v>
          </cell>
        </row>
        <row r="119">
          <cell r="E119">
            <v>0</v>
          </cell>
          <cell r="I119">
            <v>0</v>
          </cell>
          <cell r="M119">
            <v>0</v>
          </cell>
          <cell r="Q119">
            <v>0</v>
          </cell>
          <cell r="U119">
            <v>0</v>
          </cell>
          <cell r="Y119">
            <v>0</v>
          </cell>
          <cell r="AC119">
            <v>0</v>
          </cell>
          <cell r="AG119">
            <v>0</v>
          </cell>
          <cell r="AK119">
            <v>0</v>
          </cell>
          <cell r="AO119">
            <v>0</v>
          </cell>
          <cell r="AS119">
            <v>0</v>
          </cell>
          <cell r="AW119">
            <v>0</v>
          </cell>
        </row>
        <row r="120">
          <cell r="E120">
            <v>0</v>
          </cell>
          <cell r="I120">
            <v>0</v>
          </cell>
          <cell r="M120">
            <v>0</v>
          </cell>
          <cell r="Q120">
            <v>0</v>
          </cell>
          <cell r="U120">
            <v>0</v>
          </cell>
          <cell r="Y120">
            <v>0</v>
          </cell>
          <cell r="AC120">
            <v>0</v>
          </cell>
          <cell r="AG120">
            <v>0</v>
          </cell>
          <cell r="AK120">
            <v>0</v>
          </cell>
          <cell r="AO120">
            <v>0</v>
          </cell>
          <cell r="AS120">
            <v>0</v>
          </cell>
          <cell r="AW120">
            <v>0</v>
          </cell>
        </row>
        <row r="121">
          <cell r="E121">
            <v>0</v>
          </cell>
          <cell r="I121">
            <v>0</v>
          </cell>
          <cell r="M121">
            <v>0</v>
          </cell>
          <cell r="Q121">
            <v>0</v>
          </cell>
          <cell r="U121">
            <v>0</v>
          </cell>
          <cell r="Y121">
            <v>0</v>
          </cell>
          <cell r="AC121">
            <v>0</v>
          </cell>
          <cell r="AG121">
            <v>0</v>
          </cell>
          <cell r="AK121">
            <v>0</v>
          </cell>
          <cell r="AO121">
            <v>0</v>
          </cell>
          <cell r="AS121">
            <v>0</v>
          </cell>
          <cell r="AW121">
            <v>0</v>
          </cell>
        </row>
        <row r="122">
          <cell r="E122">
            <v>0</v>
          </cell>
          <cell r="I122">
            <v>0</v>
          </cell>
          <cell r="M122">
            <v>0</v>
          </cell>
          <cell r="Q122">
            <v>0</v>
          </cell>
          <cell r="U122">
            <v>0</v>
          </cell>
          <cell r="Y122">
            <v>0</v>
          </cell>
          <cell r="AC122">
            <v>0</v>
          </cell>
          <cell r="AG122">
            <v>0</v>
          </cell>
          <cell r="AK122">
            <v>0</v>
          </cell>
          <cell r="AO122">
            <v>0</v>
          </cell>
          <cell r="AS122">
            <v>0</v>
          </cell>
          <cell r="AW122">
            <v>0</v>
          </cell>
        </row>
        <row r="123">
          <cell r="E123">
            <v>0</v>
          </cell>
          <cell r="I123">
            <v>0</v>
          </cell>
          <cell r="M123">
            <v>0</v>
          </cell>
          <cell r="Q123">
            <v>0</v>
          </cell>
          <cell r="U123">
            <v>0</v>
          </cell>
          <cell r="Y123">
            <v>0</v>
          </cell>
          <cell r="AC123">
            <v>0</v>
          </cell>
          <cell r="AG123">
            <v>0</v>
          </cell>
          <cell r="AK123">
            <v>0</v>
          </cell>
          <cell r="AO123">
            <v>0</v>
          </cell>
          <cell r="AS123">
            <v>0</v>
          </cell>
          <cell r="AW123">
            <v>0</v>
          </cell>
        </row>
        <row r="124">
          <cell r="E124">
            <v>0</v>
          </cell>
          <cell r="I124">
            <v>0</v>
          </cell>
          <cell r="M124">
            <v>0</v>
          </cell>
          <cell r="Q124">
            <v>0</v>
          </cell>
          <cell r="U124">
            <v>0</v>
          </cell>
          <cell r="Y124">
            <v>0</v>
          </cell>
          <cell r="AC124">
            <v>0</v>
          </cell>
          <cell r="AG124">
            <v>0</v>
          </cell>
          <cell r="AK124">
            <v>0</v>
          </cell>
          <cell r="AO124">
            <v>0</v>
          </cell>
          <cell r="AS124">
            <v>0</v>
          </cell>
          <cell r="AW124">
            <v>0</v>
          </cell>
        </row>
        <row r="125">
          <cell r="E125">
            <v>0</v>
          </cell>
          <cell r="I125">
            <v>0</v>
          </cell>
          <cell r="M125">
            <v>0</v>
          </cell>
          <cell r="Q125">
            <v>0</v>
          </cell>
          <cell r="U125">
            <v>0</v>
          </cell>
          <cell r="Y125">
            <v>0</v>
          </cell>
          <cell r="AC125">
            <v>0</v>
          </cell>
          <cell r="AG125">
            <v>0</v>
          </cell>
          <cell r="AK125">
            <v>0</v>
          </cell>
          <cell r="AO125">
            <v>0</v>
          </cell>
          <cell r="AS125">
            <v>0</v>
          </cell>
          <cell r="AW125">
            <v>0</v>
          </cell>
        </row>
        <row r="126">
          <cell r="E126">
            <v>0</v>
          </cell>
          <cell r="I126">
            <v>0</v>
          </cell>
          <cell r="M126">
            <v>0</v>
          </cell>
          <cell r="Q126">
            <v>0</v>
          </cell>
          <cell r="U126">
            <v>0</v>
          </cell>
          <cell r="Y126">
            <v>0</v>
          </cell>
          <cell r="AC126">
            <v>0</v>
          </cell>
          <cell r="AG126">
            <v>0</v>
          </cell>
          <cell r="AK126">
            <v>0</v>
          </cell>
          <cell r="AO126">
            <v>0</v>
          </cell>
          <cell r="AS126">
            <v>0</v>
          </cell>
          <cell r="AW126">
            <v>0</v>
          </cell>
        </row>
        <row r="127">
          <cell r="E127">
            <v>0</v>
          </cell>
          <cell r="I127">
            <v>0</v>
          </cell>
          <cell r="M127">
            <v>0</v>
          </cell>
          <cell r="Q127">
            <v>0</v>
          </cell>
          <cell r="U127">
            <v>0</v>
          </cell>
          <cell r="Y127">
            <v>0</v>
          </cell>
          <cell r="AC127">
            <v>0</v>
          </cell>
          <cell r="AG127">
            <v>0</v>
          </cell>
          <cell r="AK127">
            <v>0</v>
          </cell>
          <cell r="AO127">
            <v>0</v>
          </cell>
          <cell r="AS127">
            <v>0</v>
          </cell>
          <cell r="AW127">
            <v>0</v>
          </cell>
        </row>
        <row r="128">
          <cell r="E128">
            <v>0</v>
          </cell>
          <cell r="I128">
            <v>0</v>
          </cell>
          <cell r="M128">
            <v>0</v>
          </cell>
          <cell r="Q128">
            <v>0</v>
          </cell>
          <cell r="U128">
            <v>0</v>
          </cell>
          <cell r="Y128">
            <v>0</v>
          </cell>
          <cell r="AC128">
            <v>0</v>
          </cell>
          <cell r="AG128">
            <v>0</v>
          </cell>
          <cell r="AK128">
            <v>0</v>
          </cell>
          <cell r="AO128">
            <v>0</v>
          </cell>
          <cell r="AS128">
            <v>0</v>
          </cell>
          <cell r="AW128">
            <v>0</v>
          </cell>
        </row>
        <row r="129">
          <cell r="E129">
            <v>0</v>
          </cell>
          <cell r="I129">
            <v>0</v>
          </cell>
          <cell r="M129">
            <v>0</v>
          </cell>
          <cell r="Q129">
            <v>0</v>
          </cell>
          <cell r="U129">
            <v>0</v>
          </cell>
          <cell r="Y129">
            <v>0</v>
          </cell>
          <cell r="AC129">
            <v>0</v>
          </cell>
          <cell r="AG129">
            <v>0</v>
          </cell>
          <cell r="AK129">
            <v>0</v>
          </cell>
          <cell r="AO129">
            <v>0</v>
          </cell>
          <cell r="AS129">
            <v>0</v>
          </cell>
          <cell r="AW129">
            <v>0</v>
          </cell>
        </row>
        <row r="130">
          <cell r="E130">
            <v>0</v>
          </cell>
          <cell r="I130">
            <v>0</v>
          </cell>
          <cell r="M130">
            <v>0</v>
          </cell>
          <cell r="Q130">
            <v>0</v>
          </cell>
          <cell r="U130">
            <v>0</v>
          </cell>
          <cell r="Y130">
            <v>0</v>
          </cell>
          <cell r="AC130">
            <v>0</v>
          </cell>
          <cell r="AG130">
            <v>0</v>
          </cell>
          <cell r="AK130">
            <v>0</v>
          </cell>
          <cell r="AO130">
            <v>0</v>
          </cell>
          <cell r="AS130">
            <v>0</v>
          </cell>
          <cell r="AW130">
            <v>0</v>
          </cell>
        </row>
        <row r="131">
          <cell r="E131">
            <v>0</v>
          </cell>
          <cell r="I131">
            <v>0</v>
          </cell>
          <cell r="M131">
            <v>0</v>
          </cell>
          <cell r="Q131">
            <v>0</v>
          </cell>
          <cell r="U131">
            <v>0</v>
          </cell>
          <cell r="Y131">
            <v>0</v>
          </cell>
          <cell r="AC131">
            <v>0</v>
          </cell>
          <cell r="AG131">
            <v>0</v>
          </cell>
          <cell r="AK131">
            <v>0</v>
          </cell>
          <cell r="AO131">
            <v>0</v>
          </cell>
          <cell r="AS131">
            <v>0</v>
          </cell>
          <cell r="AW131">
            <v>0</v>
          </cell>
        </row>
        <row r="132">
          <cell r="E132">
            <v>0</v>
          </cell>
          <cell r="I132">
            <v>0</v>
          </cell>
          <cell r="M132">
            <v>0</v>
          </cell>
          <cell r="Q132">
            <v>0</v>
          </cell>
          <cell r="U132">
            <v>0</v>
          </cell>
          <cell r="Y132">
            <v>0</v>
          </cell>
          <cell r="AC132">
            <v>0</v>
          </cell>
          <cell r="AG132">
            <v>0</v>
          </cell>
          <cell r="AK132">
            <v>0</v>
          </cell>
          <cell r="AO132">
            <v>0</v>
          </cell>
          <cell r="AS132">
            <v>0</v>
          </cell>
          <cell r="AW132">
            <v>0</v>
          </cell>
        </row>
        <row r="133">
          <cell r="E133">
            <v>0</v>
          </cell>
          <cell r="I133">
            <v>0</v>
          </cell>
          <cell r="M133">
            <v>0</v>
          </cell>
          <cell r="Q133">
            <v>0</v>
          </cell>
          <cell r="U133">
            <v>0</v>
          </cell>
          <cell r="Y133">
            <v>0</v>
          </cell>
          <cell r="AC133">
            <v>0</v>
          </cell>
          <cell r="AG133">
            <v>0</v>
          </cell>
          <cell r="AK133">
            <v>0</v>
          </cell>
          <cell r="AO133">
            <v>0</v>
          </cell>
          <cell r="AS133">
            <v>0</v>
          </cell>
          <cell r="AW133">
            <v>0</v>
          </cell>
        </row>
        <row r="134">
          <cell r="E134">
            <v>0</v>
          </cell>
          <cell r="I134">
            <v>0</v>
          </cell>
          <cell r="M134">
            <v>0</v>
          </cell>
          <cell r="Q134">
            <v>0</v>
          </cell>
          <cell r="U134">
            <v>0</v>
          </cell>
          <cell r="Y134">
            <v>0</v>
          </cell>
          <cell r="AC134">
            <v>0</v>
          </cell>
          <cell r="AG134">
            <v>0</v>
          </cell>
          <cell r="AK134">
            <v>0</v>
          </cell>
          <cell r="AO134">
            <v>0</v>
          </cell>
          <cell r="AS134">
            <v>0</v>
          </cell>
          <cell r="AW134">
            <v>0</v>
          </cell>
        </row>
        <row r="135">
          <cell r="E135">
            <v>19.029999999999998</v>
          </cell>
          <cell r="I135">
            <v>0</v>
          </cell>
          <cell r="M135">
            <v>0</v>
          </cell>
          <cell r="Q135">
            <v>0</v>
          </cell>
          <cell r="U135">
            <v>0</v>
          </cell>
          <cell r="Y135">
            <v>0</v>
          </cell>
          <cell r="AC135">
            <v>0</v>
          </cell>
          <cell r="AG135">
            <v>0</v>
          </cell>
          <cell r="AK135">
            <v>0</v>
          </cell>
          <cell r="AO135">
            <v>0</v>
          </cell>
          <cell r="AS135">
            <v>0</v>
          </cell>
          <cell r="AW135">
            <v>0</v>
          </cell>
        </row>
        <row r="136">
          <cell r="E136">
            <v>11.220000000000059</v>
          </cell>
          <cell r="I136">
            <v>0</v>
          </cell>
          <cell r="M136">
            <v>0</v>
          </cell>
          <cell r="Q136">
            <v>0</v>
          </cell>
          <cell r="U136">
            <v>0</v>
          </cell>
          <cell r="Y136">
            <v>0</v>
          </cell>
          <cell r="AC136">
            <v>0</v>
          </cell>
          <cell r="AG136">
            <v>0</v>
          </cell>
          <cell r="AK136">
            <v>0</v>
          </cell>
          <cell r="AO136">
            <v>0</v>
          </cell>
          <cell r="AS136">
            <v>0</v>
          </cell>
          <cell r="AW136">
            <v>0</v>
          </cell>
        </row>
        <row r="137">
          <cell r="E137">
            <v>3.9617245153773024E-2</v>
          </cell>
          <cell r="I137">
            <v>0</v>
          </cell>
          <cell r="M137">
            <v>0</v>
          </cell>
          <cell r="Q137">
            <v>0</v>
          </cell>
          <cell r="U137">
            <v>0</v>
          </cell>
          <cell r="Y137">
            <v>0</v>
          </cell>
          <cell r="AC137">
            <v>0</v>
          </cell>
          <cell r="AG137">
            <v>0</v>
          </cell>
          <cell r="AK137">
            <v>0</v>
          </cell>
          <cell r="AO137">
            <v>0</v>
          </cell>
          <cell r="AS137">
            <v>0</v>
          </cell>
          <cell r="AW137">
            <v>0</v>
          </cell>
        </row>
      </sheetData>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Memo"/>
      <sheetName val="Prueba Global"/>
      <sheetName val="Bs. de Uso 2002"/>
      <sheetName val="Altas"/>
      <sheetName val="Bajas "/>
      <sheetName val="Tickmarks"/>
      <sheetName val="PG VR U$$"/>
      <sheetName val="Tabla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Memo "/>
      <sheetName val="PGL NR"/>
      <sheetName val="PGL Amortizaciones"/>
      <sheetName val="Altas"/>
      <sheetName val="MMA 31-7-02"/>
      <sheetName val="Analisis Altas "/>
      <sheetName val="Bajas "/>
      <sheetName val="Analisis Bajas"/>
      <sheetName val="XREF"/>
      <sheetName val="PGL NR (AxI)"/>
      <sheetName val="PGL Amortizaciones (AxI)"/>
      <sheetName val="Indices"/>
      <sheetName val="Tickmarks"/>
      <sheetName val="Prueba Global"/>
      <sheetName val="Bs. de Uso 2002"/>
    </sheetNames>
    <sheetDataSet>
      <sheetData sheetId="0"/>
      <sheetData sheetId="1"/>
      <sheetData sheetId="2" refreshError="1">
        <row r="26">
          <cell r="E26">
            <v>1700494</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Analyse"/>
      <sheetName val="Serveur DIS"/>
      <sheetName val="Serveurs"/>
      <sheetName val="Maintenance"/>
      <sheetName val="Backup"/>
      <sheetName val="Inventaire Psd"/>
      <sheetName val="Etat partition"/>
      <sheetName val="Etat Virus"/>
      <sheetName val="Imprimantes"/>
      <sheetName val="Partages"/>
    </sheetNames>
    <sheetDataSet>
      <sheetData sheetId="0"/>
      <sheetData sheetId="1"/>
      <sheetData sheetId="2"/>
      <sheetData sheetId="3"/>
      <sheetData sheetId="4"/>
      <sheetData sheetId="5"/>
      <sheetData sheetId="6"/>
      <sheetData sheetId="7">
        <row r="2">
          <cell r="A2" t="str">
            <v>GEATJ1APPL1_OSCE</v>
          </cell>
          <cell r="B2" t="str">
            <v>OfficeScan Corporate Edition</v>
          </cell>
          <cell r="C2" t="str">
            <v>6.5</v>
          </cell>
          <cell r="D2" t="str">
            <v>4.367.00</v>
          </cell>
          <cell r="E2" t="str">
            <v>à jour</v>
          </cell>
        </row>
        <row r="3">
          <cell r="A3" t="str">
            <v>1.192.73.51</v>
          </cell>
          <cell r="B3" t="str">
            <v>ServerProtect for Windows</v>
          </cell>
          <cell r="C3" t="str">
            <v>5.58</v>
          </cell>
          <cell r="D3" t="str">
            <v>4.359.00</v>
          </cell>
          <cell r="E3" t="str">
            <v>pas à jour</v>
          </cell>
        </row>
        <row r="4">
          <cell r="A4" t="str">
            <v>10.58.69.49</v>
          </cell>
          <cell r="B4" t="str">
            <v>ServerProtect for Windows</v>
          </cell>
          <cell r="C4" t="str">
            <v>5.58</v>
          </cell>
          <cell r="D4" t="str">
            <v>4.313.00</v>
          </cell>
          <cell r="E4" t="str">
            <v>pas à jour</v>
          </cell>
        </row>
        <row r="5">
          <cell r="A5" t="str">
            <v>10.59.34.17</v>
          </cell>
          <cell r="B5" t="str">
            <v>ServerProtect for Windows</v>
          </cell>
          <cell r="C5" t="str">
            <v>5.58</v>
          </cell>
          <cell r="D5" t="str">
            <v>3.627.00</v>
          </cell>
          <cell r="E5" t="str">
            <v>pas à jour</v>
          </cell>
        </row>
        <row r="6">
          <cell r="A6" t="str">
            <v>10.62.192.62</v>
          </cell>
          <cell r="B6" t="str">
            <v>ServerProtect for Windows</v>
          </cell>
          <cell r="D6" t="str">
            <v>3.413.00</v>
          </cell>
          <cell r="E6" t="str">
            <v>pas à jour</v>
          </cell>
        </row>
        <row r="7">
          <cell r="A7" t="str">
            <v>10.62.86.54</v>
          </cell>
          <cell r="B7" t="str">
            <v>ServerProtect for Windows</v>
          </cell>
          <cell r="D7" t="str">
            <v>4.103.00</v>
          </cell>
          <cell r="E7" t="str">
            <v>pas à jour</v>
          </cell>
        </row>
        <row r="8">
          <cell r="A8" t="str">
            <v>10.62.86.56</v>
          </cell>
          <cell r="B8" t="str">
            <v>ServerProtect for Windows</v>
          </cell>
          <cell r="C8" t="str">
            <v>5.58</v>
          </cell>
          <cell r="D8" t="str">
            <v>4.367.00</v>
          </cell>
          <cell r="E8" t="str">
            <v>à jour</v>
          </cell>
        </row>
        <row r="9">
          <cell r="A9" t="str">
            <v>10.62.88.70</v>
          </cell>
          <cell r="B9" t="str">
            <v>ServerProtect for Windows</v>
          </cell>
          <cell r="C9" t="str">
            <v>5.58</v>
          </cell>
          <cell r="D9" t="str">
            <v>4.367.00</v>
          </cell>
          <cell r="E9" t="str">
            <v>à jour</v>
          </cell>
        </row>
        <row r="10">
          <cell r="A10" t="str">
            <v>5.176.150.159</v>
          </cell>
          <cell r="B10" t="str">
            <v>ServerProtect for Windows</v>
          </cell>
          <cell r="C10" t="str">
            <v>5.58</v>
          </cell>
          <cell r="D10" t="str">
            <v>2.699.00</v>
          </cell>
          <cell r="E10" t="str">
            <v>pas à jour</v>
          </cell>
        </row>
        <row r="11">
          <cell r="A11" t="str">
            <v>5.176.251.15</v>
          </cell>
          <cell r="B11" t="str">
            <v>ServerProtect for Windows</v>
          </cell>
          <cell r="C11" t="str">
            <v>5.58</v>
          </cell>
          <cell r="D11" t="str">
            <v>3.793.00</v>
          </cell>
          <cell r="E11" t="str">
            <v>pas à jour</v>
          </cell>
        </row>
        <row r="12">
          <cell r="A12" t="str">
            <v>GEAAC1APPL1</v>
          </cell>
          <cell r="B12" t="str">
            <v>ServerProtect for Windows</v>
          </cell>
          <cell r="C12" t="str">
            <v>5.58</v>
          </cell>
          <cell r="D12" t="str">
            <v>4.365.00</v>
          </cell>
          <cell r="E12" t="str">
            <v>pas à jour</v>
          </cell>
        </row>
        <row r="13">
          <cell r="A13" t="str">
            <v>GEAAC1DIST1</v>
          </cell>
          <cell r="B13" t="str">
            <v>ServerProtect for Windows</v>
          </cell>
          <cell r="D13" t="str">
            <v>4.283.00</v>
          </cell>
          <cell r="E13" t="str">
            <v>pas à jour</v>
          </cell>
        </row>
        <row r="14">
          <cell r="A14" t="str">
            <v>GEAAE1DIST1</v>
          </cell>
          <cell r="B14" t="str">
            <v>ServerProtect for Windows</v>
          </cell>
          <cell r="C14" t="str">
            <v>5.58</v>
          </cell>
          <cell r="D14" t="str">
            <v>4.333.00</v>
          </cell>
          <cell r="E14" t="str">
            <v>pas à jour</v>
          </cell>
        </row>
        <row r="15">
          <cell r="A15" t="str">
            <v>GEAAG1DIST1</v>
          </cell>
          <cell r="B15" t="str">
            <v>ServerProtect for Windows</v>
          </cell>
          <cell r="C15" t="str">
            <v>5.58</v>
          </cell>
          <cell r="D15" t="str">
            <v>4.365.00</v>
          </cell>
          <cell r="E15" t="str">
            <v>pas à jour</v>
          </cell>
        </row>
        <row r="16">
          <cell r="A16" t="str">
            <v>GEAAL1DIST1</v>
          </cell>
          <cell r="B16" t="str">
            <v>ServerProtect for Windows</v>
          </cell>
          <cell r="C16" t="str">
            <v>5.58</v>
          </cell>
          <cell r="D16" t="str">
            <v>3.901.00</v>
          </cell>
          <cell r="E16" t="str">
            <v>pas à jour</v>
          </cell>
        </row>
        <row r="17">
          <cell r="A17" t="str">
            <v>GEAALI1ITEM1</v>
          </cell>
          <cell r="B17" t="str">
            <v>ServerProtect for Windows</v>
          </cell>
          <cell r="C17" t="str">
            <v>5.58</v>
          </cell>
          <cell r="D17" t="str">
            <v>3.627.00</v>
          </cell>
          <cell r="E17" t="str">
            <v>pas à jour</v>
          </cell>
        </row>
        <row r="18">
          <cell r="A18" t="str">
            <v>GEAAM1DIST1</v>
          </cell>
          <cell r="B18" t="str">
            <v>ServerProtect for Windows</v>
          </cell>
          <cell r="C18" t="str">
            <v>5.58</v>
          </cell>
          <cell r="D18" t="str">
            <v>4.365.00</v>
          </cell>
          <cell r="E18" t="str">
            <v>pas à jour</v>
          </cell>
        </row>
        <row r="19">
          <cell r="A19" t="str">
            <v>GEAAR1APPL1</v>
          </cell>
          <cell r="B19" t="str">
            <v>ServerProtect for Windows</v>
          </cell>
          <cell r="C19" t="str">
            <v>5.58</v>
          </cell>
          <cell r="D19" t="str">
            <v>3.983.00</v>
          </cell>
          <cell r="E19" t="str">
            <v>pas à jour</v>
          </cell>
        </row>
        <row r="20">
          <cell r="A20" t="str">
            <v>GEAAR1DIFT1</v>
          </cell>
          <cell r="B20" t="str">
            <v>ServerProtect for Windows</v>
          </cell>
          <cell r="C20" t="str">
            <v>5.58</v>
          </cell>
          <cell r="D20" t="str">
            <v>4.367.00</v>
          </cell>
          <cell r="E20" t="str">
            <v>à jour</v>
          </cell>
        </row>
        <row r="21">
          <cell r="A21" t="str">
            <v>GEAAR1DIST1</v>
          </cell>
          <cell r="B21" t="str">
            <v>ServerProtect for Windows</v>
          </cell>
          <cell r="C21" t="str">
            <v>5.58</v>
          </cell>
          <cell r="D21" t="str">
            <v>3.701.00</v>
          </cell>
          <cell r="E21" t="str">
            <v>pas à jour</v>
          </cell>
        </row>
        <row r="22">
          <cell r="A22" t="str">
            <v>GEAAS1DIFT1</v>
          </cell>
          <cell r="B22" t="str">
            <v>ServerProtect for Windows</v>
          </cell>
          <cell r="C22" t="str">
            <v>5.58</v>
          </cell>
          <cell r="D22" t="str">
            <v>4.367.00</v>
          </cell>
          <cell r="E22" t="str">
            <v>à jour</v>
          </cell>
        </row>
        <row r="23">
          <cell r="A23" t="str">
            <v>GEAAS1DIST1</v>
          </cell>
          <cell r="B23" t="str">
            <v>ServerProtect for Windows</v>
          </cell>
          <cell r="C23" t="str">
            <v>5.58</v>
          </cell>
          <cell r="D23" t="str">
            <v>4.333.00</v>
          </cell>
          <cell r="E23" t="str">
            <v>pas à jour</v>
          </cell>
        </row>
        <row r="24">
          <cell r="A24" t="str">
            <v>GEAAT1DIST1</v>
          </cell>
          <cell r="B24" t="str">
            <v>ServerProtect for Windows</v>
          </cell>
          <cell r="C24" t="str">
            <v>5.58</v>
          </cell>
          <cell r="D24" t="str">
            <v>4.273.00</v>
          </cell>
          <cell r="E24" t="str">
            <v>pas à jour</v>
          </cell>
        </row>
        <row r="25">
          <cell r="A25" t="str">
            <v>GEAAU1DIST1</v>
          </cell>
          <cell r="B25" t="str">
            <v>ServerProtect for Windows</v>
          </cell>
          <cell r="C25" t="str">
            <v>5.58</v>
          </cell>
          <cell r="D25" t="str">
            <v>4.365.00</v>
          </cell>
          <cell r="E25" t="str">
            <v>pas à jour</v>
          </cell>
        </row>
        <row r="26">
          <cell r="A26" t="str">
            <v>GEAAU1DIST2</v>
          </cell>
          <cell r="B26" t="str">
            <v>ServerProtect for Windows</v>
          </cell>
          <cell r="C26" t="str">
            <v>5.58</v>
          </cell>
          <cell r="D26" t="str">
            <v>3.631.00</v>
          </cell>
          <cell r="E26" t="str">
            <v>pas à jour</v>
          </cell>
        </row>
        <row r="27">
          <cell r="A27" t="str">
            <v>GEAAV1DIST1</v>
          </cell>
          <cell r="B27" t="str">
            <v>ServerProtect for Windows</v>
          </cell>
          <cell r="C27" t="str">
            <v>5.58</v>
          </cell>
          <cell r="D27" t="str">
            <v>4.365.00</v>
          </cell>
          <cell r="E27" t="str">
            <v>pas à jour</v>
          </cell>
        </row>
        <row r="28">
          <cell r="A28" t="str">
            <v>GEAB11DIST1</v>
          </cell>
          <cell r="B28" t="str">
            <v>ServerProtect for Windows</v>
          </cell>
          <cell r="C28" t="str">
            <v>5.58</v>
          </cell>
          <cell r="D28" t="str">
            <v>2.993.00</v>
          </cell>
          <cell r="E28" t="str">
            <v>pas à jour</v>
          </cell>
        </row>
        <row r="29">
          <cell r="A29" t="str">
            <v>GEABA1BDCA1</v>
          </cell>
          <cell r="B29" t="str">
            <v>ServerProtect for Windows</v>
          </cell>
          <cell r="C29" t="str">
            <v>5.58</v>
          </cell>
          <cell r="D29" t="str">
            <v>4.365.00</v>
          </cell>
          <cell r="E29" t="str">
            <v>pas à jour</v>
          </cell>
        </row>
        <row r="30">
          <cell r="A30" t="str">
            <v>GEABA1BDCR1</v>
          </cell>
          <cell r="B30" t="str">
            <v>ServerProtect for Windows</v>
          </cell>
          <cell r="C30" t="str">
            <v>5.58</v>
          </cell>
          <cell r="D30" t="str">
            <v>2.432.00</v>
          </cell>
          <cell r="E30" t="str">
            <v>pas à jour</v>
          </cell>
        </row>
        <row r="31">
          <cell r="A31" t="str">
            <v>GEABA1BDCR1</v>
          </cell>
          <cell r="B31" t="str">
            <v>ServerProtect for Windows</v>
          </cell>
          <cell r="C31" t="str">
            <v>5.58</v>
          </cell>
          <cell r="D31" t="str">
            <v>4.365.00</v>
          </cell>
          <cell r="E31" t="str">
            <v>pas à jour</v>
          </cell>
        </row>
        <row r="32">
          <cell r="A32" t="str">
            <v>GEABA1FICH1</v>
          </cell>
          <cell r="B32" t="str">
            <v>ServerProtect for Windows</v>
          </cell>
          <cell r="C32" t="str">
            <v>5.58</v>
          </cell>
          <cell r="D32" t="str">
            <v>4.365.00</v>
          </cell>
          <cell r="E32" t="str">
            <v>pas à jour</v>
          </cell>
        </row>
        <row r="33">
          <cell r="A33" t="str">
            <v>GEABA1IMPR1</v>
          </cell>
          <cell r="B33" t="str">
            <v>ServerProtect for Windows</v>
          </cell>
          <cell r="C33" t="str">
            <v>5.58</v>
          </cell>
          <cell r="D33" t="str">
            <v>4.365.00</v>
          </cell>
          <cell r="E33" t="str">
            <v>pas à jour</v>
          </cell>
        </row>
        <row r="34">
          <cell r="A34" t="str">
            <v>GEABA1IMPR1_SPNT</v>
          </cell>
          <cell r="B34" t="str">
            <v>ServerProtect for Windows</v>
          </cell>
          <cell r="C34" t="str">
            <v>5.58</v>
          </cell>
          <cell r="D34" t="str">
            <v>4.365.00</v>
          </cell>
          <cell r="E34" t="str">
            <v>pas à jour</v>
          </cell>
        </row>
        <row r="35">
          <cell r="A35" t="str">
            <v>GEABA1PDCR1</v>
          </cell>
          <cell r="B35" t="str">
            <v>ServerProtect for Windows</v>
          </cell>
          <cell r="C35" t="str">
            <v>5.58</v>
          </cell>
          <cell r="D35" t="str">
            <v>4.365.00</v>
          </cell>
          <cell r="E35" t="str">
            <v>pas à jour</v>
          </cell>
        </row>
        <row r="36">
          <cell r="A36" t="str">
            <v>GEABB1DIST1</v>
          </cell>
          <cell r="B36" t="str">
            <v>ServerProtect for Windows</v>
          </cell>
          <cell r="C36" t="str">
            <v>5.58</v>
          </cell>
          <cell r="D36" t="str">
            <v>4.365.00</v>
          </cell>
          <cell r="E36" t="str">
            <v>pas à jour</v>
          </cell>
        </row>
        <row r="37">
          <cell r="A37" t="str">
            <v>GEABF1APPL1</v>
          </cell>
          <cell r="B37" t="str">
            <v>ServerProtect for Windows</v>
          </cell>
          <cell r="C37" t="str">
            <v>5.58</v>
          </cell>
          <cell r="D37" t="str">
            <v>4.365.00</v>
          </cell>
          <cell r="E37" t="str">
            <v>pas à jour</v>
          </cell>
        </row>
        <row r="38">
          <cell r="A38" t="str">
            <v>GEABF1DIST1</v>
          </cell>
          <cell r="B38" t="str">
            <v>ServerProtect for Windows</v>
          </cell>
          <cell r="C38" t="str">
            <v>5.58</v>
          </cell>
          <cell r="D38" t="str">
            <v>4.365.00</v>
          </cell>
          <cell r="E38" t="str">
            <v>pas à jour</v>
          </cell>
        </row>
        <row r="39">
          <cell r="A39" t="str">
            <v>GEABH1DIFT1</v>
          </cell>
          <cell r="B39" t="str">
            <v>ServerProtect for Windows</v>
          </cell>
          <cell r="C39" t="str">
            <v>5.58</v>
          </cell>
          <cell r="D39" t="str">
            <v>4.367.00</v>
          </cell>
          <cell r="E39" t="str">
            <v>à jour</v>
          </cell>
        </row>
        <row r="40">
          <cell r="A40" t="str">
            <v>GEABJ1DIST1</v>
          </cell>
          <cell r="B40" t="str">
            <v>ServerProtect for Windows</v>
          </cell>
          <cell r="C40" t="str">
            <v>5.58</v>
          </cell>
          <cell r="D40" t="str">
            <v>4.365.00</v>
          </cell>
          <cell r="E40" t="str">
            <v>pas à jour</v>
          </cell>
        </row>
        <row r="41">
          <cell r="A41" t="str">
            <v>GEABK1DIST1</v>
          </cell>
          <cell r="B41" t="str">
            <v>ServerProtect for Windows</v>
          </cell>
          <cell r="D41" t="str">
            <v>3.731.00</v>
          </cell>
          <cell r="E41" t="str">
            <v>pas à jour</v>
          </cell>
        </row>
        <row r="42">
          <cell r="A42" t="str">
            <v>GEABL1DIST1</v>
          </cell>
          <cell r="B42" t="str">
            <v>ServerProtect for Windows</v>
          </cell>
          <cell r="C42" t="str">
            <v>5.58</v>
          </cell>
          <cell r="D42" t="str">
            <v>4.365.00</v>
          </cell>
          <cell r="E42" t="str">
            <v>pas à jour</v>
          </cell>
        </row>
        <row r="43">
          <cell r="A43" t="str">
            <v>GEABL1POPP01</v>
          </cell>
          <cell r="B43" t="str">
            <v>ServerProtect for Windows</v>
          </cell>
          <cell r="C43" t="str">
            <v>5.58</v>
          </cell>
          <cell r="D43" t="str">
            <v>4.367.00</v>
          </cell>
          <cell r="E43" t="str">
            <v>à jour</v>
          </cell>
        </row>
        <row r="44">
          <cell r="A44" t="str">
            <v>GEABN1DIST1</v>
          </cell>
          <cell r="B44" t="str">
            <v>ServerProtect for Windows</v>
          </cell>
          <cell r="C44" t="str">
            <v>5.58</v>
          </cell>
          <cell r="D44" t="str">
            <v>4.365.00</v>
          </cell>
          <cell r="E44" t="str">
            <v>pas à jour</v>
          </cell>
        </row>
        <row r="45">
          <cell r="A45" t="str">
            <v>GEABO1DIST1</v>
          </cell>
          <cell r="B45" t="str">
            <v>ServerProtect for Windows</v>
          </cell>
          <cell r="C45" t="str">
            <v>5.58</v>
          </cell>
          <cell r="D45" t="str">
            <v>4.365.00</v>
          </cell>
          <cell r="E45" t="str">
            <v>pas à jour</v>
          </cell>
        </row>
        <row r="46">
          <cell r="A46" t="str">
            <v>GEABR1BDCA1</v>
          </cell>
          <cell r="B46" t="str">
            <v>ServerProtect for Windows</v>
          </cell>
          <cell r="C46" t="str">
            <v>5.58</v>
          </cell>
          <cell r="D46" t="str">
            <v>4.365.00</v>
          </cell>
          <cell r="E46" t="str">
            <v>pas à jour</v>
          </cell>
        </row>
        <row r="47">
          <cell r="A47" t="str">
            <v>GEABR1BDCR1</v>
          </cell>
          <cell r="B47" t="str">
            <v>ServerProtect for Windows</v>
          </cell>
          <cell r="C47" t="str">
            <v>5.58</v>
          </cell>
          <cell r="D47" t="str">
            <v>4.365.00</v>
          </cell>
          <cell r="E47" t="str">
            <v>pas à jour</v>
          </cell>
        </row>
        <row r="48">
          <cell r="A48" t="str">
            <v>GEABR1FICH1</v>
          </cell>
          <cell r="B48" t="str">
            <v>ServerProtect for Windows</v>
          </cell>
          <cell r="C48" t="str">
            <v>5.58</v>
          </cell>
          <cell r="D48" t="str">
            <v>4.365.00</v>
          </cell>
          <cell r="E48" t="str">
            <v>pas à jour</v>
          </cell>
        </row>
        <row r="49">
          <cell r="A49" t="str">
            <v>GEABR1IMPR1</v>
          </cell>
          <cell r="B49" t="str">
            <v>ServerProtect for Windows</v>
          </cell>
          <cell r="C49" t="str">
            <v>5.58</v>
          </cell>
          <cell r="D49" t="str">
            <v>4.365.00</v>
          </cell>
          <cell r="E49" t="str">
            <v>pas à jour</v>
          </cell>
        </row>
        <row r="50">
          <cell r="A50" t="str">
            <v>GEABR1IMPR1_SPNT</v>
          </cell>
          <cell r="B50" t="str">
            <v>ServerProtect for Windows</v>
          </cell>
          <cell r="C50" t="str">
            <v>5.58</v>
          </cell>
          <cell r="D50" t="str">
            <v>4.365.00</v>
          </cell>
          <cell r="E50" t="str">
            <v>pas à jour</v>
          </cell>
        </row>
        <row r="51">
          <cell r="A51" t="str">
            <v>GEABR1PDCR1</v>
          </cell>
          <cell r="B51" t="str">
            <v>ServerProtect for Windows</v>
          </cell>
          <cell r="C51" t="str">
            <v>5.58</v>
          </cell>
          <cell r="D51" t="str">
            <v>4.365.00</v>
          </cell>
          <cell r="E51" t="str">
            <v>pas à jour</v>
          </cell>
        </row>
        <row r="52">
          <cell r="A52" t="str">
            <v>GEABRS1DIFT1</v>
          </cell>
          <cell r="B52" t="str">
            <v>ServerProtect for Windows</v>
          </cell>
          <cell r="C52" t="str">
            <v>5.58</v>
          </cell>
          <cell r="D52" t="str">
            <v>4.367.00</v>
          </cell>
          <cell r="E52" t="str">
            <v>à jour</v>
          </cell>
        </row>
        <row r="53">
          <cell r="A53" t="str">
            <v>GEABS1DIST1</v>
          </cell>
          <cell r="B53" t="str">
            <v>ServerProtect for Windows</v>
          </cell>
          <cell r="D53" t="str">
            <v>2.689.00</v>
          </cell>
          <cell r="E53" t="str">
            <v>pas à jour</v>
          </cell>
        </row>
        <row r="54">
          <cell r="A54" t="str">
            <v>GEABUC1DIFT1</v>
          </cell>
          <cell r="B54" t="str">
            <v>ServerProtect for Windows</v>
          </cell>
          <cell r="C54" t="str">
            <v>5.58</v>
          </cell>
          <cell r="D54" t="str">
            <v>4.367.00</v>
          </cell>
          <cell r="E54" t="str">
            <v>à jour</v>
          </cell>
        </row>
        <row r="55">
          <cell r="A55" t="str">
            <v>GEABUD1DIFT1</v>
          </cell>
          <cell r="B55" t="str">
            <v>ServerProtect for Windows</v>
          </cell>
          <cell r="C55" t="str">
            <v>5.58</v>
          </cell>
          <cell r="D55" t="str">
            <v>4.367.00</v>
          </cell>
          <cell r="E55" t="str">
            <v>à jour</v>
          </cell>
        </row>
        <row r="56">
          <cell r="A56" t="str">
            <v>GEABUR1DIFT1</v>
          </cell>
          <cell r="B56" t="str">
            <v>ServerProtect for Windows</v>
          </cell>
          <cell r="C56" t="str">
            <v>5.58</v>
          </cell>
          <cell r="D56" t="str">
            <v>4.367.00</v>
          </cell>
          <cell r="E56" t="str">
            <v>à jour</v>
          </cell>
        </row>
        <row r="57">
          <cell r="A57" t="str">
            <v>GEABX1DIFT1</v>
          </cell>
          <cell r="B57" t="str">
            <v>ServerProtect for Windows</v>
          </cell>
          <cell r="C57" t="str">
            <v>5.58</v>
          </cell>
          <cell r="D57" t="str">
            <v>4.367.00</v>
          </cell>
          <cell r="E57" t="str">
            <v>à jour</v>
          </cell>
        </row>
        <row r="58">
          <cell r="A58" t="str">
            <v>GEABX1DIST1</v>
          </cell>
          <cell r="B58" t="str">
            <v>ServerProtect for Windows</v>
          </cell>
          <cell r="C58" t="str">
            <v>5.58</v>
          </cell>
          <cell r="D58" t="str">
            <v>3.527.00</v>
          </cell>
          <cell r="E58" t="str">
            <v>pas à jour</v>
          </cell>
        </row>
        <row r="59">
          <cell r="A59" t="str">
            <v>GEABY1ITEM01</v>
          </cell>
          <cell r="B59" t="str">
            <v>ServerProtect for Windows</v>
          </cell>
          <cell r="C59" t="str">
            <v>5.58</v>
          </cell>
          <cell r="D59" t="str">
            <v>4.367.00</v>
          </cell>
          <cell r="E59" t="str">
            <v>à jour</v>
          </cell>
        </row>
        <row r="60">
          <cell r="A60" t="str">
            <v>GEAC00WTSE0</v>
          </cell>
          <cell r="B60" t="str">
            <v>ServerProtect for Windows</v>
          </cell>
          <cell r="C60" t="str">
            <v>5.58</v>
          </cell>
          <cell r="D60" t="str">
            <v>4.335.00</v>
          </cell>
          <cell r="E60" t="str">
            <v>pas à jour</v>
          </cell>
        </row>
        <row r="61">
          <cell r="A61" t="str">
            <v>GEAC012K3S01</v>
          </cell>
          <cell r="B61" t="str">
            <v>ServerProtect for Windows</v>
          </cell>
          <cell r="C61" t="str">
            <v>5.58</v>
          </cell>
          <cell r="D61" t="str">
            <v>4.367.00</v>
          </cell>
          <cell r="E61" t="str">
            <v>à jour</v>
          </cell>
        </row>
        <row r="62">
          <cell r="A62" t="str">
            <v>GEAC012K3S03</v>
          </cell>
          <cell r="B62" t="str">
            <v>ServerProtect for Windows</v>
          </cell>
          <cell r="C62" t="str">
            <v>5.58</v>
          </cell>
          <cell r="D62" t="str">
            <v>3.627.00</v>
          </cell>
          <cell r="E62" t="str">
            <v>pas à jour</v>
          </cell>
        </row>
        <row r="63">
          <cell r="A63" t="str">
            <v>GEAC012K3S10</v>
          </cell>
          <cell r="B63" t="str">
            <v>ServerProtect for Windows</v>
          </cell>
          <cell r="C63" t="str">
            <v>5.58</v>
          </cell>
          <cell r="D63" t="str">
            <v>4.367.00</v>
          </cell>
          <cell r="E63" t="str">
            <v>à jour</v>
          </cell>
        </row>
        <row r="64">
          <cell r="A64" t="str">
            <v>GEAC01ABT02</v>
          </cell>
          <cell r="B64" t="str">
            <v>ServerProtect for Windows</v>
          </cell>
          <cell r="C64" t="str">
            <v>5.58</v>
          </cell>
          <cell r="D64" t="str">
            <v>4.367.00</v>
          </cell>
          <cell r="E64" t="str">
            <v>à jour</v>
          </cell>
        </row>
        <row r="65">
          <cell r="A65" t="str">
            <v>GEAC01ALTI01</v>
          </cell>
          <cell r="B65" t="str">
            <v>ServerProtect for Windows</v>
          </cell>
          <cell r="C65" t="str">
            <v>5.58</v>
          </cell>
          <cell r="D65" t="str">
            <v>4.367.00</v>
          </cell>
          <cell r="E65" t="str">
            <v>à jour</v>
          </cell>
        </row>
        <row r="66">
          <cell r="A66" t="str">
            <v>GEAC01ALTI02</v>
          </cell>
          <cell r="B66" t="str">
            <v>ServerProtect for Windows</v>
          </cell>
          <cell r="C66" t="str">
            <v>5.58</v>
          </cell>
          <cell r="D66" t="str">
            <v>4.367.00</v>
          </cell>
          <cell r="E66" t="str">
            <v>à jour</v>
          </cell>
        </row>
        <row r="67">
          <cell r="A67" t="str">
            <v>GEAC01BDCA1</v>
          </cell>
          <cell r="B67" t="str">
            <v>ServerProtect for Windows</v>
          </cell>
          <cell r="C67" t="str">
            <v>5.58</v>
          </cell>
          <cell r="D67" t="str">
            <v>4.367.00</v>
          </cell>
          <cell r="E67" t="str">
            <v>à jour</v>
          </cell>
        </row>
        <row r="68">
          <cell r="A68" t="str">
            <v>GEAC01BDCA2</v>
          </cell>
          <cell r="B68" t="str">
            <v>ServerProtect for Windows</v>
          </cell>
          <cell r="C68" t="str">
            <v>5.58</v>
          </cell>
          <cell r="D68" t="str">
            <v>4.367.00</v>
          </cell>
          <cell r="E68" t="str">
            <v>à jour</v>
          </cell>
        </row>
        <row r="69">
          <cell r="A69" t="str">
            <v>GEAC01BDCA3</v>
          </cell>
          <cell r="B69" t="str">
            <v>ServerProtect for Windows</v>
          </cell>
          <cell r="C69" t="str">
            <v>5.58</v>
          </cell>
          <cell r="D69" t="str">
            <v>3.975.00</v>
          </cell>
          <cell r="E69" t="str">
            <v>pas à jour</v>
          </cell>
        </row>
        <row r="70">
          <cell r="A70" t="str">
            <v>GEAC01BDCA4</v>
          </cell>
          <cell r="B70" t="str">
            <v>ServerProtect for Windows</v>
          </cell>
          <cell r="C70" t="str">
            <v>5.58</v>
          </cell>
          <cell r="D70" t="str">
            <v>4.367.00</v>
          </cell>
          <cell r="E70" t="str">
            <v>à jour</v>
          </cell>
        </row>
        <row r="71">
          <cell r="A71" t="str">
            <v>GEAC01BDCG1</v>
          </cell>
          <cell r="B71" t="str">
            <v>ServerProtect for Windows</v>
          </cell>
          <cell r="C71" t="str">
            <v>5.58</v>
          </cell>
          <cell r="D71" t="str">
            <v>4.367.00</v>
          </cell>
          <cell r="E71" t="str">
            <v>à jour</v>
          </cell>
        </row>
        <row r="72">
          <cell r="A72" t="str">
            <v>GEAC01BDCG2</v>
          </cell>
          <cell r="B72" t="str">
            <v>ServerProtect for Windows</v>
          </cell>
          <cell r="C72" t="str">
            <v>5.58</v>
          </cell>
          <cell r="D72" t="str">
            <v>4.367.00</v>
          </cell>
          <cell r="E72" t="str">
            <v>à jour</v>
          </cell>
        </row>
        <row r="73">
          <cell r="A73" t="str">
            <v>GEAC01BDCR1</v>
          </cell>
          <cell r="B73" t="str">
            <v>ServerProtect for Windows</v>
          </cell>
          <cell r="C73" t="str">
            <v>5.58</v>
          </cell>
          <cell r="D73" t="str">
            <v>4.367.00</v>
          </cell>
          <cell r="E73" t="str">
            <v>à jour</v>
          </cell>
        </row>
        <row r="74">
          <cell r="A74" t="str">
            <v>GEAC01BDCR2</v>
          </cell>
          <cell r="B74" t="str">
            <v>ServerProtect for Windows</v>
          </cell>
          <cell r="C74" t="str">
            <v>5.58</v>
          </cell>
          <cell r="D74" t="str">
            <v>4.367.00</v>
          </cell>
          <cell r="E74" t="str">
            <v>à jour</v>
          </cell>
        </row>
        <row r="75">
          <cell r="A75" t="str">
            <v>GEAC01BDCR2_OSCE</v>
          </cell>
          <cell r="B75" t="str">
            <v>OfficeScan Corporate Edition</v>
          </cell>
          <cell r="C75" t="str">
            <v>5.58</v>
          </cell>
          <cell r="D75" t="str">
            <v>4.367.00</v>
          </cell>
          <cell r="E75" t="str">
            <v>à jour</v>
          </cell>
        </row>
        <row r="76">
          <cell r="A76" t="str">
            <v>GEAC01BDCR4</v>
          </cell>
          <cell r="B76" t="str">
            <v>ServerProtect for Windows</v>
          </cell>
          <cell r="C76" t="str">
            <v>5.58</v>
          </cell>
          <cell r="D76" t="str">
            <v>4.335.00</v>
          </cell>
          <cell r="E76" t="str">
            <v>pas à jour</v>
          </cell>
        </row>
        <row r="77">
          <cell r="A77" t="str">
            <v>GEAC01BSEA</v>
          </cell>
          <cell r="B77" t="str">
            <v>ServerProtect for Windows</v>
          </cell>
          <cell r="C77" t="str">
            <v>5.58</v>
          </cell>
          <cell r="D77" t="str">
            <v>4.367.00</v>
          </cell>
          <cell r="E77" t="str">
            <v>à jour</v>
          </cell>
        </row>
        <row r="78">
          <cell r="A78" t="str">
            <v>GEAC01BSEB</v>
          </cell>
          <cell r="B78" t="str">
            <v>ServerProtect for Windows</v>
          </cell>
          <cell r="C78" t="str">
            <v>5.58</v>
          </cell>
          <cell r="D78" t="str">
            <v>4.367.00</v>
          </cell>
          <cell r="E78" t="str">
            <v>à jour</v>
          </cell>
        </row>
        <row r="79">
          <cell r="A79" t="str">
            <v>GEAC01CADD01</v>
          </cell>
          <cell r="B79" t="str">
            <v>ServerProtect for Windows</v>
          </cell>
          <cell r="C79" t="str">
            <v>5.58</v>
          </cell>
          <cell r="D79" t="str">
            <v>4.367.00</v>
          </cell>
          <cell r="E79" t="str">
            <v>à jour</v>
          </cell>
        </row>
        <row r="80">
          <cell r="A80" t="str">
            <v>GEAC01CADD01_SPNT</v>
          </cell>
          <cell r="B80" t="str">
            <v>ServerProtect for Windows</v>
          </cell>
          <cell r="C80" t="str">
            <v>5.58</v>
          </cell>
          <cell r="D80" t="str">
            <v>4.367.00</v>
          </cell>
          <cell r="E80" t="str">
            <v>à jour</v>
          </cell>
        </row>
        <row r="81">
          <cell r="A81" t="str">
            <v>GEAC01CADD02</v>
          </cell>
          <cell r="B81" t="str">
            <v>ServerProtect for Windows</v>
          </cell>
          <cell r="C81" t="str">
            <v>5.58</v>
          </cell>
          <cell r="D81" t="str">
            <v>4.367.00</v>
          </cell>
          <cell r="E81" t="str">
            <v>à jour</v>
          </cell>
        </row>
        <row r="82">
          <cell r="A82" t="str">
            <v>GEAC01CADD03</v>
          </cell>
          <cell r="B82" t="str">
            <v>ServerProtect for Windows</v>
          </cell>
          <cell r="C82" t="str">
            <v>5.58</v>
          </cell>
          <cell r="D82" t="str">
            <v>4.367.00</v>
          </cell>
          <cell r="E82" t="str">
            <v>à jour</v>
          </cell>
        </row>
        <row r="83">
          <cell r="A83" t="str">
            <v>GEAC01CADD03_SPNT</v>
          </cell>
          <cell r="B83" t="str">
            <v>ServerProtect for Windows</v>
          </cell>
          <cell r="C83" t="str">
            <v>5.58</v>
          </cell>
          <cell r="D83" t="str">
            <v>4.367.00</v>
          </cell>
          <cell r="E83" t="str">
            <v>à jour</v>
          </cell>
        </row>
        <row r="84">
          <cell r="A84" t="str">
            <v>GEAC01CADD04</v>
          </cell>
          <cell r="B84" t="str">
            <v>ServerProtect for Windows</v>
          </cell>
          <cell r="C84" t="str">
            <v>5.58</v>
          </cell>
          <cell r="D84" t="str">
            <v>4.367.00</v>
          </cell>
          <cell r="E84" t="str">
            <v>à jour</v>
          </cell>
        </row>
        <row r="85">
          <cell r="A85" t="str">
            <v>GEAC01CADD04_SPNT</v>
          </cell>
          <cell r="B85" t="str">
            <v>ServerProtect for Windows</v>
          </cell>
          <cell r="C85" t="str">
            <v>5.58</v>
          </cell>
          <cell r="D85" t="str">
            <v>4.367.00</v>
          </cell>
          <cell r="E85" t="str">
            <v>à jour</v>
          </cell>
        </row>
        <row r="86">
          <cell r="A86" t="str">
            <v>GEAC01CADD05</v>
          </cell>
          <cell r="B86" t="str">
            <v>ServerProtect for Windows</v>
          </cell>
          <cell r="C86" t="str">
            <v>5.58</v>
          </cell>
          <cell r="D86" t="str">
            <v>3.967.00</v>
          </cell>
          <cell r="E86" t="str">
            <v>pas à jour</v>
          </cell>
        </row>
        <row r="87">
          <cell r="A87" t="str">
            <v>GEAC01CADD05</v>
          </cell>
          <cell r="B87" t="str">
            <v>ServerProtect for Windows</v>
          </cell>
          <cell r="C87" t="str">
            <v>5.58</v>
          </cell>
          <cell r="D87" t="str">
            <v>4.367.00</v>
          </cell>
          <cell r="E87" t="str">
            <v>à jour</v>
          </cell>
        </row>
        <row r="88">
          <cell r="A88" t="str">
            <v>GEAC01CADD05_SPNT</v>
          </cell>
          <cell r="B88" t="str">
            <v>ServerProtect for Windows</v>
          </cell>
          <cell r="C88" t="str">
            <v>5.58</v>
          </cell>
          <cell r="D88" t="str">
            <v>3.967.00</v>
          </cell>
          <cell r="E88" t="str">
            <v>pas à jour</v>
          </cell>
        </row>
        <row r="89">
          <cell r="A89" t="str">
            <v>GEAC01CADS01</v>
          </cell>
          <cell r="B89" t="str">
            <v>ServerProtect for Windows</v>
          </cell>
          <cell r="C89" t="str">
            <v>5.58</v>
          </cell>
          <cell r="D89" t="str">
            <v>4.367.00</v>
          </cell>
          <cell r="E89" t="str">
            <v>à jour</v>
          </cell>
        </row>
        <row r="90">
          <cell r="A90" t="str">
            <v>GEAC01CADS02</v>
          </cell>
          <cell r="B90" t="str">
            <v>ServerProtect for Windows</v>
          </cell>
          <cell r="C90" t="str">
            <v>5.58</v>
          </cell>
          <cell r="D90" t="str">
            <v>4.367.00</v>
          </cell>
          <cell r="E90" t="str">
            <v>à jour</v>
          </cell>
        </row>
        <row r="91">
          <cell r="A91" t="str">
            <v>GEAC01CADS03</v>
          </cell>
          <cell r="B91" t="str">
            <v>ServerProtect for Windows</v>
          </cell>
          <cell r="C91" t="str">
            <v>5.58</v>
          </cell>
          <cell r="D91" t="str">
            <v>4.367.00</v>
          </cell>
          <cell r="E91" t="str">
            <v>à jour</v>
          </cell>
        </row>
        <row r="92">
          <cell r="A92" t="str">
            <v>GEAC01CADS03_SPNT</v>
          </cell>
          <cell r="B92" t="str">
            <v>ServerProtect for Windows</v>
          </cell>
          <cell r="C92" t="str">
            <v>5.58</v>
          </cell>
          <cell r="D92" t="str">
            <v>4.367.00</v>
          </cell>
          <cell r="E92" t="str">
            <v>à jour</v>
          </cell>
        </row>
        <row r="93">
          <cell r="A93" t="str">
            <v>GEAC01CHAR01</v>
          </cell>
          <cell r="B93" t="str">
            <v>ServerProtect for Windows</v>
          </cell>
          <cell r="C93" t="str">
            <v>5.58</v>
          </cell>
          <cell r="D93" t="str">
            <v>4.367.00</v>
          </cell>
          <cell r="E93" t="str">
            <v>à jour</v>
          </cell>
        </row>
        <row r="94">
          <cell r="A94" t="str">
            <v>GEAC01CHAR02A</v>
          </cell>
          <cell r="B94" t="str">
            <v>ServerProtect for Windows</v>
          </cell>
          <cell r="C94" t="str">
            <v>5.58</v>
          </cell>
          <cell r="D94" t="str">
            <v>4.367.00</v>
          </cell>
          <cell r="E94" t="str">
            <v>à jour</v>
          </cell>
        </row>
        <row r="95">
          <cell r="A95" t="str">
            <v>GEAC01CHAR02B</v>
          </cell>
          <cell r="B95" t="str">
            <v>ServerProtect for Windows</v>
          </cell>
          <cell r="C95" t="str">
            <v>5.58</v>
          </cell>
          <cell r="D95" t="str">
            <v>4.367.00</v>
          </cell>
          <cell r="E95" t="str">
            <v>à jour</v>
          </cell>
        </row>
        <row r="96">
          <cell r="A96" t="str">
            <v>GEAC01CHAR03A</v>
          </cell>
          <cell r="B96" t="str">
            <v>ServerProtect for Windows</v>
          </cell>
          <cell r="C96" t="str">
            <v>5.58</v>
          </cell>
          <cell r="D96" t="str">
            <v>4.367.00</v>
          </cell>
          <cell r="E96" t="str">
            <v>à jour</v>
          </cell>
        </row>
        <row r="97">
          <cell r="A97" t="str">
            <v>GEAC01CHAR03B</v>
          </cell>
          <cell r="B97" t="str">
            <v>ServerProtect for Windows</v>
          </cell>
          <cell r="C97" t="str">
            <v>5.58</v>
          </cell>
          <cell r="D97" t="str">
            <v>4.367.00</v>
          </cell>
          <cell r="E97" t="str">
            <v>à jour</v>
          </cell>
        </row>
        <row r="98">
          <cell r="A98" t="str">
            <v>GEAC01CLAR01</v>
          </cell>
          <cell r="B98" t="str">
            <v>ServerProtect for Windows</v>
          </cell>
          <cell r="C98" t="str">
            <v>5.58</v>
          </cell>
          <cell r="D98" t="str">
            <v>4.367.00</v>
          </cell>
          <cell r="E98" t="str">
            <v>à jour</v>
          </cell>
        </row>
        <row r="99">
          <cell r="A99" t="str">
            <v>GEAC01CLMS02</v>
          </cell>
          <cell r="B99" t="str">
            <v>ServerProtect for Windows</v>
          </cell>
          <cell r="C99" t="str">
            <v>5.58</v>
          </cell>
          <cell r="D99" t="str">
            <v>4.367.00</v>
          </cell>
          <cell r="E99" t="str">
            <v>à jour</v>
          </cell>
        </row>
        <row r="100">
          <cell r="A100" t="str">
            <v>GEAC01CLRJ01</v>
          </cell>
          <cell r="B100" t="str">
            <v>ServerProtect for Windows</v>
          </cell>
          <cell r="C100" t="str">
            <v>5.58</v>
          </cell>
          <cell r="D100" t="str">
            <v>4.367.00</v>
          </cell>
          <cell r="E100" t="str">
            <v>à jour</v>
          </cell>
        </row>
        <row r="101">
          <cell r="A101" t="str">
            <v>GEAC01CLT10A</v>
          </cell>
          <cell r="B101" t="str">
            <v>ServerProtect for Windows</v>
          </cell>
          <cell r="C101" t="str">
            <v>5.58</v>
          </cell>
          <cell r="D101" t="str">
            <v>4.367.00</v>
          </cell>
          <cell r="E101" t="str">
            <v>à jour</v>
          </cell>
        </row>
        <row r="102">
          <cell r="A102" t="str">
            <v>GEAC01CLT10B</v>
          </cell>
          <cell r="B102" t="str">
            <v>ServerProtect for Windows</v>
          </cell>
          <cell r="C102" t="str">
            <v>5.58</v>
          </cell>
          <cell r="D102" t="str">
            <v>4.367.00</v>
          </cell>
          <cell r="E102" t="str">
            <v>à jour</v>
          </cell>
        </row>
        <row r="103">
          <cell r="A103" t="str">
            <v>GEAC01CLT12A</v>
          </cell>
          <cell r="B103" t="str">
            <v>ServerProtect for Windows</v>
          </cell>
          <cell r="C103" t="str">
            <v>5.58</v>
          </cell>
          <cell r="D103" t="str">
            <v>4.367.00</v>
          </cell>
          <cell r="E103" t="str">
            <v>à jour</v>
          </cell>
        </row>
        <row r="104">
          <cell r="A104" t="str">
            <v>GEAC01CLT12B</v>
          </cell>
          <cell r="B104" t="str">
            <v>ServerProtect for Windows</v>
          </cell>
          <cell r="C104" t="str">
            <v>5.58</v>
          </cell>
          <cell r="D104" t="str">
            <v>4.367.00</v>
          </cell>
          <cell r="E104" t="str">
            <v>à jour</v>
          </cell>
        </row>
        <row r="105">
          <cell r="A105" t="str">
            <v>GEAC01CLT14A</v>
          </cell>
          <cell r="B105" t="str">
            <v>ServerProtect for Windows</v>
          </cell>
          <cell r="C105" t="str">
            <v>5.58</v>
          </cell>
          <cell r="D105" t="str">
            <v>4.367.00</v>
          </cell>
          <cell r="E105" t="str">
            <v>à jour</v>
          </cell>
        </row>
        <row r="106">
          <cell r="A106" t="str">
            <v>GEAC01CLT14B</v>
          </cell>
          <cell r="B106" t="str">
            <v>ServerProtect for Windows</v>
          </cell>
          <cell r="C106" t="str">
            <v>5.58</v>
          </cell>
          <cell r="D106" t="str">
            <v>4.367.00</v>
          </cell>
          <cell r="E106" t="str">
            <v>à jour</v>
          </cell>
        </row>
        <row r="107">
          <cell r="A107" t="str">
            <v>GEAC01CLT15B</v>
          </cell>
          <cell r="B107" t="str">
            <v>ServerProtect for Windows</v>
          </cell>
          <cell r="C107" t="str">
            <v>5.58</v>
          </cell>
          <cell r="D107" t="str">
            <v>2.831.00</v>
          </cell>
          <cell r="E107" t="str">
            <v>pas à jour</v>
          </cell>
        </row>
        <row r="108">
          <cell r="A108" t="str">
            <v>GEAC01CLT15B</v>
          </cell>
          <cell r="B108" t="str">
            <v>ServerProtect for Windows</v>
          </cell>
          <cell r="C108" t="str">
            <v>5.58</v>
          </cell>
          <cell r="D108" t="str">
            <v>4.367.00</v>
          </cell>
          <cell r="E108" t="str">
            <v>à jour</v>
          </cell>
        </row>
        <row r="109">
          <cell r="A109" t="str">
            <v>GEAC01CLT16A</v>
          </cell>
          <cell r="B109" t="str">
            <v>ServerProtect for Windows</v>
          </cell>
          <cell r="C109" t="str">
            <v>5.58</v>
          </cell>
          <cell r="D109" t="str">
            <v>4.283.00</v>
          </cell>
          <cell r="E109" t="str">
            <v>pas à jour</v>
          </cell>
        </row>
        <row r="110">
          <cell r="A110" t="str">
            <v>GEAC01CLT16B</v>
          </cell>
          <cell r="B110" t="str">
            <v>ServerProtect for Windows</v>
          </cell>
          <cell r="C110" t="str">
            <v>5.58</v>
          </cell>
          <cell r="D110" t="str">
            <v>4.367.00</v>
          </cell>
          <cell r="E110" t="str">
            <v>à jour</v>
          </cell>
        </row>
        <row r="111">
          <cell r="A111" t="str">
            <v>GEAC01CLT17A</v>
          </cell>
          <cell r="B111" t="str">
            <v>ServerProtect for Windows</v>
          </cell>
          <cell r="C111" t="str">
            <v>5.58</v>
          </cell>
          <cell r="D111" t="str">
            <v>4.367.00</v>
          </cell>
          <cell r="E111" t="str">
            <v>à jour</v>
          </cell>
        </row>
        <row r="112">
          <cell r="A112" t="str">
            <v>GEAC01CLT17B</v>
          </cell>
          <cell r="B112" t="str">
            <v>ServerProtect for Windows</v>
          </cell>
          <cell r="C112" t="str">
            <v>5.58</v>
          </cell>
          <cell r="D112" t="str">
            <v>4.367.00</v>
          </cell>
          <cell r="E112" t="str">
            <v>à jour</v>
          </cell>
        </row>
        <row r="113">
          <cell r="A113" t="str">
            <v>GEAC01CLT1A</v>
          </cell>
          <cell r="B113" t="str">
            <v>ServerProtect for Windows</v>
          </cell>
          <cell r="C113" t="str">
            <v>5.58</v>
          </cell>
          <cell r="D113" t="str">
            <v>4.367.00</v>
          </cell>
          <cell r="E113" t="str">
            <v>à jour</v>
          </cell>
        </row>
        <row r="114">
          <cell r="A114" t="str">
            <v>GEAC01CLT1B</v>
          </cell>
          <cell r="B114" t="str">
            <v>ServerProtect for Windows</v>
          </cell>
          <cell r="C114" t="str">
            <v>5.58</v>
          </cell>
          <cell r="D114" t="str">
            <v>3.645.00</v>
          </cell>
          <cell r="E114" t="str">
            <v>pas à jour</v>
          </cell>
        </row>
        <row r="115">
          <cell r="A115" t="str">
            <v>GEAC01CLT2A</v>
          </cell>
          <cell r="B115" t="str">
            <v>ServerProtect for Windows</v>
          </cell>
          <cell r="C115" t="str">
            <v>5.58</v>
          </cell>
          <cell r="D115" t="str">
            <v>4.367.00</v>
          </cell>
          <cell r="E115" t="str">
            <v>à jour</v>
          </cell>
        </row>
        <row r="116">
          <cell r="A116" t="str">
            <v>GEAC01CLT2B</v>
          </cell>
          <cell r="B116" t="str">
            <v>ServerProtect for Windows</v>
          </cell>
          <cell r="C116" t="str">
            <v>5.58</v>
          </cell>
          <cell r="D116" t="str">
            <v>4.367.00</v>
          </cell>
          <cell r="E116" t="str">
            <v>à jour</v>
          </cell>
        </row>
        <row r="117">
          <cell r="A117" t="str">
            <v>GEAC01CLT4A</v>
          </cell>
          <cell r="B117" t="str">
            <v>ServerProtect for Windows</v>
          </cell>
          <cell r="C117" t="str">
            <v>5.58</v>
          </cell>
          <cell r="D117" t="str">
            <v>3.451.00</v>
          </cell>
          <cell r="E117" t="str">
            <v>pas à jour</v>
          </cell>
        </row>
        <row r="118">
          <cell r="A118" t="str">
            <v>GEAC01CLT4B</v>
          </cell>
          <cell r="B118" t="str">
            <v>ServerProtect for Windows</v>
          </cell>
          <cell r="C118" t="str">
            <v>5.58</v>
          </cell>
          <cell r="D118" t="str">
            <v>4.367.00</v>
          </cell>
          <cell r="E118" t="str">
            <v>à jour</v>
          </cell>
        </row>
        <row r="119">
          <cell r="A119" t="str">
            <v>GEAC01CLT9A</v>
          </cell>
          <cell r="B119" t="str">
            <v>ServerProtect for Windows</v>
          </cell>
          <cell r="C119" t="str">
            <v>5.58</v>
          </cell>
          <cell r="D119" t="str">
            <v>4.367.00</v>
          </cell>
          <cell r="E119" t="str">
            <v>à jour</v>
          </cell>
        </row>
        <row r="120">
          <cell r="A120" t="str">
            <v>GEAC01CLT9B</v>
          </cell>
          <cell r="B120" t="str">
            <v>ServerProtect for Windows</v>
          </cell>
          <cell r="C120" t="str">
            <v>5.58</v>
          </cell>
          <cell r="D120" t="str">
            <v>4.367.00</v>
          </cell>
          <cell r="E120" t="str">
            <v>à jour</v>
          </cell>
        </row>
        <row r="121">
          <cell r="A121" t="str">
            <v>GEAC01CSAP01</v>
          </cell>
          <cell r="B121" t="str">
            <v>ServerProtect for Windows</v>
          </cell>
          <cell r="C121" t="str">
            <v>5.58</v>
          </cell>
          <cell r="D121" t="str">
            <v>4.367.00</v>
          </cell>
          <cell r="E121" t="str">
            <v>à jour</v>
          </cell>
        </row>
        <row r="122">
          <cell r="A122" t="str">
            <v>GEAC01DCLP01</v>
          </cell>
          <cell r="B122" t="str">
            <v>ServerProtect for Windows</v>
          </cell>
          <cell r="C122" t="str">
            <v>5.58</v>
          </cell>
          <cell r="D122" t="str">
            <v>4.367.00</v>
          </cell>
          <cell r="E122" t="str">
            <v>à jour</v>
          </cell>
        </row>
        <row r="123">
          <cell r="A123" t="str">
            <v>GEAC01DELF1</v>
          </cell>
          <cell r="B123" t="str">
            <v>ServerProtect for Windows</v>
          </cell>
          <cell r="C123" t="str">
            <v>5.58</v>
          </cell>
          <cell r="D123" t="str">
            <v>4.367.00</v>
          </cell>
          <cell r="E123" t="str">
            <v>à jour</v>
          </cell>
        </row>
        <row r="124">
          <cell r="A124" t="str">
            <v>GEAC01DELJ1</v>
          </cell>
          <cell r="B124" t="str">
            <v>ServerProtect for Windows</v>
          </cell>
          <cell r="C124" t="str">
            <v>5.58</v>
          </cell>
          <cell r="D124" t="str">
            <v>4.367.00</v>
          </cell>
          <cell r="E124" t="str">
            <v>à jour</v>
          </cell>
        </row>
        <row r="125">
          <cell r="A125" t="str">
            <v>GEAC01ECGOM1</v>
          </cell>
          <cell r="B125" t="str">
            <v>ServerProtect for Windows</v>
          </cell>
          <cell r="C125" t="str">
            <v>5.58</v>
          </cell>
          <cell r="D125" t="str">
            <v>4.367.00</v>
          </cell>
          <cell r="E125" t="str">
            <v>à jour</v>
          </cell>
        </row>
        <row r="126">
          <cell r="A126" t="str">
            <v>GEAC01ECOM1</v>
          </cell>
          <cell r="B126" t="str">
            <v>ServerProtect for Windows</v>
          </cell>
          <cell r="C126" t="str">
            <v>5.58</v>
          </cell>
          <cell r="D126" t="str">
            <v>3.181.00</v>
          </cell>
          <cell r="E126" t="str">
            <v>pas à jour</v>
          </cell>
        </row>
        <row r="127">
          <cell r="A127" t="str">
            <v>GEAC01ECOM3</v>
          </cell>
          <cell r="B127" t="str">
            <v>ServerProtect for Windows</v>
          </cell>
          <cell r="C127" t="str">
            <v>5.58</v>
          </cell>
          <cell r="D127" t="str">
            <v>3.181.00</v>
          </cell>
          <cell r="E127" t="str">
            <v>pas à jour</v>
          </cell>
        </row>
        <row r="128">
          <cell r="A128" t="str">
            <v>GEAC01ECOM6</v>
          </cell>
          <cell r="B128" t="str">
            <v>ServerProtect for Windows</v>
          </cell>
          <cell r="C128" t="str">
            <v>5.58</v>
          </cell>
          <cell r="D128" t="str">
            <v>3.181.00</v>
          </cell>
          <cell r="E128" t="str">
            <v>pas à jour</v>
          </cell>
        </row>
        <row r="129">
          <cell r="A129" t="str">
            <v>GEAC01EFAX1</v>
          </cell>
          <cell r="B129" t="str">
            <v>ServerProtect for Windows</v>
          </cell>
          <cell r="C129" t="str">
            <v>5.58</v>
          </cell>
          <cell r="D129" t="str">
            <v>4.335.00</v>
          </cell>
          <cell r="E129" t="str">
            <v>pas à jour</v>
          </cell>
        </row>
        <row r="130">
          <cell r="A130" t="str">
            <v>GEAC01EFAX2</v>
          </cell>
          <cell r="B130" t="str">
            <v>ServerProtect for Windows</v>
          </cell>
          <cell r="C130" t="str">
            <v>5.58</v>
          </cell>
          <cell r="D130" t="str">
            <v>4.367.00</v>
          </cell>
          <cell r="E130" t="str">
            <v>à jour</v>
          </cell>
        </row>
        <row r="131">
          <cell r="A131" t="str">
            <v>GEAC01EREP1</v>
          </cell>
          <cell r="B131" t="str">
            <v>ServerProtect for Windows</v>
          </cell>
          <cell r="C131" t="str">
            <v>5.58</v>
          </cell>
          <cell r="D131" t="str">
            <v>4.367.00</v>
          </cell>
          <cell r="E131" t="str">
            <v>à jour</v>
          </cell>
        </row>
        <row r="132">
          <cell r="A132" t="str">
            <v>GEAC01EREP2</v>
          </cell>
          <cell r="B132" t="str">
            <v>ServerProtect for Windows</v>
          </cell>
          <cell r="C132" t="str">
            <v>5.58</v>
          </cell>
          <cell r="D132" t="str">
            <v>4.367.00</v>
          </cell>
          <cell r="E132" t="str">
            <v>à jour</v>
          </cell>
        </row>
        <row r="133">
          <cell r="A133" t="str">
            <v>GEAC01EREP3</v>
          </cell>
          <cell r="B133" t="str">
            <v>ServerProtect for Windows</v>
          </cell>
          <cell r="C133" t="str">
            <v>5.58</v>
          </cell>
          <cell r="D133" t="str">
            <v>4.367.00</v>
          </cell>
          <cell r="E133" t="str">
            <v>à jour</v>
          </cell>
        </row>
        <row r="134">
          <cell r="A134" t="str">
            <v>GEAC01FICA1</v>
          </cell>
          <cell r="B134" t="str">
            <v>ServerProtect for Windows</v>
          </cell>
          <cell r="C134" t="str">
            <v>5.58</v>
          </cell>
          <cell r="D134" t="str">
            <v>4.367.00</v>
          </cell>
          <cell r="E134" t="str">
            <v>à jour</v>
          </cell>
        </row>
        <row r="135">
          <cell r="A135" t="str">
            <v>GEAC01FICH2</v>
          </cell>
          <cell r="B135" t="str">
            <v>ServerProtect for Windows</v>
          </cell>
          <cell r="C135" t="str">
            <v>5.58</v>
          </cell>
          <cell r="D135" t="str">
            <v>4.283.00</v>
          </cell>
          <cell r="E135" t="str">
            <v>pas à jour</v>
          </cell>
        </row>
        <row r="136">
          <cell r="A136" t="str">
            <v>GEAC01FLUX1</v>
          </cell>
          <cell r="B136" t="str">
            <v>ServerProtect for Windows</v>
          </cell>
          <cell r="C136" t="str">
            <v>5.58</v>
          </cell>
          <cell r="D136" t="str">
            <v>4.101.00</v>
          </cell>
          <cell r="E136" t="str">
            <v>pas à jour</v>
          </cell>
        </row>
        <row r="137">
          <cell r="A137" t="str">
            <v>GEAC01FLUX2</v>
          </cell>
          <cell r="B137" t="str">
            <v>ServerProtect for Windows</v>
          </cell>
          <cell r="C137" t="str">
            <v>5.58</v>
          </cell>
          <cell r="D137" t="str">
            <v>4.103.00</v>
          </cell>
          <cell r="E137" t="str">
            <v>pas à jour</v>
          </cell>
        </row>
        <row r="138">
          <cell r="A138" t="str">
            <v>GEAC01FLUX3</v>
          </cell>
          <cell r="B138" t="str">
            <v>ServerProtect for Windows</v>
          </cell>
          <cell r="C138" t="str">
            <v>5.58</v>
          </cell>
          <cell r="D138" t="str">
            <v>4.103.00</v>
          </cell>
          <cell r="E138" t="str">
            <v>pas à jour</v>
          </cell>
        </row>
        <row r="139">
          <cell r="A139" t="str">
            <v>GEAC01FLUX4</v>
          </cell>
          <cell r="B139" t="str">
            <v>ServerProtect for Windows</v>
          </cell>
          <cell r="C139" t="str">
            <v>5.58</v>
          </cell>
          <cell r="D139" t="str">
            <v>4.103.00</v>
          </cell>
          <cell r="E139" t="str">
            <v>pas à jour</v>
          </cell>
        </row>
        <row r="140">
          <cell r="A140" t="str">
            <v>GEAC01FLUX5</v>
          </cell>
          <cell r="B140" t="str">
            <v>ServerProtect for Windows</v>
          </cell>
          <cell r="C140" t="str">
            <v>5.58</v>
          </cell>
          <cell r="D140" t="str">
            <v>4.367.00</v>
          </cell>
          <cell r="E140" t="str">
            <v>à jour</v>
          </cell>
        </row>
        <row r="141">
          <cell r="A141" t="str">
            <v>GEAC01FLUX6</v>
          </cell>
          <cell r="B141" t="str">
            <v>ServerProtect for Windows</v>
          </cell>
          <cell r="C141" t="str">
            <v>5.58</v>
          </cell>
          <cell r="D141" t="str">
            <v>4.367.00</v>
          </cell>
          <cell r="E141" t="str">
            <v>à jour</v>
          </cell>
        </row>
        <row r="142">
          <cell r="A142" t="str">
            <v>GEAC01FLUX7</v>
          </cell>
          <cell r="B142" t="str">
            <v>ServerProtect for Windows</v>
          </cell>
          <cell r="C142" t="str">
            <v>5.58</v>
          </cell>
          <cell r="D142" t="str">
            <v>4.367.00</v>
          </cell>
          <cell r="E142" t="str">
            <v>à jour</v>
          </cell>
        </row>
        <row r="143">
          <cell r="A143" t="str">
            <v>GEAC01FLUX8</v>
          </cell>
          <cell r="B143" t="str">
            <v>ServerProtect for Windows</v>
          </cell>
          <cell r="C143" t="str">
            <v>5.58</v>
          </cell>
          <cell r="D143" t="str">
            <v>4.367.00</v>
          </cell>
          <cell r="E143" t="str">
            <v>à jour</v>
          </cell>
        </row>
        <row r="144">
          <cell r="A144" t="str">
            <v>GEAC01GEID01</v>
          </cell>
          <cell r="B144" t="str">
            <v>ServerProtect for Windows</v>
          </cell>
          <cell r="C144" t="str">
            <v>5.58</v>
          </cell>
          <cell r="D144" t="str">
            <v>4.367.00</v>
          </cell>
          <cell r="E144" t="str">
            <v>à jour</v>
          </cell>
        </row>
        <row r="145">
          <cell r="A145" t="str">
            <v>GEAC01GEIDD</v>
          </cell>
          <cell r="B145" t="str">
            <v>ServerProtect for Windows</v>
          </cell>
          <cell r="C145" t="str">
            <v>5.58</v>
          </cell>
          <cell r="D145" t="str">
            <v>3.647.00</v>
          </cell>
          <cell r="E145" t="str">
            <v>pas à jour</v>
          </cell>
        </row>
        <row r="146">
          <cell r="A146" t="str">
            <v>GEAC01GELOC01</v>
          </cell>
          <cell r="B146" t="str">
            <v>ServerProtect for Windows</v>
          </cell>
          <cell r="C146" t="str">
            <v>5.58</v>
          </cell>
          <cell r="D146" t="str">
            <v>4.367.00</v>
          </cell>
          <cell r="E146" t="str">
            <v>à jour</v>
          </cell>
        </row>
        <row r="147">
          <cell r="A147" t="str">
            <v>GEAC01GENI01</v>
          </cell>
          <cell r="B147" t="str">
            <v>ServerProtect for Windows</v>
          </cell>
          <cell r="C147" t="str">
            <v>5.58</v>
          </cell>
          <cell r="D147" t="str">
            <v>4.227.00</v>
          </cell>
          <cell r="E147" t="str">
            <v>pas à jour</v>
          </cell>
        </row>
        <row r="148">
          <cell r="A148" t="str">
            <v>GEAC01GENJ01</v>
          </cell>
          <cell r="B148" t="str">
            <v>ServerProtect for Windows</v>
          </cell>
          <cell r="C148" t="str">
            <v>5.58</v>
          </cell>
          <cell r="D148" t="str">
            <v>4.367.00</v>
          </cell>
          <cell r="E148" t="str">
            <v>à jour</v>
          </cell>
        </row>
        <row r="149">
          <cell r="A149" t="str">
            <v>GEAC01GENJ02</v>
          </cell>
          <cell r="B149" t="str">
            <v>ServerProtect for Windows</v>
          </cell>
          <cell r="C149" t="str">
            <v>5.58</v>
          </cell>
          <cell r="D149" t="str">
            <v>4.367.00</v>
          </cell>
          <cell r="E149" t="str">
            <v>à jour</v>
          </cell>
        </row>
        <row r="150">
          <cell r="A150" t="str">
            <v>GEAC01GENP01</v>
          </cell>
          <cell r="B150" t="str">
            <v>ServerProtect for Windows</v>
          </cell>
          <cell r="C150" t="str">
            <v>5.58</v>
          </cell>
          <cell r="D150" t="str">
            <v>4.367.00</v>
          </cell>
          <cell r="E150" t="str">
            <v>à jour</v>
          </cell>
        </row>
        <row r="151">
          <cell r="A151" t="str">
            <v>GEAC01GENP02</v>
          </cell>
          <cell r="B151" t="str">
            <v>ServerProtect for Windows</v>
          </cell>
          <cell r="C151" t="str">
            <v>5.58</v>
          </cell>
          <cell r="D151" t="str">
            <v>4.367.00</v>
          </cell>
          <cell r="E151" t="str">
            <v>à jour</v>
          </cell>
        </row>
        <row r="152">
          <cell r="A152" t="str">
            <v>GEAC01GENP03</v>
          </cell>
          <cell r="B152" t="str">
            <v>ServerProtect for Windows</v>
          </cell>
          <cell r="C152" t="str">
            <v>5.58</v>
          </cell>
          <cell r="D152" t="str">
            <v>4.367.00</v>
          </cell>
          <cell r="E152" t="str">
            <v>à jour</v>
          </cell>
        </row>
        <row r="153">
          <cell r="A153" t="str">
            <v>GEAC01GENP04</v>
          </cell>
          <cell r="B153" t="str">
            <v>ServerProtect for Windows</v>
          </cell>
          <cell r="C153" t="str">
            <v>5.58</v>
          </cell>
          <cell r="D153" t="str">
            <v>4.367.00</v>
          </cell>
          <cell r="E153" t="str">
            <v>à jour</v>
          </cell>
        </row>
        <row r="154">
          <cell r="A154" t="str">
            <v>GEAC01GTRP01</v>
          </cell>
          <cell r="B154" t="str">
            <v>ServerProtect for Windows</v>
          </cell>
          <cell r="C154" t="str">
            <v>5.58</v>
          </cell>
          <cell r="D154" t="str">
            <v>4.367.00</v>
          </cell>
          <cell r="E154" t="str">
            <v>à jour</v>
          </cell>
        </row>
        <row r="155">
          <cell r="A155" t="str">
            <v>GEAC01IISI1</v>
          </cell>
          <cell r="B155" t="str">
            <v>ServerProtect for Windows</v>
          </cell>
          <cell r="C155" t="str">
            <v>5.58</v>
          </cell>
          <cell r="D155" t="str">
            <v>4.367.00</v>
          </cell>
          <cell r="E155" t="str">
            <v>à jour</v>
          </cell>
        </row>
        <row r="156">
          <cell r="A156" t="str">
            <v>GEAC01IMPR1</v>
          </cell>
          <cell r="B156" t="str">
            <v>ServerProtect for Windows</v>
          </cell>
          <cell r="C156" t="str">
            <v>5.58</v>
          </cell>
          <cell r="D156" t="str">
            <v>4.367.00</v>
          </cell>
          <cell r="E156" t="str">
            <v>à jour</v>
          </cell>
        </row>
        <row r="157">
          <cell r="A157" t="str">
            <v>GEAC01IMPR3</v>
          </cell>
          <cell r="B157" t="str">
            <v>ServerProtect for Windows</v>
          </cell>
          <cell r="C157" t="str">
            <v>5.58</v>
          </cell>
          <cell r="D157" t="str">
            <v>2.741.00</v>
          </cell>
          <cell r="E157" t="str">
            <v>pas à jour</v>
          </cell>
        </row>
        <row r="158">
          <cell r="A158" t="str">
            <v>GEAC01INFR01</v>
          </cell>
          <cell r="B158" t="str">
            <v>ServerProtect for Windows</v>
          </cell>
          <cell r="C158" t="str">
            <v>5.58</v>
          </cell>
          <cell r="D158" t="str">
            <v>4.367.00</v>
          </cell>
          <cell r="E158" t="str">
            <v>à jour</v>
          </cell>
        </row>
        <row r="159">
          <cell r="A159" t="str">
            <v>GEAC01INFR02</v>
          </cell>
          <cell r="B159" t="str">
            <v>ServerProtect for Windows</v>
          </cell>
          <cell r="C159" t="str">
            <v>5.58</v>
          </cell>
          <cell r="D159" t="str">
            <v>4.367.00</v>
          </cell>
          <cell r="E159" t="str">
            <v>à jour</v>
          </cell>
        </row>
        <row r="160">
          <cell r="A160" t="str">
            <v>GEAC01INFR03</v>
          </cell>
          <cell r="B160" t="str">
            <v>ServerProtect for Windows</v>
          </cell>
          <cell r="C160" t="str">
            <v>5.58</v>
          </cell>
          <cell r="D160" t="str">
            <v>4.367.00</v>
          </cell>
          <cell r="E160" t="str">
            <v>à jour</v>
          </cell>
        </row>
        <row r="161">
          <cell r="A161" t="str">
            <v>GEAC01ISYI01</v>
          </cell>
          <cell r="B161" t="str">
            <v>ServerProtect for Windows</v>
          </cell>
          <cell r="C161" t="str">
            <v>5.58</v>
          </cell>
          <cell r="D161" t="str">
            <v>4.367.00</v>
          </cell>
          <cell r="E161" t="str">
            <v>à jour</v>
          </cell>
        </row>
        <row r="162">
          <cell r="A162" t="str">
            <v>GEAC01ISYJ01</v>
          </cell>
          <cell r="B162" t="str">
            <v>ServerProtect for Windows</v>
          </cell>
          <cell r="C162" t="str">
            <v>5.58</v>
          </cell>
          <cell r="D162" t="str">
            <v>4.367.00</v>
          </cell>
          <cell r="E162" t="str">
            <v>à jour</v>
          </cell>
        </row>
        <row r="163">
          <cell r="A163" t="str">
            <v>GEAC01ISYP01</v>
          </cell>
          <cell r="B163" t="str">
            <v>ServerProtect for Windows</v>
          </cell>
          <cell r="C163" t="str">
            <v>5.58</v>
          </cell>
          <cell r="D163" t="str">
            <v>4.367.00</v>
          </cell>
          <cell r="E163" t="str">
            <v>à jour</v>
          </cell>
        </row>
        <row r="164">
          <cell r="A164" t="str">
            <v>GEAC01JTEM01</v>
          </cell>
          <cell r="B164" t="str">
            <v>ServerProtect for Windows</v>
          </cell>
          <cell r="C164" t="str">
            <v>5.58</v>
          </cell>
          <cell r="D164" t="str">
            <v>4.367.00</v>
          </cell>
          <cell r="E164" t="str">
            <v>à jour</v>
          </cell>
        </row>
        <row r="165">
          <cell r="A165" t="str">
            <v>GEAC01LTSE1</v>
          </cell>
          <cell r="B165" t="str">
            <v>ServerProtect for Windows</v>
          </cell>
          <cell r="C165" t="str">
            <v>5.58</v>
          </cell>
          <cell r="D165" t="str">
            <v>4.367.00</v>
          </cell>
          <cell r="E165" t="str">
            <v>à jour</v>
          </cell>
        </row>
        <row r="166">
          <cell r="A166" t="str">
            <v>GEAC01MCL1A_SMEX</v>
          </cell>
          <cell r="B166" t="str">
            <v>ScanMail for Microsoft Exchange</v>
          </cell>
          <cell r="C166" t="str">
            <v>3.820</v>
          </cell>
          <cell r="D166" t="str">
            <v>4.365.00</v>
          </cell>
          <cell r="E166" t="str">
            <v>pas à jour</v>
          </cell>
        </row>
        <row r="167">
          <cell r="A167" t="str">
            <v>GEAC01MCL1B_SMEX</v>
          </cell>
          <cell r="B167" t="str">
            <v>ScanMail for Microsoft Exchange</v>
          </cell>
          <cell r="C167" t="str">
            <v>3.820</v>
          </cell>
          <cell r="D167" t="str">
            <v>4.365.00</v>
          </cell>
          <cell r="E167" t="str">
            <v>pas à jour</v>
          </cell>
        </row>
        <row r="168">
          <cell r="A168" t="str">
            <v>GEAC01MCL2A_SMEX</v>
          </cell>
          <cell r="B168" t="str">
            <v>ScanMail for Microsoft Exchange</v>
          </cell>
          <cell r="C168" t="str">
            <v>3.820</v>
          </cell>
          <cell r="D168" t="str">
            <v>4.365.00</v>
          </cell>
          <cell r="E168" t="str">
            <v>pas à jour</v>
          </cell>
        </row>
        <row r="169">
          <cell r="A169" t="str">
            <v>GEAC01MCL2B_SMEX</v>
          </cell>
          <cell r="B169" t="str">
            <v>ScanMail for Microsoft Exchange</v>
          </cell>
          <cell r="C169" t="str">
            <v>3.820</v>
          </cell>
          <cell r="D169" t="str">
            <v>4.365.00</v>
          </cell>
          <cell r="E169" t="str">
            <v>pas à jour</v>
          </cell>
        </row>
        <row r="170">
          <cell r="A170" t="str">
            <v>GEAC01MCL3A_SMEX</v>
          </cell>
          <cell r="B170" t="str">
            <v>ScanMail for Microsoft Exchange</v>
          </cell>
          <cell r="C170" t="str">
            <v>3.820</v>
          </cell>
          <cell r="D170" t="str">
            <v>4.365.00</v>
          </cell>
          <cell r="E170" t="str">
            <v>pas à jour</v>
          </cell>
        </row>
        <row r="171">
          <cell r="A171" t="str">
            <v>GEAC01MCL3B_SMEX</v>
          </cell>
          <cell r="B171" t="str">
            <v>ScanMail for Microsoft Exchange</v>
          </cell>
          <cell r="C171" t="str">
            <v>3.820</v>
          </cell>
          <cell r="D171" t="str">
            <v>4.365.00</v>
          </cell>
          <cell r="E171" t="str">
            <v>pas à jour</v>
          </cell>
        </row>
        <row r="172">
          <cell r="A172" t="str">
            <v>GEAC01MCL4A_SMEX</v>
          </cell>
          <cell r="B172" t="str">
            <v>ScanMail for Microsoft Exchange</v>
          </cell>
          <cell r="C172" t="str">
            <v>3.820</v>
          </cell>
          <cell r="D172" t="str">
            <v>4.367.00</v>
          </cell>
          <cell r="E172" t="str">
            <v>à jour</v>
          </cell>
        </row>
        <row r="173">
          <cell r="A173" t="str">
            <v>GEAC01MCL4B_SMEX</v>
          </cell>
          <cell r="B173" t="str">
            <v>ScanMail for Microsoft Exchange</v>
          </cell>
          <cell r="C173" t="str">
            <v>3.820</v>
          </cell>
          <cell r="D173" t="str">
            <v>4.367.00</v>
          </cell>
          <cell r="E173" t="str">
            <v>à jour</v>
          </cell>
        </row>
        <row r="174">
          <cell r="A174" t="str">
            <v>GEAC01MCL5A_SMEX</v>
          </cell>
          <cell r="B174" t="str">
            <v>ScanMail for Microsoft Exchange</v>
          </cell>
          <cell r="C174" t="str">
            <v>3.820</v>
          </cell>
          <cell r="D174" t="str">
            <v>4.367.00</v>
          </cell>
          <cell r="E174" t="str">
            <v>à jour</v>
          </cell>
        </row>
        <row r="175">
          <cell r="A175" t="str">
            <v>GEAC01MCL5B_SMEX</v>
          </cell>
          <cell r="B175" t="str">
            <v>ScanMail for Microsoft Exchange</v>
          </cell>
          <cell r="C175" t="str">
            <v>3.820</v>
          </cell>
          <cell r="D175" t="str">
            <v>3.633.00</v>
          </cell>
          <cell r="E175" t="str">
            <v>pas à jour</v>
          </cell>
        </row>
        <row r="176">
          <cell r="A176" t="str">
            <v>GEAC01MCL5B_SMEX</v>
          </cell>
          <cell r="B176" t="str">
            <v>ScanMail for Microsoft Exchange</v>
          </cell>
          <cell r="C176" t="str">
            <v>3.820</v>
          </cell>
          <cell r="D176" t="str">
            <v>4.367.00</v>
          </cell>
          <cell r="E176" t="str">
            <v>à jour</v>
          </cell>
        </row>
        <row r="177">
          <cell r="A177" t="str">
            <v>GEAC01MCL6A_SMEX</v>
          </cell>
          <cell r="B177" t="str">
            <v>ScanMail for Microsoft Exchange</v>
          </cell>
          <cell r="C177" t="str">
            <v>3.820</v>
          </cell>
          <cell r="D177" t="str">
            <v>4.365.00</v>
          </cell>
          <cell r="E177" t="str">
            <v>pas à jour</v>
          </cell>
        </row>
        <row r="178">
          <cell r="A178" t="str">
            <v>GEAC01MCL6B_SMEX</v>
          </cell>
          <cell r="B178" t="str">
            <v>ScanMail for Microsoft Exchange</v>
          </cell>
          <cell r="C178" t="str">
            <v>3.820</v>
          </cell>
          <cell r="D178" t="str">
            <v>4.367.00</v>
          </cell>
          <cell r="E178" t="str">
            <v>à jour</v>
          </cell>
        </row>
        <row r="179">
          <cell r="A179" t="str">
            <v>GEAC01MDP1A_SMEX</v>
          </cell>
          <cell r="B179" t="str">
            <v>ScanMail for Microsoft Exchange</v>
          </cell>
          <cell r="C179" t="str">
            <v>3.820</v>
          </cell>
          <cell r="D179" t="str">
            <v>4.365.00</v>
          </cell>
          <cell r="E179" t="str">
            <v>pas à jour</v>
          </cell>
        </row>
        <row r="180">
          <cell r="A180" t="str">
            <v>GEAC01MDP1B_SMEX</v>
          </cell>
          <cell r="B180" t="str">
            <v>ScanMail for Microsoft Exchange</v>
          </cell>
          <cell r="C180" t="str">
            <v>3.820</v>
          </cell>
          <cell r="D180" t="str">
            <v>4.299.00</v>
          </cell>
          <cell r="E180" t="str">
            <v>pas à jour</v>
          </cell>
        </row>
        <row r="181">
          <cell r="A181" t="str">
            <v>GEAC01MDP1B_SMEX</v>
          </cell>
          <cell r="B181" t="str">
            <v>ScanMail for Microsoft Exchange</v>
          </cell>
          <cell r="C181" t="str">
            <v>3.820</v>
          </cell>
          <cell r="D181" t="str">
            <v>4.365.00</v>
          </cell>
          <cell r="E181" t="str">
            <v>pas à jour</v>
          </cell>
        </row>
        <row r="182">
          <cell r="A182" t="str">
            <v>GEAC01MICI1</v>
          </cell>
          <cell r="B182" t="str">
            <v>ServerProtect for Windows</v>
          </cell>
          <cell r="C182" t="str">
            <v>5.58</v>
          </cell>
          <cell r="D182" t="str">
            <v>4.367.00</v>
          </cell>
          <cell r="E182" t="str">
            <v>à jour</v>
          </cell>
        </row>
        <row r="183">
          <cell r="A183" t="str">
            <v>GEAC01MICJ02</v>
          </cell>
          <cell r="B183" t="str">
            <v>ServerProtect for Windows</v>
          </cell>
          <cell r="C183" t="str">
            <v>5.58</v>
          </cell>
          <cell r="D183" t="str">
            <v>4.367.00</v>
          </cell>
          <cell r="E183" t="str">
            <v>à jour</v>
          </cell>
        </row>
        <row r="184">
          <cell r="A184" t="str">
            <v>GEAC01MIMC01_SMEX</v>
          </cell>
          <cell r="B184" t="str">
            <v>ScanMail for Microsoft Exchange</v>
          </cell>
          <cell r="C184" t="str">
            <v>3.820</v>
          </cell>
          <cell r="D184" t="str">
            <v>3.721.00</v>
          </cell>
          <cell r="E184" t="str">
            <v>pas à jour</v>
          </cell>
        </row>
        <row r="185">
          <cell r="A185" t="str">
            <v>GEAC01MIMC01_SMEX</v>
          </cell>
          <cell r="B185" t="str">
            <v>ScanMail for Microsoft Exchange</v>
          </cell>
          <cell r="C185" t="str">
            <v>3.820</v>
          </cell>
          <cell r="D185" t="str">
            <v>4.367.00</v>
          </cell>
          <cell r="E185" t="str">
            <v>à jour</v>
          </cell>
        </row>
        <row r="186">
          <cell r="A186" t="str">
            <v>GEAC01MIMC02_SMEX</v>
          </cell>
          <cell r="B186" t="str">
            <v>ScanMail for Microsoft Exchange</v>
          </cell>
          <cell r="C186" t="str">
            <v>3.820</v>
          </cell>
          <cell r="D186" t="str">
            <v>4.367.00</v>
          </cell>
          <cell r="E186" t="str">
            <v>à jour</v>
          </cell>
        </row>
        <row r="187">
          <cell r="A187" t="str">
            <v>GEAC01MQSI01</v>
          </cell>
          <cell r="B187" t="str">
            <v>ServerProtect for Windows</v>
          </cell>
          <cell r="C187" t="str">
            <v>5.58</v>
          </cell>
          <cell r="D187" t="str">
            <v>4.367.00</v>
          </cell>
          <cell r="E187" t="str">
            <v>à jour</v>
          </cell>
        </row>
        <row r="188">
          <cell r="A188" t="str">
            <v>GEAC01MQSI02</v>
          </cell>
          <cell r="B188" t="str">
            <v>ServerProtect for Windows</v>
          </cell>
          <cell r="C188" t="str">
            <v>5.58</v>
          </cell>
          <cell r="D188" t="str">
            <v>4.367.00</v>
          </cell>
          <cell r="E188" t="str">
            <v>à jour</v>
          </cell>
        </row>
        <row r="189">
          <cell r="A189" t="str">
            <v>GEAC01MQSI1</v>
          </cell>
          <cell r="B189" t="str">
            <v>ServerProtect for Windows</v>
          </cell>
          <cell r="C189" t="str">
            <v>5.58</v>
          </cell>
          <cell r="D189" t="str">
            <v>4.367.00</v>
          </cell>
          <cell r="E189" t="str">
            <v>à jour</v>
          </cell>
        </row>
        <row r="190">
          <cell r="A190" t="str">
            <v>GEAC01MQSI2</v>
          </cell>
          <cell r="B190" t="str">
            <v>ServerProtect for Windows</v>
          </cell>
          <cell r="C190" t="str">
            <v>5.58</v>
          </cell>
          <cell r="D190" t="str">
            <v>4.367.00</v>
          </cell>
          <cell r="E190" t="str">
            <v>à jour</v>
          </cell>
        </row>
        <row r="191">
          <cell r="A191" t="str">
            <v>GEAC01NETW01</v>
          </cell>
          <cell r="B191" t="str">
            <v>ServerProtect for Windows</v>
          </cell>
          <cell r="C191" t="str">
            <v>5.58</v>
          </cell>
          <cell r="D191" t="str">
            <v>4.367.00</v>
          </cell>
          <cell r="E191" t="str">
            <v>à jour</v>
          </cell>
        </row>
        <row r="192">
          <cell r="A192" t="str">
            <v>GEAC01NFUS1</v>
          </cell>
          <cell r="B192" t="str">
            <v>ServerProtect for Windows</v>
          </cell>
          <cell r="C192" t="str">
            <v>5.58</v>
          </cell>
          <cell r="D192" t="str">
            <v>4.367.00</v>
          </cell>
          <cell r="E192" t="str">
            <v>à jour</v>
          </cell>
        </row>
        <row r="193">
          <cell r="A193" t="str">
            <v>GEAC01NIKU2</v>
          </cell>
          <cell r="B193" t="str">
            <v>ServerProtect for Windows</v>
          </cell>
          <cell r="C193" t="str">
            <v>5.58</v>
          </cell>
          <cell r="D193" t="str">
            <v>4.367.00</v>
          </cell>
          <cell r="E193" t="str">
            <v>à jour</v>
          </cell>
        </row>
        <row r="194">
          <cell r="A194" t="str">
            <v>GEAC01NIKU3</v>
          </cell>
          <cell r="B194" t="str">
            <v>ServerProtect for Windows</v>
          </cell>
          <cell r="C194" t="str">
            <v>5.58</v>
          </cell>
          <cell r="D194" t="str">
            <v>4.367.00</v>
          </cell>
          <cell r="E194" t="str">
            <v>à jour</v>
          </cell>
        </row>
        <row r="195">
          <cell r="A195" t="str">
            <v>GEAC01NIKU4</v>
          </cell>
          <cell r="B195" t="str">
            <v>ServerProtect for Windows</v>
          </cell>
          <cell r="C195" t="str">
            <v>5.58</v>
          </cell>
          <cell r="D195" t="str">
            <v>4.215.00</v>
          </cell>
          <cell r="E195" t="str">
            <v>pas à jour</v>
          </cell>
        </row>
        <row r="196">
          <cell r="A196" t="str">
            <v>GEAC01NIKU5</v>
          </cell>
          <cell r="B196" t="str">
            <v>ServerProtect for Windows</v>
          </cell>
          <cell r="C196" t="str">
            <v>5.58</v>
          </cell>
          <cell r="D196" t="str">
            <v>4.367.00</v>
          </cell>
          <cell r="E196" t="str">
            <v>à jour</v>
          </cell>
        </row>
        <row r="197">
          <cell r="A197" t="str">
            <v>GEAC01NOLP01</v>
          </cell>
          <cell r="B197" t="str">
            <v>ServerProtect for Windows</v>
          </cell>
          <cell r="C197" t="str">
            <v>5.58</v>
          </cell>
          <cell r="D197" t="str">
            <v>4.367.00</v>
          </cell>
          <cell r="E197" t="str">
            <v>à jour</v>
          </cell>
        </row>
        <row r="198">
          <cell r="A198" t="str">
            <v>GEAC01NSKJ01</v>
          </cell>
          <cell r="B198" t="str">
            <v>ServerProtect for Windows</v>
          </cell>
          <cell r="C198" t="str">
            <v>5.58</v>
          </cell>
          <cell r="D198" t="str">
            <v>4.367.00</v>
          </cell>
          <cell r="E198" t="str">
            <v>à jour</v>
          </cell>
        </row>
        <row r="199">
          <cell r="A199" t="str">
            <v>GEAC01NT4D01</v>
          </cell>
          <cell r="B199" t="str">
            <v>ServerProtect for Windows</v>
          </cell>
          <cell r="C199" t="str">
            <v>5.58</v>
          </cell>
          <cell r="D199" t="str">
            <v>2.983.00</v>
          </cell>
          <cell r="E199" t="str">
            <v>pas à jour</v>
          </cell>
        </row>
        <row r="200">
          <cell r="A200" t="str">
            <v>GEAC01OPTI01</v>
          </cell>
          <cell r="B200" t="str">
            <v>ServerProtect for Windows</v>
          </cell>
          <cell r="C200" t="str">
            <v>5.58</v>
          </cell>
          <cell r="D200" t="str">
            <v>4.367.00</v>
          </cell>
          <cell r="E200" t="str">
            <v>à jour</v>
          </cell>
        </row>
        <row r="201">
          <cell r="A201" t="str">
            <v>GEAC01ORGP01</v>
          </cell>
          <cell r="B201" t="str">
            <v>ServerProtect for Windows</v>
          </cell>
          <cell r="C201" t="str">
            <v>5.58</v>
          </cell>
          <cell r="D201" t="str">
            <v>4.367.00</v>
          </cell>
          <cell r="E201" t="str">
            <v>à jour</v>
          </cell>
        </row>
        <row r="202">
          <cell r="A202" t="str">
            <v>GEAC01PDCA1</v>
          </cell>
          <cell r="B202" t="str">
            <v>ServerProtect for Windows</v>
          </cell>
          <cell r="C202" t="str">
            <v>5.58</v>
          </cell>
          <cell r="D202" t="str">
            <v>4.367.00</v>
          </cell>
          <cell r="E202" t="str">
            <v>à jour</v>
          </cell>
        </row>
        <row r="203">
          <cell r="A203" t="str">
            <v>GEAC01PDCG1</v>
          </cell>
          <cell r="B203" t="str">
            <v>ServerProtect for Windows</v>
          </cell>
          <cell r="C203" t="str">
            <v>5.58</v>
          </cell>
          <cell r="D203" t="str">
            <v>4.367.00</v>
          </cell>
          <cell r="E203" t="str">
            <v>à jour</v>
          </cell>
        </row>
        <row r="204">
          <cell r="A204" t="str">
            <v>GEAC01PDCR1</v>
          </cell>
          <cell r="B204" t="str">
            <v>ServerProtect for Windows</v>
          </cell>
          <cell r="C204" t="str">
            <v>5.58</v>
          </cell>
          <cell r="D204" t="str">
            <v>4.367.00</v>
          </cell>
          <cell r="E204" t="str">
            <v>à jour</v>
          </cell>
        </row>
        <row r="205">
          <cell r="A205" t="str">
            <v>GEAC01PDCR2</v>
          </cell>
          <cell r="B205" t="str">
            <v>ServerProtect for Windows</v>
          </cell>
          <cell r="C205" t="str">
            <v>5.58</v>
          </cell>
          <cell r="D205" t="str">
            <v>4.367.00</v>
          </cell>
          <cell r="E205" t="str">
            <v>à jour</v>
          </cell>
        </row>
        <row r="206">
          <cell r="A206" t="str">
            <v>GEAC01PERF01</v>
          </cell>
          <cell r="B206" t="str">
            <v>ServerProtect for Windows</v>
          </cell>
          <cell r="C206" t="str">
            <v>5.58</v>
          </cell>
          <cell r="D206" t="str">
            <v>4.367.00</v>
          </cell>
          <cell r="E206" t="str">
            <v>à jour</v>
          </cell>
        </row>
        <row r="207">
          <cell r="A207" t="str">
            <v>GEAC01PWIK01</v>
          </cell>
          <cell r="B207" t="str">
            <v>ServerProtect for Windows</v>
          </cell>
          <cell r="C207" t="str">
            <v>5.58</v>
          </cell>
          <cell r="D207" t="str">
            <v>4.367.00</v>
          </cell>
          <cell r="E207" t="str">
            <v>à jour</v>
          </cell>
        </row>
        <row r="208">
          <cell r="A208" t="str">
            <v>GEAC01QFE01</v>
          </cell>
          <cell r="B208" t="str">
            <v>ServerProtect for Windows</v>
          </cell>
          <cell r="C208" t="str">
            <v>5.58</v>
          </cell>
          <cell r="D208" t="str">
            <v>4.367.00</v>
          </cell>
          <cell r="E208" t="str">
            <v>à jour</v>
          </cell>
        </row>
        <row r="209">
          <cell r="A209" t="str">
            <v>GEAC01QFE02</v>
          </cell>
          <cell r="B209" t="str">
            <v>ServerProtect for Windows</v>
          </cell>
          <cell r="C209" t="str">
            <v>5.58</v>
          </cell>
          <cell r="D209" t="str">
            <v>4.367.00</v>
          </cell>
          <cell r="E209" t="str">
            <v>à jour</v>
          </cell>
        </row>
        <row r="210">
          <cell r="A210" t="str">
            <v>GEAC01QFE03</v>
          </cell>
          <cell r="B210" t="str">
            <v>ServerProtect for Windows</v>
          </cell>
          <cell r="C210" t="str">
            <v>5.58</v>
          </cell>
          <cell r="D210" t="str">
            <v>4.367.00</v>
          </cell>
          <cell r="E210" t="str">
            <v>à jour</v>
          </cell>
        </row>
        <row r="211">
          <cell r="A211" t="str">
            <v>GEAC01QIPE01</v>
          </cell>
          <cell r="B211" t="str">
            <v>ServerProtect for Windows</v>
          </cell>
          <cell r="C211" t="str">
            <v>5.58</v>
          </cell>
          <cell r="D211" t="str">
            <v>4.367.00</v>
          </cell>
          <cell r="E211" t="str">
            <v>à jour</v>
          </cell>
        </row>
        <row r="212">
          <cell r="A212" t="str">
            <v>GEAC01QIPE2-OLD</v>
          </cell>
          <cell r="B212" t="str">
            <v>ServerProtect for Windows</v>
          </cell>
          <cell r="C212" t="str">
            <v>5.58</v>
          </cell>
          <cell r="D212" t="str">
            <v>4.299.00</v>
          </cell>
          <cell r="E212" t="str">
            <v>pas à jour</v>
          </cell>
        </row>
        <row r="213">
          <cell r="A213" t="str">
            <v>GEAC01RADI01</v>
          </cell>
          <cell r="B213" t="str">
            <v>ServerProtect for Windows</v>
          </cell>
          <cell r="C213" t="str">
            <v>5.58</v>
          </cell>
          <cell r="D213" t="str">
            <v>4.367.00</v>
          </cell>
          <cell r="E213" t="str">
            <v>à jour</v>
          </cell>
        </row>
        <row r="214">
          <cell r="A214" t="str">
            <v>GEAC01RADW01</v>
          </cell>
          <cell r="B214" t="str">
            <v>ServerProtect for Windows</v>
          </cell>
          <cell r="C214" t="str">
            <v>5.58</v>
          </cell>
          <cell r="D214" t="str">
            <v>3.735.00</v>
          </cell>
          <cell r="E214" t="str">
            <v>pas à jour</v>
          </cell>
        </row>
        <row r="215">
          <cell r="A215" t="str">
            <v>GEAC01RADW02</v>
          </cell>
          <cell r="B215" t="str">
            <v>ServerProtect for Windows</v>
          </cell>
          <cell r="C215" t="str">
            <v>5.58</v>
          </cell>
          <cell r="D215" t="str">
            <v>4.367.00</v>
          </cell>
          <cell r="E215" t="str">
            <v>à jour</v>
          </cell>
        </row>
        <row r="216">
          <cell r="A216" t="str">
            <v>GEAC01RADW03</v>
          </cell>
          <cell r="B216" t="str">
            <v>ServerProtect for Windows</v>
          </cell>
          <cell r="C216" t="str">
            <v>5.58</v>
          </cell>
          <cell r="D216" t="str">
            <v>4.367.00</v>
          </cell>
          <cell r="E216" t="str">
            <v>à jour</v>
          </cell>
        </row>
        <row r="217">
          <cell r="A217" t="str">
            <v>GEAC01RESS01</v>
          </cell>
          <cell r="B217" t="str">
            <v>ServerProtect for Windows</v>
          </cell>
          <cell r="C217" t="str">
            <v>5.58</v>
          </cell>
          <cell r="D217" t="str">
            <v>4.367.00</v>
          </cell>
          <cell r="E217" t="str">
            <v>à jour</v>
          </cell>
        </row>
        <row r="218">
          <cell r="A218" t="str">
            <v>GEAC01RESS02</v>
          </cell>
          <cell r="B218" t="str">
            <v>ServerProtect for Windows</v>
          </cell>
          <cell r="C218" t="str">
            <v>5.58</v>
          </cell>
          <cell r="D218" t="str">
            <v>3.597.00</v>
          </cell>
          <cell r="E218" t="str">
            <v>pas à jour</v>
          </cell>
        </row>
        <row r="219">
          <cell r="A219" t="str">
            <v>GEAC01RFRQ01</v>
          </cell>
          <cell r="B219" t="str">
            <v>ServerProtect for Windows</v>
          </cell>
          <cell r="C219" t="str">
            <v>5.58</v>
          </cell>
          <cell r="D219" t="str">
            <v>4.367.00</v>
          </cell>
          <cell r="E219" t="str">
            <v>à jour</v>
          </cell>
        </row>
        <row r="220">
          <cell r="A220" t="str">
            <v>GEAC01RFRQ02</v>
          </cell>
          <cell r="B220" t="str">
            <v>ServerProtect for Windows</v>
          </cell>
          <cell r="C220" t="str">
            <v>5.58</v>
          </cell>
          <cell r="D220" t="str">
            <v>4.367.00</v>
          </cell>
          <cell r="E220" t="str">
            <v>à jour</v>
          </cell>
        </row>
        <row r="221">
          <cell r="A221" t="str">
            <v>GEAC01SAGE01</v>
          </cell>
          <cell r="B221" t="str">
            <v>ServerProtect for Windows</v>
          </cell>
          <cell r="C221" t="str">
            <v>5.58</v>
          </cell>
          <cell r="D221" t="str">
            <v>4.367.00</v>
          </cell>
          <cell r="E221" t="str">
            <v>à jour</v>
          </cell>
        </row>
        <row r="222">
          <cell r="A222" t="str">
            <v>GEAC01SAN01</v>
          </cell>
          <cell r="B222" t="str">
            <v>ServerProtect for Windows</v>
          </cell>
          <cell r="C222" t="str">
            <v>5.58</v>
          </cell>
          <cell r="D222" t="str">
            <v>4.367.00</v>
          </cell>
          <cell r="E222" t="str">
            <v>à jour</v>
          </cell>
        </row>
        <row r="223">
          <cell r="A223" t="str">
            <v>GEAC01SCAN1</v>
          </cell>
          <cell r="B223" t="str">
            <v>ServerProtect for Windows</v>
          </cell>
          <cell r="C223" t="str">
            <v>5.58</v>
          </cell>
          <cell r="D223" t="str">
            <v>4.367.00</v>
          </cell>
          <cell r="E223" t="str">
            <v>à jour</v>
          </cell>
        </row>
        <row r="224">
          <cell r="A224" t="str">
            <v>GEAC01SCAN1_OSCE</v>
          </cell>
          <cell r="B224" t="str">
            <v>OfficeScan Corporate Edition</v>
          </cell>
          <cell r="C224" t="str">
            <v>5.58</v>
          </cell>
          <cell r="D224" t="str">
            <v>4.367.00</v>
          </cell>
          <cell r="E224" t="str">
            <v>à jour</v>
          </cell>
        </row>
        <row r="225">
          <cell r="A225" t="str">
            <v>GEAC01SCAN12</v>
          </cell>
          <cell r="B225" t="str">
            <v>ServerProtect for Windows</v>
          </cell>
          <cell r="C225" t="str">
            <v>5.58</v>
          </cell>
          <cell r="D225" t="str">
            <v>4.367.00</v>
          </cell>
          <cell r="E225" t="str">
            <v>à jour</v>
          </cell>
        </row>
        <row r="226">
          <cell r="A226" t="str">
            <v>GEAC01SCAN12_OSCE</v>
          </cell>
          <cell r="B226" t="str">
            <v>OfficeScan Corporate Edition</v>
          </cell>
          <cell r="C226" t="str">
            <v>6.5</v>
          </cell>
          <cell r="D226" t="str">
            <v>4.127.00</v>
          </cell>
          <cell r="E226" t="str">
            <v>pas à jour</v>
          </cell>
        </row>
        <row r="227">
          <cell r="A227" t="str">
            <v>GEAC01SCAN13</v>
          </cell>
          <cell r="B227" t="str">
            <v>ServerProtect for Windows</v>
          </cell>
          <cell r="C227" t="str">
            <v>5.58</v>
          </cell>
          <cell r="D227" t="str">
            <v>4.367.00</v>
          </cell>
          <cell r="E227" t="str">
            <v>à jour</v>
          </cell>
        </row>
        <row r="228">
          <cell r="A228" t="str">
            <v>GEAC01SCAN13_OSCE</v>
          </cell>
          <cell r="B228" t="str">
            <v>OfficeScan Corporate Edition</v>
          </cell>
          <cell r="C228" t="str">
            <v>6.5</v>
          </cell>
          <cell r="D228" t="str">
            <v>4.149.00</v>
          </cell>
          <cell r="E228" t="str">
            <v>pas à jour</v>
          </cell>
        </row>
        <row r="229">
          <cell r="A229" t="str">
            <v>GEAC01SCAN14</v>
          </cell>
          <cell r="B229" t="str">
            <v>ServerProtect for Windows</v>
          </cell>
          <cell r="C229" t="str">
            <v>5.58</v>
          </cell>
          <cell r="D229" t="str">
            <v>4.367.00</v>
          </cell>
          <cell r="E229" t="str">
            <v>à jour</v>
          </cell>
        </row>
        <row r="230">
          <cell r="A230" t="str">
            <v>GEAC01SCAN14_OSCE</v>
          </cell>
          <cell r="B230" t="str">
            <v>OfficeScan Corporate Edition</v>
          </cell>
          <cell r="C230" t="str">
            <v>5.58</v>
          </cell>
          <cell r="D230" t="str">
            <v>4.367.00</v>
          </cell>
          <cell r="E230" t="str">
            <v>à jour</v>
          </cell>
        </row>
        <row r="231">
          <cell r="A231" t="str">
            <v>GEAC01SICD01</v>
          </cell>
          <cell r="B231" t="str">
            <v>ServerProtect for Windows</v>
          </cell>
          <cell r="C231" t="str">
            <v>5.58</v>
          </cell>
          <cell r="D231" t="str">
            <v>4.367.00</v>
          </cell>
          <cell r="E231" t="str">
            <v>à jour</v>
          </cell>
        </row>
        <row r="232">
          <cell r="A232" t="str">
            <v>GEAC01SICJ2</v>
          </cell>
          <cell r="B232" t="str">
            <v>ServerProtect for Windows</v>
          </cell>
          <cell r="C232" t="str">
            <v>5.58</v>
          </cell>
          <cell r="D232" t="str">
            <v>3.309.00</v>
          </cell>
          <cell r="E232" t="str">
            <v>pas à jour</v>
          </cell>
        </row>
        <row r="233">
          <cell r="A233" t="str">
            <v>GEAC01SICO1</v>
          </cell>
          <cell r="B233" t="str">
            <v>ServerProtect for Windows</v>
          </cell>
          <cell r="C233" t="str">
            <v>5.58</v>
          </cell>
          <cell r="D233" t="str">
            <v>4.367.00</v>
          </cell>
          <cell r="E233" t="str">
            <v>à jour</v>
          </cell>
        </row>
        <row r="234">
          <cell r="A234" t="str">
            <v>GEAC01SICO2</v>
          </cell>
          <cell r="B234" t="str">
            <v>ServerProtect for Windows</v>
          </cell>
          <cell r="C234" t="str">
            <v>5.58</v>
          </cell>
          <cell r="D234" t="str">
            <v>3.967.00</v>
          </cell>
          <cell r="E234" t="str">
            <v>pas à jour</v>
          </cell>
        </row>
        <row r="235">
          <cell r="A235" t="str">
            <v>GEAC01SICO4</v>
          </cell>
          <cell r="B235" t="str">
            <v>ServerProtect for Windows</v>
          </cell>
          <cell r="C235" t="str">
            <v>5.58</v>
          </cell>
          <cell r="D235" t="str">
            <v>4.367.00</v>
          </cell>
          <cell r="E235" t="str">
            <v>à jour</v>
          </cell>
        </row>
        <row r="236">
          <cell r="A236" t="str">
            <v>GEAC01SICO5</v>
          </cell>
          <cell r="B236" t="str">
            <v>ServerProtect for Windows</v>
          </cell>
          <cell r="C236" t="str">
            <v>5.58</v>
          </cell>
          <cell r="D236" t="str">
            <v>4.367.00</v>
          </cell>
          <cell r="E236" t="str">
            <v>à jour</v>
          </cell>
        </row>
        <row r="237">
          <cell r="A237" t="str">
            <v>GEAC01SICO6</v>
          </cell>
          <cell r="B237" t="str">
            <v>ServerProtect for Windows</v>
          </cell>
          <cell r="C237" t="str">
            <v>5.58</v>
          </cell>
          <cell r="D237" t="str">
            <v>4.367.00</v>
          </cell>
          <cell r="E237" t="str">
            <v>à jour</v>
          </cell>
        </row>
        <row r="238">
          <cell r="A238" t="str">
            <v>GEAC01SICP03</v>
          </cell>
          <cell r="B238" t="str">
            <v>ServerProtect for Windows</v>
          </cell>
          <cell r="C238" t="str">
            <v>5.58</v>
          </cell>
          <cell r="D238" t="str">
            <v>4.367.00</v>
          </cell>
          <cell r="E238" t="str">
            <v>à jour</v>
          </cell>
        </row>
        <row r="239">
          <cell r="A239" t="str">
            <v>GEAC01SOLJ1</v>
          </cell>
          <cell r="B239" t="str">
            <v>ServerProtect for Windows</v>
          </cell>
          <cell r="C239" t="str">
            <v>5.58</v>
          </cell>
          <cell r="D239" t="str">
            <v>2.991.00</v>
          </cell>
          <cell r="E239" t="str">
            <v>pas à jour</v>
          </cell>
        </row>
        <row r="240">
          <cell r="A240" t="str">
            <v>GEAC01SOLP1</v>
          </cell>
          <cell r="B240" t="str">
            <v>ServerProtect for Windows</v>
          </cell>
          <cell r="C240" t="str">
            <v>5.58</v>
          </cell>
          <cell r="D240" t="str">
            <v>4.367.00</v>
          </cell>
          <cell r="E240" t="str">
            <v>à jour</v>
          </cell>
        </row>
        <row r="241">
          <cell r="A241" t="str">
            <v>GEAC01SOND01</v>
          </cell>
          <cell r="B241" t="str">
            <v>ServerProtect for Windows</v>
          </cell>
          <cell r="C241" t="str">
            <v>5.58</v>
          </cell>
          <cell r="D241" t="str">
            <v>4.367.00</v>
          </cell>
          <cell r="E241" t="str">
            <v>à jour</v>
          </cell>
        </row>
        <row r="242">
          <cell r="A242" t="str">
            <v>GEAC01SOND02</v>
          </cell>
          <cell r="B242" t="str">
            <v>ServerProtect for Windows</v>
          </cell>
          <cell r="C242" t="str">
            <v>5.58</v>
          </cell>
          <cell r="D242" t="str">
            <v>4.367.00</v>
          </cell>
          <cell r="E242" t="str">
            <v>à jour</v>
          </cell>
        </row>
        <row r="243">
          <cell r="A243" t="str">
            <v>GEAC01SOND03</v>
          </cell>
          <cell r="B243" t="str">
            <v>ServerProtect for Windows</v>
          </cell>
          <cell r="C243" t="str">
            <v>5.58</v>
          </cell>
          <cell r="D243" t="str">
            <v>4.367.00</v>
          </cell>
          <cell r="E243" t="str">
            <v>à jour</v>
          </cell>
        </row>
        <row r="244">
          <cell r="A244" t="str">
            <v>GEAC01SPEI01</v>
          </cell>
          <cell r="B244" t="str">
            <v>ServerProtect for Windows</v>
          </cell>
          <cell r="C244" t="str">
            <v>5.58</v>
          </cell>
          <cell r="D244" t="str">
            <v>4.367.00</v>
          </cell>
          <cell r="E244" t="str">
            <v>à jour</v>
          </cell>
        </row>
        <row r="245">
          <cell r="A245" t="str">
            <v>GEAC01SQLI1</v>
          </cell>
          <cell r="B245" t="str">
            <v>ServerProtect for Windows</v>
          </cell>
          <cell r="C245" t="str">
            <v>5.58</v>
          </cell>
          <cell r="D245" t="str">
            <v>4.367.00</v>
          </cell>
          <cell r="E245" t="str">
            <v>à jour</v>
          </cell>
        </row>
        <row r="246">
          <cell r="A246" t="str">
            <v>GEAC01SRV1</v>
          </cell>
          <cell r="B246" t="str">
            <v>ServerProtect for Windows</v>
          </cell>
          <cell r="C246" t="str">
            <v>5.58</v>
          </cell>
          <cell r="D246" t="str">
            <v>4.367.00</v>
          </cell>
          <cell r="E246" t="str">
            <v>à jour</v>
          </cell>
        </row>
        <row r="247">
          <cell r="A247" t="str">
            <v>GEAC01TBSM3</v>
          </cell>
          <cell r="B247" t="str">
            <v>ServerProtect for Windows</v>
          </cell>
          <cell r="C247" t="str">
            <v>5.58</v>
          </cell>
          <cell r="D247" t="str">
            <v>4.367.00</v>
          </cell>
          <cell r="E247" t="str">
            <v>à jour</v>
          </cell>
        </row>
        <row r="248">
          <cell r="A248" t="str">
            <v>GEAC01TBSM4</v>
          </cell>
          <cell r="B248" t="str">
            <v>ServerProtect for Windows</v>
          </cell>
          <cell r="C248" t="str">
            <v>5.58</v>
          </cell>
          <cell r="D248" t="str">
            <v>4.367.00</v>
          </cell>
          <cell r="E248" t="str">
            <v>à jour</v>
          </cell>
        </row>
        <row r="249">
          <cell r="A249" t="str">
            <v>GEAC01TBSM5</v>
          </cell>
          <cell r="B249" t="str">
            <v>ServerProtect for Windows</v>
          </cell>
          <cell r="C249" t="str">
            <v>5.58</v>
          </cell>
          <cell r="D249" t="str">
            <v>4.327.00</v>
          </cell>
          <cell r="E249" t="str">
            <v>pas à jour</v>
          </cell>
        </row>
        <row r="250">
          <cell r="A250" t="str">
            <v>GEAC01TBSM6</v>
          </cell>
          <cell r="B250" t="str">
            <v>ServerProtect for Windows</v>
          </cell>
          <cell r="C250" t="str">
            <v>5.58</v>
          </cell>
          <cell r="D250" t="str">
            <v>4.367.00</v>
          </cell>
          <cell r="E250" t="str">
            <v>à jour</v>
          </cell>
        </row>
        <row r="251">
          <cell r="A251" t="str">
            <v>GEAC01TBSM8</v>
          </cell>
          <cell r="B251" t="str">
            <v>ServerProtect for Windows</v>
          </cell>
          <cell r="C251" t="str">
            <v>5.58</v>
          </cell>
          <cell r="D251" t="str">
            <v>4.367.00</v>
          </cell>
          <cell r="E251" t="str">
            <v>à jour</v>
          </cell>
        </row>
        <row r="252">
          <cell r="A252" t="str">
            <v>GEAC01TIVO2</v>
          </cell>
          <cell r="B252" t="str">
            <v>ServerProtect for Windows</v>
          </cell>
          <cell r="C252" t="str">
            <v>5.58</v>
          </cell>
          <cell r="D252" t="str">
            <v>4.367.00</v>
          </cell>
          <cell r="E252" t="str">
            <v>à jour</v>
          </cell>
        </row>
        <row r="253">
          <cell r="A253" t="str">
            <v>GEAC01TIVO3</v>
          </cell>
          <cell r="B253" t="str">
            <v>ServerProtect for Windows</v>
          </cell>
          <cell r="C253" t="str">
            <v>5.58</v>
          </cell>
          <cell r="D253" t="str">
            <v>4.315.00</v>
          </cell>
          <cell r="E253" t="str">
            <v>pas à jour</v>
          </cell>
        </row>
        <row r="254">
          <cell r="A254" t="str">
            <v>GEAC01TRAD01</v>
          </cell>
          <cell r="B254" t="str">
            <v>ServerProtect for Windows</v>
          </cell>
          <cell r="C254" t="str">
            <v>5.58</v>
          </cell>
          <cell r="D254" t="str">
            <v>4.367.00</v>
          </cell>
          <cell r="E254" t="str">
            <v>à jour</v>
          </cell>
        </row>
        <row r="255">
          <cell r="A255" t="str">
            <v>GEAC01TRAN1</v>
          </cell>
          <cell r="B255" t="str">
            <v>ServerProtect for Windows</v>
          </cell>
          <cell r="C255" t="str">
            <v>5.58</v>
          </cell>
          <cell r="D255" t="str">
            <v>4.367.00</v>
          </cell>
          <cell r="E255" t="str">
            <v>à jour</v>
          </cell>
        </row>
        <row r="256">
          <cell r="A256" t="str">
            <v>GEAC01VEGJ01</v>
          </cell>
          <cell r="B256" t="str">
            <v>ServerProtect for Windows</v>
          </cell>
          <cell r="C256" t="str">
            <v>5.58</v>
          </cell>
          <cell r="D256" t="str">
            <v>3.451.00</v>
          </cell>
          <cell r="E256" t="str">
            <v>pas à jour</v>
          </cell>
        </row>
        <row r="257">
          <cell r="A257" t="str">
            <v>GEAC01VEGP1</v>
          </cell>
          <cell r="B257" t="str">
            <v>ServerProtect for Windows</v>
          </cell>
          <cell r="C257" t="str">
            <v>5.58</v>
          </cell>
          <cell r="D257" t="str">
            <v>4.367.00</v>
          </cell>
          <cell r="E257" t="str">
            <v>à jour</v>
          </cell>
        </row>
        <row r="258">
          <cell r="A258" t="str">
            <v>GEAC01VEGP2</v>
          </cell>
          <cell r="B258" t="str">
            <v>ServerProtect for Windows</v>
          </cell>
          <cell r="C258" t="str">
            <v>5.58</v>
          </cell>
          <cell r="D258" t="str">
            <v>4.367.00</v>
          </cell>
          <cell r="E258" t="str">
            <v>à jour</v>
          </cell>
        </row>
        <row r="259">
          <cell r="A259" t="str">
            <v>GEAC01VHRJ01</v>
          </cell>
          <cell r="B259" t="str">
            <v>ServerProtect for Windows</v>
          </cell>
          <cell r="C259" t="str">
            <v>5.58</v>
          </cell>
          <cell r="D259" t="str">
            <v>3.581.00</v>
          </cell>
          <cell r="E259" t="str">
            <v>pas à jour</v>
          </cell>
        </row>
        <row r="260">
          <cell r="A260" t="str">
            <v>GEAC01VSRV01</v>
          </cell>
          <cell r="B260" t="str">
            <v>ServerProtect for Windows</v>
          </cell>
          <cell r="C260" t="str">
            <v>5.58</v>
          </cell>
          <cell r="D260" t="str">
            <v>4.367.00</v>
          </cell>
          <cell r="E260" t="str">
            <v>à jour</v>
          </cell>
        </row>
        <row r="261">
          <cell r="A261" t="str">
            <v>GEAC01WBOB1</v>
          </cell>
          <cell r="B261" t="str">
            <v>ServerProtect for Windows</v>
          </cell>
          <cell r="C261" t="str">
            <v>5.58</v>
          </cell>
          <cell r="D261" t="str">
            <v>4.367.00</v>
          </cell>
          <cell r="E261" t="str">
            <v>à jour</v>
          </cell>
        </row>
        <row r="262">
          <cell r="A262" t="str">
            <v>GEAC01WBOB2</v>
          </cell>
          <cell r="B262" t="str">
            <v>ServerProtect for Windows</v>
          </cell>
          <cell r="C262" t="str">
            <v>5.58</v>
          </cell>
          <cell r="D262" t="str">
            <v>4.367.00</v>
          </cell>
          <cell r="E262" t="str">
            <v>à jour</v>
          </cell>
        </row>
        <row r="263">
          <cell r="A263" t="str">
            <v>GEAC01WBOB3</v>
          </cell>
          <cell r="B263" t="str">
            <v>ServerProtect for Windows</v>
          </cell>
          <cell r="C263" t="str">
            <v>5.58</v>
          </cell>
          <cell r="D263" t="str">
            <v>4.367.00</v>
          </cell>
          <cell r="E263" t="str">
            <v>à jour</v>
          </cell>
        </row>
        <row r="264">
          <cell r="A264" t="str">
            <v>GEAC01WCLA01</v>
          </cell>
          <cell r="B264" t="str">
            <v>ServerProtect for Windows</v>
          </cell>
          <cell r="C264" t="str">
            <v>5.58</v>
          </cell>
          <cell r="D264" t="str">
            <v>4.367.00</v>
          </cell>
          <cell r="E264" t="str">
            <v>à jour</v>
          </cell>
        </row>
        <row r="265">
          <cell r="A265" t="str">
            <v>GEAC01WDEF1</v>
          </cell>
          <cell r="B265" t="str">
            <v>ServerProtect for Windows</v>
          </cell>
          <cell r="C265" t="str">
            <v>5.58</v>
          </cell>
          <cell r="D265" t="str">
            <v>4.367.00</v>
          </cell>
          <cell r="E265" t="str">
            <v>à jour</v>
          </cell>
        </row>
        <row r="266">
          <cell r="A266" t="str">
            <v>GEAC01WDEP1</v>
          </cell>
          <cell r="B266" t="str">
            <v>ServerProtect for Windows</v>
          </cell>
          <cell r="C266" t="str">
            <v>5.58</v>
          </cell>
          <cell r="D266" t="str">
            <v>4.367.00</v>
          </cell>
          <cell r="E266" t="str">
            <v>à jour</v>
          </cell>
        </row>
        <row r="267">
          <cell r="A267" t="str">
            <v>GEAC01WESS1</v>
          </cell>
          <cell r="B267" t="str">
            <v>ServerProtect for Windows</v>
          </cell>
          <cell r="C267" t="str">
            <v>5.58</v>
          </cell>
          <cell r="D267" t="str">
            <v>4.367.00</v>
          </cell>
          <cell r="E267" t="str">
            <v>à jour</v>
          </cell>
        </row>
        <row r="268">
          <cell r="A268" t="str">
            <v>GEAC01WESS2</v>
          </cell>
          <cell r="B268" t="str">
            <v>ServerProtect for Windows</v>
          </cell>
          <cell r="C268" t="str">
            <v>5.58</v>
          </cell>
          <cell r="D268" t="str">
            <v>4.367.00</v>
          </cell>
          <cell r="E268" t="str">
            <v>à jour</v>
          </cell>
        </row>
        <row r="269">
          <cell r="A269" t="str">
            <v>GEAC01WESS3</v>
          </cell>
          <cell r="B269" t="str">
            <v>ServerProtect for Windows</v>
          </cell>
          <cell r="C269" t="str">
            <v>5.58</v>
          </cell>
          <cell r="D269" t="str">
            <v>4.367.00</v>
          </cell>
          <cell r="E269" t="str">
            <v>à jour</v>
          </cell>
        </row>
        <row r="270">
          <cell r="A270" t="str">
            <v>GEAC01WGEO4</v>
          </cell>
          <cell r="B270" t="str">
            <v>ServerProtect for Windows</v>
          </cell>
          <cell r="C270" t="str">
            <v>5.58</v>
          </cell>
          <cell r="D270" t="str">
            <v>4.367.00</v>
          </cell>
          <cell r="E270" t="str">
            <v>à jour</v>
          </cell>
        </row>
        <row r="271">
          <cell r="A271" t="str">
            <v>GEAC01WGEO5</v>
          </cell>
          <cell r="B271" t="str">
            <v>ServerProtect for Windows</v>
          </cell>
          <cell r="D271" t="str">
            <v>3.155.00</v>
          </cell>
          <cell r="E271" t="str">
            <v>pas à jour</v>
          </cell>
        </row>
        <row r="272">
          <cell r="A272" t="str">
            <v>GEAC01WGEO5</v>
          </cell>
          <cell r="B272" t="str">
            <v>ServerProtect for Windows</v>
          </cell>
          <cell r="C272" t="str">
            <v>5.58</v>
          </cell>
          <cell r="D272" t="str">
            <v>4.367.00</v>
          </cell>
          <cell r="E272" t="str">
            <v>à jour</v>
          </cell>
        </row>
        <row r="273">
          <cell r="A273" t="str">
            <v>GEAC01WGEO6</v>
          </cell>
          <cell r="B273" t="str">
            <v>ServerProtect for Windows</v>
          </cell>
          <cell r="C273" t="str">
            <v>5.58</v>
          </cell>
          <cell r="D273" t="str">
            <v>4.367.00</v>
          </cell>
          <cell r="E273" t="str">
            <v>à jour</v>
          </cell>
        </row>
        <row r="274">
          <cell r="A274" t="str">
            <v>GEAC01WGEO7</v>
          </cell>
          <cell r="B274" t="str">
            <v>ServerProtect for Windows</v>
          </cell>
          <cell r="C274" t="str">
            <v>5.58</v>
          </cell>
          <cell r="D274" t="str">
            <v>4.367.00</v>
          </cell>
          <cell r="E274" t="str">
            <v>à jour</v>
          </cell>
        </row>
        <row r="275">
          <cell r="A275" t="str">
            <v>GEAC01WGEO8</v>
          </cell>
          <cell r="B275" t="str">
            <v>ServerProtect for Windows</v>
          </cell>
          <cell r="C275" t="str">
            <v>5.58</v>
          </cell>
          <cell r="D275" t="str">
            <v>4.367.00</v>
          </cell>
          <cell r="E275" t="str">
            <v>à jour</v>
          </cell>
        </row>
        <row r="276">
          <cell r="A276" t="str">
            <v>GEAC01WGTR4</v>
          </cell>
          <cell r="B276" t="str">
            <v>ServerProtect for Windows</v>
          </cell>
          <cell r="C276" t="str">
            <v>5.58</v>
          </cell>
          <cell r="D276" t="str">
            <v>4.367.00</v>
          </cell>
          <cell r="E276" t="str">
            <v>à jour</v>
          </cell>
        </row>
        <row r="277">
          <cell r="A277" t="str">
            <v>GEAC01WGTR5</v>
          </cell>
          <cell r="B277" t="str">
            <v>ServerProtect for Windows</v>
          </cell>
          <cell r="C277" t="str">
            <v>5.58</v>
          </cell>
          <cell r="D277" t="str">
            <v>4.367.00</v>
          </cell>
          <cell r="E277" t="str">
            <v>à jour</v>
          </cell>
        </row>
        <row r="278">
          <cell r="A278" t="str">
            <v>GEAC01WGTR6</v>
          </cell>
          <cell r="B278" t="str">
            <v>ServerProtect for Windows</v>
          </cell>
          <cell r="C278" t="str">
            <v>5.58</v>
          </cell>
          <cell r="D278" t="str">
            <v>4.367.00</v>
          </cell>
          <cell r="E278" t="str">
            <v>à jour</v>
          </cell>
        </row>
        <row r="279">
          <cell r="A279" t="str">
            <v>GEAC01WGTR7</v>
          </cell>
          <cell r="B279" t="str">
            <v>ServerProtect for Windows</v>
          </cell>
          <cell r="C279" t="str">
            <v>5.58</v>
          </cell>
          <cell r="D279" t="str">
            <v>4.367.00</v>
          </cell>
          <cell r="E279" t="str">
            <v>à jour</v>
          </cell>
        </row>
        <row r="280">
          <cell r="A280" t="str">
            <v>GEAC01WGTR7</v>
          </cell>
          <cell r="B280" t="str">
            <v>ServerProtect for Windows</v>
          </cell>
          <cell r="C280" t="str">
            <v>5.58</v>
          </cell>
          <cell r="D280" t="str">
            <v>4.367.00</v>
          </cell>
          <cell r="E280" t="str">
            <v>à jour</v>
          </cell>
        </row>
        <row r="281">
          <cell r="A281" t="str">
            <v>GEAC01WGTR8</v>
          </cell>
          <cell r="B281" t="str">
            <v>ServerProtect for Windows</v>
          </cell>
          <cell r="C281" t="str">
            <v>5.58</v>
          </cell>
          <cell r="D281" t="str">
            <v>4.367.00</v>
          </cell>
          <cell r="E281" t="str">
            <v>à jour</v>
          </cell>
        </row>
        <row r="282">
          <cell r="A282" t="str">
            <v>GEAC01WGTR9</v>
          </cell>
          <cell r="B282" t="str">
            <v>ServerProtect for Windows</v>
          </cell>
          <cell r="C282" t="str">
            <v>5.58</v>
          </cell>
          <cell r="D282" t="str">
            <v>4.367.00</v>
          </cell>
          <cell r="E282" t="str">
            <v>à jour</v>
          </cell>
        </row>
        <row r="283">
          <cell r="A283" t="str">
            <v>GEAC01WHRA3</v>
          </cell>
          <cell r="B283" t="str">
            <v>ServerProtect for Windows</v>
          </cell>
          <cell r="C283" t="str">
            <v>5.58</v>
          </cell>
          <cell r="D283" t="str">
            <v>4.367.00</v>
          </cell>
          <cell r="E283" t="str">
            <v>à jour</v>
          </cell>
        </row>
        <row r="284">
          <cell r="A284" t="str">
            <v>GEAC01WHRA4</v>
          </cell>
          <cell r="B284" t="str">
            <v>ServerProtect for Windows</v>
          </cell>
          <cell r="C284" t="str">
            <v>5.58</v>
          </cell>
          <cell r="D284" t="str">
            <v>4.367.00</v>
          </cell>
          <cell r="E284" t="str">
            <v>à jour</v>
          </cell>
        </row>
        <row r="285">
          <cell r="A285" t="str">
            <v>GEAC01WIEX3</v>
          </cell>
          <cell r="B285" t="str">
            <v>ServerProtect for Windows</v>
          </cell>
          <cell r="D285" t="str">
            <v>3.139.00</v>
          </cell>
          <cell r="E285" t="str">
            <v>pas à jour</v>
          </cell>
        </row>
        <row r="286">
          <cell r="A286" t="str">
            <v>GEAC01WIEX3</v>
          </cell>
          <cell r="B286" t="str">
            <v>ServerProtect for Windows</v>
          </cell>
          <cell r="C286" t="str">
            <v>5.58</v>
          </cell>
          <cell r="D286" t="str">
            <v>4.367.00</v>
          </cell>
          <cell r="E286" t="str">
            <v>à jour</v>
          </cell>
        </row>
        <row r="287">
          <cell r="A287" t="str">
            <v>GEAC01WIEX4</v>
          </cell>
          <cell r="B287" t="str">
            <v>ServerProtect for Windows</v>
          </cell>
          <cell r="C287" t="str">
            <v>5.58</v>
          </cell>
          <cell r="D287" t="str">
            <v>4.367.00</v>
          </cell>
          <cell r="E287" t="str">
            <v>à jour</v>
          </cell>
        </row>
        <row r="288">
          <cell r="A288" t="str">
            <v>GEAC01WIEX5</v>
          </cell>
          <cell r="B288" t="str">
            <v>ServerProtect for Windows</v>
          </cell>
          <cell r="C288" t="str">
            <v>5.58</v>
          </cell>
          <cell r="D288" t="str">
            <v>4.367.00</v>
          </cell>
          <cell r="E288" t="str">
            <v>à jour</v>
          </cell>
        </row>
        <row r="289">
          <cell r="A289" t="str">
            <v>GEAC01WIEX6</v>
          </cell>
          <cell r="B289" t="str">
            <v>ServerProtect for Windows</v>
          </cell>
          <cell r="C289" t="str">
            <v>5.58</v>
          </cell>
          <cell r="D289" t="str">
            <v>4.367.00</v>
          </cell>
          <cell r="E289" t="str">
            <v>à jour</v>
          </cell>
        </row>
        <row r="290">
          <cell r="A290" t="str">
            <v>GEAC01WISI1</v>
          </cell>
          <cell r="B290" t="str">
            <v>ServerProtect for Windows</v>
          </cell>
          <cell r="C290" t="str">
            <v>5.58</v>
          </cell>
          <cell r="D290" t="str">
            <v>4.367.00</v>
          </cell>
          <cell r="E290" t="str">
            <v>à jour</v>
          </cell>
        </row>
        <row r="291">
          <cell r="A291" t="str">
            <v>GEAC01WISJ1</v>
          </cell>
          <cell r="B291" t="str">
            <v>ServerProtect for Windows</v>
          </cell>
          <cell r="C291" t="str">
            <v>5.58</v>
          </cell>
          <cell r="D291" t="str">
            <v>4.367.00</v>
          </cell>
          <cell r="E291" t="str">
            <v>à jour</v>
          </cell>
        </row>
        <row r="292">
          <cell r="A292" t="str">
            <v>GEAC01WISY1</v>
          </cell>
          <cell r="B292" t="str">
            <v>ServerProtect for Windows</v>
          </cell>
          <cell r="C292" t="str">
            <v>5.58</v>
          </cell>
          <cell r="D292" t="str">
            <v>4.367.00</v>
          </cell>
          <cell r="E292" t="str">
            <v>à jour</v>
          </cell>
        </row>
        <row r="293">
          <cell r="A293" t="str">
            <v>GEAC01WISY2</v>
          </cell>
          <cell r="B293" t="str">
            <v>ServerProtect for Windows</v>
          </cell>
          <cell r="C293" t="str">
            <v>5.58</v>
          </cell>
          <cell r="D293" t="str">
            <v>4.367.00</v>
          </cell>
          <cell r="E293" t="str">
            <v>à jour</v>
          </cell>
        </row>
        <row r="294">
          <cell r="A294" t="str">
            <v>GEAC01WISY3</v>
          </cell>
          <cell r="B294" t="str">
            <v>ServerProtect for Windows</v>
          </cell>
          <cell r="C294" t="str">
            <v>5.58</v>
          </cell>
          <cell r="D294" t="str">
            <v>4.367.00</v>
          </cell>
          <cell r="E294" t="str">
            <v>à jour</v>
          </cell>
        </row>
        <row r="295">
          <cell r="A295" t="str">
            <v>GEAC01WISY4</v>
          </cell>
          <cell r="B295" t="str">
            <v>ServerProtect for Windows</v>
          </cell>
          <cell r="C295" t="str">
            <v>5.58</v>
          </cell>
          <cell r="D295" t="str">
            <v>4.367.00</v>
          </cell>
          <cell r="E295" t="str">
            <v>à jour</v>
          </cell>
        </row>
        <row r="296">
          <cell r="A296" t="str">
            <v>GEAC01WISY5</v>
          </cell>
          <cell r="B296" t="str">
            <v>ServerProtect for Windows</v>
          </cell>
          <cell r="C296" t="str">
            <v>5.58</v>
          </cell>
          <cell r="D296" t="str">
            <v>4.367.00</v>
          </cell>
          <cell r="E296" t="str">
            <v>à jour</v>
          </cell>
        </row>
        <row r="297">
          <cell r="A297" t="str">
            <v>GEAC01WISY6</v>
          </cell>
          <cell r="B297" t="str">
            <v>ServerProtect for Windows</v>
          </cell>
          <cell r="C297" t="str">
            <v>5.58</v>
          </cell>
          <cell r="D297" t="str">
            <v>4.367.00</v>
          </cell>
          <cell r="E297" t="str">
            <v>à jour</v>
          </cell>
        </row>
        <row r="298">
          <cell r="A298" t="str">
            <v>GEAC01WJDC1</v>
          </cell>
          <cell r="B298" t="str">
            <v>ServerProtect for Windows</v>
          </cell>
          <cell r="C298" t="str">
            <v>5.58</v>
          </cell>
          <cell r="D298" t="str">
            <v>4.367.00</v>
          </cell>
          <cell r="E298" t="str">
            <v>à jour</v>
          </cell>
        </row>
        <row r="299">
          <cell r="A299" t="str">
            <v>GEAC01WMIC2</v>
          </cell>
          <cell r="B299" t="str">
            <v>ServerProtect for Windows</v>
          </cell>
          <cell r="C299" t="str">
            <v>5.58</v>
          </cell>
          <cell r="D299" t="str">
            <v>4.367.00</v>
          </cell>
          <cell r="E299" t="str">
            <v>à jour</v>
          </cell>
        </row>
        <row r="300">
          <cell r="A300" t="str">
            <v>GEAC01WMIC3</v>
          </cell>
          <cell r="B300" t="str">
            <v>ServerProtect for Windows</v>
          </cell>
          <cell r="C300" t="str">
            <v>5.58</v>
          </cell>
          <cell r="D300" t="str">
            <v>4.367.00</v>
          </cell>
          <cell r="E300" t="str">
            <v>à jour</v>
          </cell>
        </row>
        <row r="301">
          <cell r="A301" t="str">
            <v>GEAC01WMM01</v>
          </cell>
          <cell r="B301" t="str">
            <v>ServerProtect for Windows</v>
          </cell>
          <cell r="C301" t="str">
            <v>5.58</v>
          </cell>
          <cell r="D301" t="str">
            <v>4.367.00</v>
          </cell>
          <cell r="E301" t="str">
            <v>à jour</v>
          </cell>
        </row>
        <row r="302">
          <cell r="A302" t="str">
            <v>GEAC01WMUT1</v>
          </cell>
          <cell r="B302" t="str">
            <v>ServerProtect for Windows</v>
          </cell>
          <cell r="C302" t="str">
            <v>5.58</v>
          </cell>
          <cell r="D302" t="str">
            <v>4.367.00</v>
          </cell>
          <cell r="E302" t="str">
            <v>à jour</v>
          </cell>
        </row>
        <row r="303">
          <cell r="A303" t="str">
            <v>GEAC01WMUT2</v>
          </cell>
          <cell r="B303" t="str">
            <v>ServerProtect for Windows</v>
          </cell>
          <cell r="C303" t="str">
            <v>5.58</v>
          </cell>
          <cell r="D303" t="str">
            <v>4.367.00</v>
          </cell>
          <cell r="E303" t="str">
            <v>à jour</v>
          </cell>
        </row>
        <row r="304">
          <cell r="A304" t="str">
            <v>GEAC01WMUT3</v>
          </cell>
          <cell r="B304" t="str">
            <v>ServerProtect for Windows</v>
          </cell>
          <cell r="C304" t="str">
            <v>5.58</v>
          </cell>
          <cell r="D304" t="str">
            <v>4.367.00</v>
          </cell>
          <cell r="E304" t="str">
            <v>à jour</v>
          </cell>
        </row>
        <row r="305">
          <cell r="A305" t="str">
            <v>GEAC01WMUT4</v>
          </cell>
          <cell r="B305" t="str">
            <v>ServerProtect for Windows</v>
          </cell>
          <cell r="C305" t="str">
            <v>5.58</v>
          </cell>
          <cell r="D305" t="str">
            <v>4.367.00</v>
          </cell>
          <cell r="E305" t="str">
            <v>à jour</v>
          </cell>
        </row>
        <row r="306">
          <cell r="A306" t="str">
            <v>GEAC01WMUT5</v>
          </cell>
          <cell r="B306" t="str">
            <v>ServerProtect for Windows</v>
          </cell>
          <cell r="C306" t="str">
            <v>5.58</v>
          </cell>
          <cell r="D306" t="str">
            <v>4.367.00</v>
          </cell>
          <cell r="E306" t="str">
            <v>à jour</v>
          </cell>
        </row>
        <row r="307">
          <cell r="A307" t="str">
            <v>GEAC01WMUT6</v>
          </cell>
          <cell r="B307" t="str">
            <v>ServerProtect for Windows</v>
          </cell>
          <cell r="C307" t="str">
            <v>5.58</v>
          </cell>
          <cell r="D307" t="str">
            <v>4.367.00</v>
          </cell>
          <cell r="E307" t="str">
            <v>à jour</v>
          </cell>
        </row>
        <row r="308">
          <cell r="A308" t="str">
            <v>GEAC01WMUT7</v>
          </cell>
          <cell r="B308" t="str">
            <v>ServerProtect for Windows</v>
          </cell>
          <cell r="C308" t="str">
            <v>5.58</v>
          </cell>
          <cell r="D308" t="str">
            <v>4.367.00</v>
          </cell>
          <cell r="E308" t="str">
            <v>à jour</v>
          </cell>
        </row>
        <row r="309">
          <cell r="A309" t="str">
            <v>GEAC01WMUT8</v>
          </cell>
          <cell r="B309" t="str">
            <v>ServerProtect for Windows</v>
          </cell>
          <cell r="C309" t="str">
            <v>5.58</v>
          </cell>
          <cell r="D309" t="str">
            <v>4.367.00</v>
          </cell>
          <cell r="E309" t="str">
            <v>à jour</v>
          </cell>
        </row>
        <row r="310">
          <cell r="A310" t="str">
            <v>GEAC01WNOL3</v>
          </cell>
          <cell r="B310" t="str">
            <v>ServerProtect for Windows</v>
          </cell>
          <cell r="C310" t="str">
            <v>5.58</v>
          </cell>
          <cell r="D310" t="str">
            <v>4.367.00</v>
          </cell>
          <cell r="E310" t="str">
            <v>à jour</v>
          </cell>
        </row>
        <row r="311">
          <cell r="A311" t="str">
            <v>GEAC01WNOL4</v>
          </cell>
          <cell r="B311" t="str">
            <v>ServerProtect for Windows</v>
          </cell>
          <cell r="C311" t="str">
            <v>5.58</v>
          </cell>
          <cell r="D311" t="str">
            <v>4.367.00</v>
          </cell>
          <cell r="E311" t="str">
            <v>à jour</v>
          </cell>
        </row>
        <row r="312">
          <cell r="A312" t="str">
            <v>GEAC01WNOL5</v>
          </cell>
          <cell r="B312" t="str">
            <v>ServerProtect for Windows</v>
          </cell>
          <cell r="C312" t="str">
            <v>5.58</v>
          </cell>
          <cell r="D312" t="str">
            <v>4.367.00</v>
          </cell>
          <cell r="E312" t="str">
            <v>à jour</v>
          </cell>
        </row>
        <row r="313">
          <cell r="A313" t="str">
            <v>GEAC01WNOL6</v>
          </cell>
          <cell r="B313" t="str">
            <v>ServerProtect for Windows</v>
          </cell>
          <cell r="C313" t="str">
            <v>5.58</v>
          </cell>
          <cell r="D313" t="str">
            <v>4.367.00</v>
          </cell>
          <cell r="E313" t="str">
            <v>à jour</v>
          </cell>
        </row>
        <row r="314">
          <cell r="A314" t="str">
            <v>GEAC01WNOL7</v>
          </cell>
          <cell r="B314" t="str">
            <v>ServerProtect for Windows</v>
          </cell>
          <cell r="C314" t="str">
            <v>5.58</v>
          </cell>
          <cell r="D314" t="str">
            <v>4.367.00</v>
          </cell>
          <cell r="E314" t="str">
            <v>à jour</v>
          </cell>
        </row>
        <row r="315">
          <cell r="A315" t="str">
            <v>GEAC01WNOL8</v>
          </cell>
          <cell r="B315" t="str">
            <v>ServerProtect for Windows</v>
          </cell>
          <cell r="C315" t="str">
            <v>5.58</v>
          </cell>
          <cell r="D315" t="str">
            <v>4.367.00</v>
          </cell>
          <cell r="E315" t="str">
            <v>à jour</v>
          </cell>
        </row>
        <row r="316">
          <cell r="A316" t="str">
            <v>GEAC01WNOS1</v>
          </cell>
          <cell r="B316" t="str">
            <v>ServerProtect for Windows</v>
          </cell>
          <cell r="C316" t="str">
            <v>5.58</v>
          </cell>
          <cell r="D316" t="str">
            <v>4.367.00</v>
          </cell>
          <cell r="E316" t="str">
            <v>à jour</v>
          </cell>
        </row>
        <row r="317">
          <cell r="A317" t="str">
            <v>GEAC01WNOS2</v>
          </cell>
          <cell r="B317" t="str">
            <v>ServerProtect for Windows</v>
          </cell>
          <cell r="C317" t="str">
            <v>5.58</v>
          </cell>
          <cell r="D317" t="str">
            <v>4.367.00</v>
          </cell>
          <cell r="E317" t="str">
            <v>à jour</v>
          </cell>
        </row>
        <row r="318">
          <cell r="A318" t="str">
            <v>GEAC01WNOS3</v>
          </cell>
          <cell r="B318" t="str">
            <v>ServerProtect for Windows</v>
          </cell>
          <cell r="C318" t="str">
            <v>5.58</v>
          </cell>
          <cell r="D318" t="str">
            <v>4.367.00</v>
          </cell>
          <cell r="E318" t="str">
            <v>à jour</v>
          </cell>
        </row>
        <row r="319">
          <cell r="A319" t="str">
            <v>GEAC01WNOS4</v>
          </cell>
          <cell r="B319" t="str">
            <v>ServerProtect for Windows</v>
          </cell>
          <cell r="C319" t="str">
            <v>5.58</v>
          </cell>
          <cell r="D319" t="str">
            <v>2.598.00</v>
          </cell>
          <cell r="E319" t="str">
            <v>pas à jour</v>
          </cell>
        </row>
        <row r="320">
          <cell r="A320" t="str">
            <v>GEAC01WNOS4</v>
          </cell>
          <cell r="B320" t="str">
            <v>ServerProtect for Windows</v>
          </cell>
          <cell r="C320" t="str">
            <v>5.58</v>
          </cell>
          <cell r="D320" t="str">
            <v>4.367.00</v>
          </cell>
          <cell r="E320" t="str">
            <v>à jour</v>
          </cell>
        </row>
        <row r="321">
          <cell r="A321" t="str">
            <v>GEAC01WNOS5</v>
          </cell>
          <cell r="B321" t="str">
            <v>ServerProtect for Windows</v>
          </cell>
          <cell r="C321" t="str">
            <v>5.58</v>
          </cell>
          <cell r="D321" t="str">
            <v>4.367.00</v>
          </cell>
          <cell r="E321" t="str">
            <v>à jour</v>
          </cell>
        </row>
        <row r="322">
          <cell r="A322" t="str">
            <v>GEAC01WNOS6</v>
          </cell>
          <cell r="B322" t="str">
            <v>ServerProtect for Windows</v>
          </cell>
          <cell r="C322" t="str">
            <v>5.58</v>
          </cell>
          <cell r="D322" t="str">
            <v>4.367.00</v>
          </cell>
          <cell r="E322" t="str">
            <v>à jour</v>
          </cell>
        </row>
        <row r="323">
          <cell r="A323" t="str">
            <v>GEAC01WNOS7</v>
          </cell>
          <cell r="B323" t="str">
            <v>ServerProtect for Windows</v>
          </cell>
          <cell r="C323" t="str">
            <v>5.58</v>
          </cell>
          <cell r="D323" t="str">
            <v>4.367.00</v>
          </cell>
          <cell r="E323" t="str">
            <v>à jour</v>
          </cell>
        </row>
        <row r="324">
          <cell r="A324" t="str">
            <v>GEAC01WNOS8</v>
          </cell>
          <cell r="B324" t="str">
            <v>ServerProtect for Windows</v>
          </cell>
          <cell r="C324" t="str">
            <v>5.58</v>
          </cell>
          <cell r="D324" t="str">
            <v>4.367.00</v>
          </cell>
          <cell r="E324" t="str">
            <v>à jour</v>
          </cell>
        </row>
        <row r="325">
          <cell r="A325" t="str">
            <v>GEAC01WNOS9</v>
          </cell>
          <cell r="B325" t="str">
            <v>ServerProtect for Windows</v>
          </cell>
          <cell r="C325" t="str">
            <v>5.58</v>
          </cell>
          <cell r="D325" t="str">
            <v>4.367.00</v>
          </cell>
          <cell r="E325" t="str">
            <v>à jour</v>
          </cell>
        </row>
        <row r="326">
          <cell r="A326" t="str">
            <v>GEAC01WOLK1</v>
          </cell>
          <cell r="B326" t="str">
            <v>ServerProtect for Windows</v>
          </cell>
          <cell r="C326" t="str">
            <v>5.58</v>
          </cell>
          <cell r="D326" t="str">
            <v>4.367.00</v>
          </cell>
          <cell r="E326" t="str">
            <v>à jour</v>
          </cell>
        </row>
        <row r="327">
          <cell r="A327" t="str">
            <v>GEAC01WOLK2</v>
          </cell>
          <cell r="B327" t="str">
            <v>ServerProtect for Windows</v>
          </cell>
          <cell r="C327" t="str">
            <v>5.58</v>
          </cell>
          <cell r="D327" t="str">
            <v>4.367.00</v>
          </cell>
          <cell r="E327" t="str">
            <v>à jour</v>
          </cell>
        </row>
        <row r="328">
          <cell r="A328" t="str">
            <v>GEAC01WOLK4</v>
          </cell>
          <cell r="B328" t="str">
            <v>ServerProtect for Windows</v>
          </cell>
          <cell r="C328" t="str">
            <v>5.58</v>
          </cell>
          <cell r="D328" t="str">
            <v>4.367.00</v>
          </cell>
          <cell r="E328" t="str">
            <v>à jour</v>
          </cell>
        </row>
        <row r="329">
          <cell r="A329" t="str">
            <v>GEAC01WOLK5</v>
          </cell>
          <cell r="B329" t="str">
            <v>ServerProtect for Windows</v>
          </cell>
          <cell r="C329" t="str">
            <v>5.58</v>
          </cell>
          <cell r="D329" t="str">
            <v>4.367.00</v>
          </cell>
          <cell r="E329" t="str">
            <v>à jour</v>
          </cell>
        </row>
        <row r="330">
          <cell r="A330" t="str">
            <v>GEAC01WOLK6</v>
          </cell>
          <cell r="B330" t="str">
            <v>ServerProtect for Windows</v>
          </cell>
          <cell r="C330" t="str">
            <v>5.58</v>
          </cell>
          <cell r="D330" t="str">
            <v>4.367.00</v>
          </cell>
          <cell r="E330" t="str">
            <v>à jour</v>
          </cell>
        </row>
        <row r="331">
          <cell r="A331" t="str">
            <v>GEAC01WOLK7</v>
          </cell>
          <cell r="B331" t="str">
            <v>ServerProtect for Windows</v>
          </cell>
          <cell r="C331" t="str">
            <v>5.58</v>
          </cell>
          <cell r="D331" t="str">
            <v>4.367.00</v>
          </cell>
          <cell r="E331" t="str">
            <v>à jour</v>
          </cell>
        </row>
        <row r="332">
          <cell r="A332" t="str">
            <v>GEAC01WOLK8</v>
          </cell>
          <cell r="B332" t="str">
            <v>ServerProtect for Windows</v>
          </cell>
          <cell r="C332" t="str">
            <v>5.58</v>
          </cell>
          <cell r="D332" t="str">
            <v>4.367.00</v>
          </cell>
          <cell r="E332" t="str">
            <v>à jour</v>
          </cell>
        </row>
        <row r="333">
          <cell r="A333" t="str">
            <v>GEAC01WOLK9</v>
          </cell>
          <cell r="B333" t="str">
            <v>ServerProtect for Windows</v>
          </cell>
          <cell r="C333" t="str">
            <v>5.58</v>
          </cell>
          <cell r="D333" t="str">
            <v>4.367.00</v>
          </cell>
          <cell r="E333" t="str">
            <v>à jour</v>
          </cell>
        </row>
        <row r="334">
          <cell r="A334" t="str">
            <v>GEAC01WOPT1</v>
          </cell>
          <cell r="B334" t="str">
            <v>ServerProtect for Windows</v>
          </cell>
          <cell r="C334" t="str">
            <v>5.58</v>
          </cell>
          <cell r="D334" t="str">
            <v>4.367.00</v>
          </cell>
          <cell r="E334" t="str">
            <v>à jour</v>
          </cell>
        </row>
        <row r="335">
          <cell r="A335" t="str">
            <v>GEAC01WOPT2</v>
          </cell>
          <cell r="B335" t="str">
            <v>ServerProtect for Windows</v>
          </cell>
          <cell r="C335" t="str">
            <v>5.58</v>
          </cell>
          <cell r="D335" t="str">
            <v>4.367.00</v>
          </cell>
          <cell r="E335" t="str">
            <v>à jour</v>
          </cell>
        </row>
        <row r="336">
          <cell r="A336" t="str">
            <v>GEAC01WOPT3</v>
          </cell>
          <cell r="B336" t="str">
            <v>ServerProtect for Windows</v>
          </cell>
          <cell r="C336" t="str">
            <v>5.58</v>
          </cell>
          <cell r="D336" t="str">
            <v>4.367.00</v>
          </cell>
          <cell r="E336" t="str">
            <v>à jour</v>
          </cell>
        </row>
        <row r="337">
          <cell r="A337" t="str">
            <v>GEAC01WPAP1</v>
          </cell>
          <cell r="B337" t="str">
            <v>ServerProtect for Windows</v>
          </cell>
          <cell r="C337" t="str">
            <v>5.58</v>
          </cell>
          <cell r="D337" t="str">
            <v>4.367.00</v>
          </cell>
          <cell r="E337" t="str">
            <v>à jour</v>
          </cell>
        </row>
        <row r="338">
          <cell r="A338" t="str">
            <v>GEAC01WPAP2</v>
          </cell>
          <cell r="B338" t="str">
            <v>ServerProtect for Windows</v>
          </cell>
          <cell r="C338" t="str">
            <v>5.58</v>
          </cell>
          <cell r="D338" t="str">
            <v>4.367.00</v>
          </cell>
          <cell r="E338" t="str">
            <v>à jour</v>
          </cell>
        </row>
        <row r="339">
          <cell r="A339" t="str">
            <v>GEAC01WPME1</v>
          </cell>
          <cell r="B339" t="str">
            <v>ServerProtect for Windows</v>
          </cell>
          <cell r="C339" t="str">
            <v>5.58</v>
          </cell>
          <cell r="D339" t="str">
            <v>4.367.00</v>
          </cell>
          <cell r="E339" t="str">
            <v>à jour</v>
          </cell>
        </row>
        <row r="340">
          <cell r="A340" t="str">
            <v>GEAC01WPME2</v>
          </cell>
          <cell r="B340" t="str">
            <v>ServerProtect for Windows</v>
          </cell>
          <cell r="C340" t="str">
            <v>5.58</v>
          </cell>
          <cell r="D340" t="str">
            <v>4.367.00</v>
          </cell>
          <cell r="E340" t="str">
            <v>à jour</v>
          </cell>
        </row>
        <row r="341">
          <cell r="A341" t="str">
            <v>GEAC01WPME3</v>
          </cell>
          <cell r="B341" t="str">
            <v>ServerProtect for Windows</v>
          </cell>
          <cell r="C341" t="str">
            <v>5.58</v>
          </cell>
          <cell r="D341" t="str">
            <v>2.412.00</v>
          </cell>
          <cell r="E341" t="str">
            <v>pas à jour</v>
          </cell>
        </row>
        <row r="342">
          <cell r="A342" t="str">
            <v>GEAC01WPME3</v>
          </cell>
          <cell r="B342" t="str">
            <v>ServerProtect for Windows</v>
          </cell>
          <cell r="C342" t="str">
            <v>5.58</v>
          </cell>
          <cell r="D342" t="str">
            <v>4.367.00</v>
          </cell>
          <cell r="E342" t="str">
            <v>à jour</v>
          </cell>
        </row>
        <row r="343">
          <cell r="A343" t="str">
            <v>GEAC01WPME4</v>
          </cell>
          <cell r="B343" t="str">
            <v>ServerProtect for Windows</v>
          </cell>
          <cell r="C343" t="str">
            <v>5.58</v>
          </cell>
          <cell r="D343" t="str">
            <v>3.185.00</v>
          </cell>
          <cell r="E343" t="str">
            <v>pas à jour</v>
          </cell>
        </row>
        <row r="344">
          <cell r="A344" t="str">
            <v>GEAC01WPME4</v>
          </cell>
          <cell r="B344" t="str">
            <v>ServerProtect for Windows</v>
          </cell>
          <cell r="C344" t="str">
            <v>5.58</v>
          </cell>
          <cell r="D344" t="str">
            <v>4.367.00</v>
          </cell>
          <cell r="E344" t="str">
            <v>à jour</v>
          </cell>
        </row>
        <row r="345">
          <cell r="A345" t="str">
            <v>GEAC01WPME5</v>
          </cell>
          <cell r="B345" t="str">
            <v>ServerProtect for Windows</v>
          </cell>
          <cell r="C345" t="str">
            <v>5.58</v>
          </cell>
          <cell r="D345" t="str">
            <v>4.367.00</v>
          </cell>
          <cell r="E345" t="str">
            <v>à jour</v>
          </cell>
        </row>
        <row r="346">
          <cell r="A346" t="str">
            <v>GEAC01WPME6</v>
          </cell>
          <cell r="B346" t="str">
            <v>ServerProtect for Windows</v>
          </cell>
          <cell r="C346" t="str">
            <v>5.58</v>
          </cell>
          <cell r="D346" t="str">
            <v>4.367.00</v>
          </cell>
          <cell r="E346" t="str">
            <v>à jour</v>
          </cell>
        </row>
        <row r="347">
          <cell r="A347" t="str">
            <v>GEAC01WPME7</v>
          </cell>
          <cell r="B347" t="str">
            <v>ServerProtect for Windows</v>
          </cell>
          <cell r="C347" t="str">
            <v>5.58</v>
          </cell>
          <cell r="D347" t="str">
            <v>4.367.00</v>
          </cell>
          <cell r="E347" t="str">
            <v>à jour</v>
          </cell>
        </row>
        <row r="348">
          <cell r="A348" t="str">
            <v>GEAC01WPME8</v>
          </cell>
          <cell r="B348" t="str">
            <v>ServerProtect for Windows</v>
          </cell>
          <cell r="C348" t="str">
            <v>5.58</v>
          </cell>
          <cell r="D348" t="str">
            <v>4.367.00</v>
          </cell>
          <cell r="E348" t="str">
            <v>à jour</v>
          </cell>
        </row>
        <row r="349">
          <cell r="A349" t="str">
            <v>GEAC01WPME9</v>
          </cell>
          <cell r="B349" t="str">
            <v>ServerProtect for Windows</v>
          </cell>
          <cell r="C349" t="str">
            <v>5.58</v>
          </cell>
          <cell r="D349" t="str">
            <v>4.367.00</v>
          </cell>
          <cell r="E349" t="str">
            <v>à jour</v>
          </cell>
        </row>
        <row r="350">
          <cell r="A350" t="str">
            <v>GEAC01WPPR1</v>
          </cell>
          <cell r="B350" t="str">
            <v>ServerProtect for Windows</v>
          </cell>
          <cell r="C350" t="str">
            <v>5.58</v>
          </cell>
          <cell r="D350" t="str">
            <v>4.367.00</v>
          </cell>
          <cell r="E350" t="str">
            <v>à jour</v>
          </cell>
        </row>
        <row r="351">
          <cell r="A351" t="str">
            <v>GEAC01WPPR2</v>
          </cell>
          <cell r="B351" t="str">
            <v>ServerProtect for Windows</v>
          </cell>
          <cell r="C351" t="str">
            <v>5.58</v>
          </cell>
          <cell r="D351" t="str">
            <v>4.367.00</v>
          </cell>
          <cell r="E351" t="str">
            <v>à jour</v>
          </cell>
        </row>
        <row r="352">
          <cell r="A352" t="str">
            <v>GEAC01WPPR3</v>
          </cell>
          <cell r="B352" t="str">
            <v>ServerProtect for Windows</v>
          </cell>
          <cell r="C352" t="str">
            <v>5.58</v>
          </cell>
          <cell r="D352" t="str">
            <v>4.367.00</v>
          </cell>
          <cell r="E352" t="str">
            <v>à jour</v>
          </cell>
        </row>
        <row r="353">
          <cell r="A353" t="str">
            <v>GEAC01WPPR4</v>
          </cell>
          <cell r="B353" t="str">
            <v>ServerProtect for Windows</v>
          </cell>
          <cell r="C353" t="str">
            <v>5.58</v>
          </cell>
          <cell r="D353" t="str">
            <v>4.367.00</v>
          </cell>
          <cell r="E353" t="str">
            <v>à jour</v>
          </cell>
        </row>
        <row r="354">
          <cell r="A354" t="str">
            <v>GEAC01WPPR5</v>
          </cell>
          <cell r="B354" t="str">
            <v>ServerProtect for Windows</v>
          </cell>
          <cell r="C354" t="str">
            <v>5.58</v>
          </cell>
          <cell r="D354" t="str">
            <v>4.367.00</v>
          </cell>
          <cell r="E354" t="str">
            <v>à jour</v>
          </cell>
        </row>
        <row r="355">
          <cell r="A355" t="str">
            <v>GEAC01WPPR6</v>
          </cell>
          <cell r="B355" t="str">
            <v>ServerProtect for Windows</v>
          </cell>
          <cell r="C355" t="str">
            <v>5.58</v>
          </cell>
          <cell r="D355" t="str">
            <v>4.367.00</v>
          </cell>
          <cell r="E355" t="str">
            <v>à jour</v>
          </cell>
        </row>
        <row r="356">
          <cell r="A356" t="str">
            <v>GEAC01WPPR7</v>
          </cell>
          <cell r="B356" t="str">
            <v>ServerProtect for Windows</v>
          </cell>
          <cell r="C356" t="str">
            <v>5.58</v>
          </cell>
          <cell r="D356" t="str">
            <v>4.367.00</v>
          </cell>
          <cell r="E356" t="str">
            <v>à jour</v>
          </cell>
        </row>
        <row r="357">
          <cell r="A357" t="str">
            <v>GEAC01WQMA1</v>
          </cell>
          <cell r="B357" t="str">
            <v>ServerProtect for Windows</v>
          </cell>
          <cell r="C357" t="str">
            <v>5.58</v>
          </cell>
          <cell r="D357" t="str">
            <v>4.367.00</v>
          </cell>
          <cell r="E357" t="str">
            <v>à jour</v>
          </cell>
        </row>
        <row r="358">
          <cell r="A358" t="str">
            <v>GEAC01WQMA2</v>
          </cell>
          <cell r="B358" t="str">
            <v>ServerProtect for Windows</v>
          </cell>
          <cell r="C358" t="str">
            <v>5.58</v>
          </cell>
          <cell r="D358" t="str">
            <v>4.367.00</v>
          </cell>
          <cell r="E358" t="str">
            <v>à jour</v>
          </cell>
        </row>
        <row r="359">
          <cell r="A359" t="str">
            <v>GEAC01WQMA3</v>
          </cell>
          <cell r="B359" t="str">
            <v>ServerProtect for Windows</v>
          </cell>
          <cell r="C359" t="str">
            <v>5.58</v>
          </cell>
          <cell r="D359" t="str">
            <v>4.367.00</v>
          </cell>
          <cell r="E359" t="str">
            <v>à jour</v>
          </cell>
        </row>
        <row r="360">
          <cell r="A360" t="str">
            <v>GEAC01WQMA4</v>
          </cell>
          <cell r="B360" t="str">
            <v>ServerProtect for Windows</v>
          </cell>
          <cell r="C360" t="str">
            <v>5.58</v>
          </cell>
          <cell r="D360" t="str">
            <v>4.367.00</v>
          </cell>
          <cell r="E360" t="str">
            <v>à jour</v>
          </cell>
        </row>
        <row r="361">
          <cell r="A361" t="str">
            <v>GEAC01WSAP1</v>
          </cell>
          <cell r="B361" t="str">
            <v>ServerProtect for Windows</v>
          </cell>
          <cell r="C361" t="str">
            <v>5.58</v>
          </cell>
          <cell r="D361" t="str">
            <v>4.367.00</v>
          </cell>
          <cell r="E361" t="str">
            <v>à jour</v>
          </cell>
        </row>
        <row r="362">
          <cell r="A362" t="str">
            <v>GEAC01WSAP2</v>
          </cell>
          <cell r="B362" t="str">
            <v>ServerProtect for Windows</v>
          </cell>
          <cell r="C362" t="str">
            <v>5.58</v>
          </cell>
          <cell r="D362" t="str">
            <v>4.367.00</v>
          </cell>
          <cell r="E362" t="str">
            <v>à jour</v>
          </cell>
        </row>
        <row r="363">
          <cell r="A363" t="str">
            <v>GEAC01WSAP3</v>
          </cell>
          <cell r="B363" t="str">
            <v>ServerProtect for Windows</v>
          </cell>
          <cell r="C363" t="str">
            <v>5.58</v>
          </cell>
          <cell r="D363" t="str">
            <v>4.367.00</v>
          </cell>
          <cell r="E363" t="str">
            <v>à jour</v>
          </cell>
        </row>
        <row r="364">
          <cell r="A364" t="str">
            <v>GEAC01WSAP4</v>
          </cell>
          <cell r="B364" t="str">
            <v>ServerProtect for Windows</v>
          </cell>
          <cell r="C364" t="str">
            <v>5.58</v>
          </cell>
          <cell r="D364" t="str">
            <v>4.367.00</v>
          </cell>
          <cell r="E364" t="str">
            <v>à jour</v>
          </cell>
        </row>
        <row r="365">
          <cell r="A365" t="str">
            <v>GEAC01WSAP7</v>
          </cell>
          <cell r="B365" t="str">
            <v>ServerProtect for Windows</v>
          </cell>
          <cell r="C365" t="str">
            <v>5.58</v>
          </cell>
          <cell r="D365" t="str">
            <v>4.367.00</v>
          </cell>
          <cell r="E365" t="str">
            <v>à jour</v>
          </cell>
        </row>
        <row r="366">
          <cell r="A366" t="str">
            <v>GEAC01WSAP8</v>
          </cell>
          <cell r="B366" t="str">
            <v>ServerProtect for Windows</v>
          </cell>
          <cell r="C366" t="str">
            <v>5.58</v>
          </cell>
          <cell r="D366" t="str">
            <v>4.367.00</v>
          </cell>
          <cell r="E366" t="str">
            <v>à jour</v>
          </cell>
        </row>
        <row r="367">
          <cell r="A367" t="str">
            <v>GEAC01WSAP9</v>
          </cell>
          <cell r="B367" t="str">
            <v>ServerProtect for Windows</v>
          </cell>
          <cell r="C367" t="str">
            <v>5.58</v>
          </cell>
          <cell r="D367" t="str">
            <v>4.367.00</v>
          </cell>
          <cell r="E367" t="str">
            <v>à jour</v>
          </cell>
        </row>
        <row r="368">
          <cell r="A368" t="str">
            <v>GEAC01WSIC2</v>
          </cell>
          <cell r="B368" t="str">
            <v>ServerProtect for Windows</v>
          </cell>
          <cell r="C368" t="str">
            <v>5.58</v>
          </cell>
          <cell r="D368" t="str">
            <v>4.367.00</v>
          </cell>
          <cell r="E368" t="str">
            <v>à jour</v>
          </cell>
        </row>
        <row r="369">
          <cell r="A369" t="str">
            <v>GEAC01WSIC3</v>
          </cell>
          <cell r="B369" t="str">
            <v>ServerProtect for Windows</v>
          </cell>
          <cell r="C369" t="str">
            <v>5.58</v>
          </cell>
          <cell r="D369" t="str">
            <v>4.367.00</v>
          </cell>
          <cell r="E369" t="str">
            <v>à jour</v>
          </cell>
        </row>
        <row r="370">
          <cell r="A370" t="str">
            <v>GEAC01WSIC4</v>
          </cell>
          <cell r="B370" t="str">
            <v>ServerProtect for Windows</v>
          </cell>
          <cell r="C370" t="str">
            <v>5.58</v>
          </cell>
          <cell r="D370" t="str">
            <v>4.367.00</v>
          </cell>
          <cell r="E370" t="str">
            <v>à jour</v>
          </cell>
        </row>
        <row r="371">
          <cell r="A371" t="str">
            <v>GEAC01WSIC5</v>
          </cell>
          <cell r="B371" t="str">
            <v>ServerProtect for Windows</v>
          </cell>
          <cell r="C371" t="str">
            <v>5.58</v>
          </cell>
          <cell r="D371" t="str">
            <v>4.367.00</v>
          </cell>
          <cell r="E371" t="str">
            <v>à jour</v>
          </cell>
        </row>
        <row r="372">
          <cell r="A372" t="str">
            <v>GEAC01WSOF3</v>
          </cell>
          <cell r="B372" t="str">
            <v>ServerProtect for Windows</v>
          </cell>
          <cell r="C372" t="str">
            <v>5.58</v>
          </cell>
          <cell r="D372" t="str">
            <v>4.367.00</v>
          </cell>
          <cell r="E372" t="str">
            <v>à jour</v>
          </cell>
        </row>
        <row r="373">
          <cell r="A373" t="str">
            <v>GEAC01WSOF4</v>
          </cell>
          <cell r="B373" t="str">
            <v>ServerProtect for Windows</v>
          </cell>
          <cell r="C373" t="str">
            <v>5.58</v>
          </cell>
          <cell r="D373" t="str">
            <v>4.367.00</v>
          </cell>
          <cell r="E373" t="str">
            <v>à jour</v>
          </cell>
        </row>
        <row r="374">
          <cell r="A374" t="str">
            <v>GEAC01WTST1</v>
          </cell>
          <cell r="B374" t="str">
            <v>ServerProtect for Windows</v>
          </cell>
          <cell r="C374" t="str">
            <v>5.58</v>
          </cell>
          <cell r="D374" t="str">
            <v>3.623.00</v>
          </cell>
          <cell r="E374" t="str">
            <v>pas à jour</v>
          </cell>
        </row>
        <row r="375">
          <cell r="A375" t="str">
            <v>GEAC01WXDC1</v>
          </cell>
          <cell r="B375" t="str">
            <v>ServerProtect for Windows</v>
          </cell>
          <cell r="C375" t="str">
            <v>5.58</v>
          </cell>
          <cell r="D375" t="str">
            <v>4.367.00</v>
          </cell>
          <cell r="E375" t="str">
            <v>à jour</v>
          </cell>
        </row>
        <row r="376">
          <cell r="A376" t="str">
            <v>GEAC01XRDP1</v>
          </cell>
          <cell r="B376" t="str">
            <v>ServerProtect for Windows</v>
          </cell>
          <cell r="C376" t="str">
            <v>5.58</v>
          </cell>
          <cell r="D376" t="str">
            <v>4.367.00</v>
          </cell>
          <cell r="E376" t="str">
            <v>à jour</v>
          </cell>
        </row>
        <row r="377">
          <cell r="A377" t="str">
            <v>GEAC01XTNDC</v>
          </cell>
          <cell r="B377" t="str">
            <v>ServerProtect for Windows</v>
          </cell>
          <cell r="C377" t="str">
            <v>5.58</v>
          </cell>
          <cell r="D377" t="str">
            <v>4.367.00</v>
          </cell>
          <cell r="E377" t="str">
            <v>à jour</v>
          </cell>
        </row>
        <row r="378">
          <cell r="A378" t="str">
            <v>GEAC02WNOS1</v>
          </cell>
          <cell r="B378" t="str">
            <v>ServerProtect for Windows</v>
          </cell>
          <cell r="C378" t="str">
            <v>5.58</v>
          </cell>
          <cell r="D378" t="str">
            <v>4.367.00</v>
          </cell>
          <cell r="E378" t="str">
            <v>à jour</v>
          </cell>
        </row>
        <row r="379">
          <cell r="A379" t="str">
            <v>GEAC02WOLK1</v>
          </cell>
          <cell r="B379" t="str">
            <v>ServerProtect for Windows</v>
          </cell>
          <cell r="C379" t="str">
            <v>5.58</v>
          </cell>
          <cell r="D379" t="str">
            <v>4.367.00</v>
          </cell>
          <cell r="E379" t="str">
            <v>à jour</v>
          </cell>
        </row>
        <row r="380">
          <cell r="A380" t="str">
            <v>GEAC02WOLK2</v>
          </cell>
          <cell r="B380" t="str">
            <v>ServerProtect for Windows</v>
          </cell>
          <cell r="C380" t="str">
            <v>5.58</v>
          </cell>
          <cell r="D380" t="str">
            <v>4.367.00</v>
          </cell>
          <cell r="E380" t="str">
            <v>à jour</v>
          </cell>
        </row>
        <row r="381">
          <cell r="A381" t="str">
            <v>GEAC02WOLK3</v>
          </cell>
          <cell r="B381" t="str">
            <v>ServerProtect for Windows</v>
          </cell>
          <cell r="C381" t="str">
            <v>5.58</v>
          </cell>
          <cell r="D381" t="str">
            <v>4.367.00</v>
          </cell>
          <cell r="E381" t="str">
            <v>à jour</v>
          </cell>
        </row>
        <row r="382">
          <cell r="A382" t="str">
            <v>GEAC02WOLK4</v>
          </cell>
          <cell r="B382" t="str">
            <v>ServerProtect for Windows</v>
          </cell>
          <cell r="C382" t="str">
            <v>5.58</v>
          </cell>
          <cell r="D382" t="str">
            <v>4.367.00</v>
          </cell>
          <cell r="E382" t="str">
            <v>à jour</v>
          </cell>
        </row>
        <row r="383">
          <cell r="A383" t="str">
            <v>GEAC02WOLK5</v>
          </cell>
          <cell r="B383" t="str">
            <v>ServerProtect for Windows</v>
          </cell>
          <cell r="C383" t="str">
            <v>5.58</v>
          </cell>
          <cell r="D383" t="str">
            <v>4.367.00</v>
          </cell>
          <cell r="E383" t="str">
            <v>à jour</v>
          </cell>
        </row>
        <row r="384">
          <cell r="A384" t="str">
            <v>GEAC02WOLK6</v>
          </cell>
          <cell r="B384" t="str">
            <v>ServerProtect for Windows</v>
          </cell>
          <cell r="C384" t="str">
            <v>5.58</v>
          </cell>
          <cell r="D384" t="str">
            <v>4.367.00</v>
          </cell>
          <cell r="E384" t="str">
            <v>à jour</v>
          </cell>
        </row>
        <row r="385">
          <cell r="A385" t="str">
            <v>GEAC02WOLK7</v>
          </cell>
          <cell r="B385" t="str">
            <v>ServerProtect for Windows</v>
          </cell>
          <cell r="C385" t="str">
            <v>5.58</v>
          </cell>
          <cell r="D385" t="str">
            <v>4.367.00</v>
          </cell>
          <cell r="E385" t="str">
            <v>à jour</v>
          </cell>
        </row>
        <row r="386">
          <cell r="A386" t="str">
            <v>GEAC02WOLK8</v>
          </cell>
          <cell r="B386" t="str">
            <v>ServerProtect for Windows</v>
          </cell>
          <cell r="C386" t="str">
            <v>5.58</v>
          </cell>
          <cell r="D386" t="str">
            <v>4.367.00</v>
          </cell>
          <cell r="E386" t="str">
            <v>à jour</v>
          </cell>
        </row>
        <row r="387">
          <cell r="A387" t="str">
            <v>GEAC02WOLK9</v>
          </cell>
          <cell r="B387" t="str">
            <v>ServerProtect for Windows</v>
          </cell>
          <cell r="C387" t="str">
            <v>5.58</v>
          </cell>
          <cell r="D387" t="str">
            <v>4.367.00</v>
          </cell>
          <cell r="E387" t="str">
            <v>à jour</v>
          </cell>
        </row>
        <row r="388">
          <cell r="A388" t="str">
            <v>GEAC02WPME1</v>
          </cell>
          <cell r="B388" t="str">
            <v>ServerProtect for Windows</v>
          </cell>
          <cell r="C388" t="str">
            <v>5.58</v>
          </cell>
          <cell r="D388" t="str">
            <v>4.367.00</v>
          </cell>
          <cell r="E388" t="str">
            <v>à jour</v>
          </cell>
        </row>
        <row r="389">
          <cell r="A389" t="str">
            <v>GEAC02WPME2</v>
          </cell>
          <cell r="B389" t="str">
            <v>ServerProtect for Windows</v>
          </cell>
          <cell r="C389" t="str">
            <v>5.58</v>
          </cell>
          <cell r="D389" t="str">
            <v>4.367.00</v>
          </cell>
          <cell r="E389" t="str">
            <v>à jour</v>
          </cell>
        </row>
        <row r="390">
          <cell r="A390" t="str">
            <v>GEAC02WPME3</v>
          </cell>
          <cell r="B390" t="str">
            <v>ServerProtect for Windows</v>
          </cell>
          <cell r="C390" t="str">
            <v>5.58</v>
          </cell>
          <cell r="D390" t="str">
            <v>4.367.00</v>
          </cell>
          <cell r="E390" t="str">
            <v>à jour</v>
          </cell>
        </row>
        <row r="391">
          <cell r="A391" t="str">
            <v>GEAC02WPME4</v>
          </cell>
          <cell r="B391" t="str">
            <v>ServerProtect for Windows</v>
          </cell>
          <cell r="C391" t="str">
            <v>5.58</v>
          </cell>
          <cell r="D391" t="str">
            <v>4.367.00</v>
          </cell>
          <cell r="E391" t="str">
            <v>à jour</v>
          </cell>
        </row>
        <row r="392">
          <cell r="A392" t="str">
            <v>GEAC02WPME5</v>
          </cell>
          <cell r="B392" t="str">
            <v>ServerProtect for Windows</v>
          </cell>
          <cell r="C392" t="str">
            <v>5.58</v>
          </cell>
          <cell r="D392" t="str">
            <v>4.367.00</v>
          </cell>
          <cell r="E392" t="str">
            <v>à jour</v>
          </cell>
        </row>
        <row r="393">
          <cell r="A393" t="str">
            <v>GEAC02WPME6</v>
          </cell>
          <cell r="B393" t="str">
            <v>ServerProtect for Windows</v>
          </cell>
          <cell r="C393" t="str">
            <v>5.58</v>
          </cell>
          <cell r="D393" t="str">
            <v>4.367.00</v>
          </cell>
          <cell r="E393" t="str">
            <v>à jour</v>
          </cell>
        </row>
        <row r="394">
          <cell r="A394" t="str">
            <v>GEAC02WPME7</v>
          </cell>
          <cell r="B394" t="str">
            <v>ServerProtect for Windows</v>
          </cell>
          <cell r="C394" t="str">
            <v>5.58</v>
          </cell>
          <cell r="D394" t="str">
            <v>4.367.00</v>
          </cell>
          <cell r="E394" t="str">
            <v>à jour</v>
          </cell>
        </row>
        <row r="395">
          <cell r="A395" t="str">
            <v>GEAC02WPME8</v>
          </cell>
          <cell r="B395" t="str">
            <v>ServerProtect for Windows</v>
          </cell>
          <cell r="C395" t="str">
            <v>5.58</v>
          </cell>
          <cell r="D395" t="str">
            <v>4.367.00</v>
          </cell>
          <cell r="E395" t="str">
            <v>à jour</v>
          </cell>
        </row>
        <row r="396">
          <cell r="A396" t="str">
            <v>GEAC02WPME9</v>
          </cell>
          <cell r="B396" t="str">
            <v>ServerProtect for Windows</v>
          </cell>
          <cell r="C396" t="str">
            <v>5.58</v>
          </cell>
          <cell r="D396" t="str">
            <v>4.367.00</v>
          </cell>
          <cell r="E396" t="str">
            <v>à jour</v>
          </cell>
        </row>
        <row r="397">
          <cell r="A397" t="str">
            <v>GEAC02WSAP1</v>
          </cell>
          <cell r="B397" t="str">
            <v>ServerProtect for Windows</v>
          </cell>
          <cell r="C397" t="str">
            <v>5.58</v>
          </cell>
          <cell r="D397" t="str">
            <v>4.367.00</v>
          </cell>
          <cell r="E397" t="str">
            <v>à jour</v>
          </cell>
        </row>
        <row r="398">
          <cell r="A398" t="str">
            <v>GEAC02WSAP2</v>
          </cell>
          <cell r="B398" t="str">
            <v>ServerProtect for Windows</v>
          </cell>
          <cell r="C398" t="str">
            <v>5.58</v>
          </cell>
          <cell r="D398" t="str">
            <v>4.367.00</v>
          </cell>
          <cell r="E398" t="str">
            <v>à jour</v>
          </cell>
        </row>
        <row r="399">
          <cell r="A399" t="str">
            <v>GEAC02WSAP3</v>
          </cell>
          <cell r="B399" t="str">
            <v>ServerProtect for Windows</v>
          </cell>
          <cell r="C399" t="str">
            <v>5.58</v>
          </cell>
          <cell r="D399" t="str">
            <v>4.367.00</v>
          </cell>
          <cell r="E399" t="str">
            <v>à jour</v>
          </cell>
        </row>
        <row r="400">
          <cell r="A400" t="str">
            <v>GEAC02WSAP4</v>
          </cell>
          <cell r="B400" t="str">
            <v>ServerProtect for Windows</v>
          </cell>
          <cell r="C400" t="str">
            <v>5.58</v>
          </cell>
          <cell r="D400" t="str">
            <v>4.367.00</v>
          </cell>
          <cell r="E400" t="str">
            <v>à jour</v>
          </cell>
        </row>
        <row r="401">
          <cell r="A401" t="str">
            <v>GEAC02WSAP5</v>
          </cell>
          <cell r="B401" t="str">
            <v>ServerProtect for Windows</v>
          </cell>
          <cell r="C401" t="str">
            <v>5.58</v>
          </cell>
          <cell r="D401" t="str">
            <v>4.367.00</v>
          </cell>
          <cell r="E401" t="str">
            <v>à jour</v>
          </cell>
        </row>
        <row r="402">
          <cell r="A402" t="str">
            <v>GEAC02WSAP6</v>
          </cell>
          <cell r="B402" t="str">
            <v>ServerProtect for Windows</v>
          </cell>
          <cell r="C402" t="str">
            <v>5.58</v>
          </cell>
          <cell r="D402" t="str">
            <v>4.367.00</v>
          </cell>
          <cell r="E402" t="str">
            <v>à jour</v>
          </cell>
        </row>
        <row r="403">
          <cell r="A403" t="str">
            <v>GEAC02WSAP7</v>
          </cell>
          <cell r="B403" t="str">
            <v>ServerProtect for Windows</v>
          </cell>
          <cell r="C403" t="str">
            <v>5.58</v>
          </cell>
          <cell r="D403" t="str">
            <v>4.367.00</v>
          </cell>
          <cell r="E403" t="str">
            <v>à jour</v>
          </cell>
        </row>
        <row r="404">
          <cell r="A404" t="str">
            <v>GEAC02WSAP8</v>
          </cell>
          <cell r="B404" t="str">
            <v>ServerProtect for Windows</v>
          </cell>
          <cell r="C404" t="str">
            <v>5.58</v>
          </cell>
          <cell r="D404" t="str">
            <v>4.367.00</v>
          </cell>
          <cell r="E404" t="str">
            <v>à jour</v>
          </cell>
        </row>
        <row r="405">
          <cell r="A405" t="str">
            <v>GEAC02WSAP9</v>
          </cell>
          <cell r="B405" t="str">
            <v>ServerProtect for Windows</v>
          </cell>
          <cell r="C405" t="str">
            <v>5.58</v>
          </cell>
          <cell r="D405" t="str">
            <v>4.367.00</v>
          </cell>
          <cell r="E405" t="str">
            <v>à jour</v>
          </cell>
        </row>
        <row r="406">
          <cell r="A406" t="str">
            <v>GEAC03WOLK1</v>
          </cell>
          <cell r="B406" t="str">
            <v>ServerProtect for Windows</v>
          </cell>
          <cell r="C406" t="str">
            <v>5.58</v>
          </cell>
          <cell r="D406" t="str">
            <v>4.367.00</v>
          </cell>
          <cell r="E406" t="str">
            <v>à jour</v>
          </cell>
        </row>
        <row r="407">
          <cell r="A407" t="str">
            <v>GEAC03WOLK2</v>
          </cell>
          <cell r="B407" t="str">
            <v>ServerProtect for Windows</v>
          </cell>
          <cell r="C407" t="str">
            <v>5.58</v>
          </cell>
          <cell r="D407" t="str">
            <v>4.367.00</v>
          </cell>
          <cell r="E407" t="str">
            <v>à jour</v>
          </cell>
        </row>
        <row r="408">
          <cell r="A408" t="str">
            <v>GEAC03WOLK3</v>
          </cell>
          <cell r="B408" t="str">
            <v>ServerProtect for Windows</v>
          </cell>
          <cell r="C408" t="str">
            <v>5.58</v>
          </cell>
          <cell r="D408" t="str">
            <v>4.367.00</v>
          </cell>
          <cell r="E408" t="str">
            <v>à jour</v>
          </cell>
        </row>
        <row r="409">
          <cell r="A409" t="str">
            <v>GEAC03WOLK4</v>
          </cell>
          <cell r="B409" t="str">
            <v>ServerProtect for Windows</v>
          </cell>
          <cell r="C409" t="str">
            <v>5.58</v>
          </cell>
          <cell r="D409" t="str">
            <v>4.367.00</v>
          </cell>
          <cell r="E409" t="str">
            <v>à jour</v>
          </cell>
        </row>
        <row r="410">
          <cell r="A410" t="str">
            <v>GEAC03WOLK5</v>
          </cell>
          <cell r="B410" t="str">
            <v>ServerProtect for Windows</v>
          </cell>
          <cell r="C410" t="str">
            <v>5.58</v>
          </cell>
          <cell r="D410" t="str">
            <v>4.367.00</v>
          </cell>
          <cell r="E410" t="str">
            <v>à jour</v>
          </cell>
        </row>
        <row r="411">
          <cell r="A411" t="str">
            <v>GEAC03WOLK6</v>
          </cell>
          <cell r="B411" t="str">
            <v>ServerProtect for Windows</v>
          </cell>
          <cell r="C411" t="str">
            <v>5.58</v>
          </cell>
          <cell r="D411" t="str">
            <v>4.367.00</v>
          </cell>
          <cell r="E411" t="str">
            <v>à jour</v>
          </cell>
        </row>
        <row r="412">
          <cell r="A412" t="str">
            <v>GEAC03WOLK7</v>
          </cell>
          <cell r="B412" t="str">
            <v>ServerProtect for Windows</v>
          </cell>
          <cell r="C412" t="str">
            <v>5.58</v>
          </cell>
          <cell r="D412" t="str">
            <v>4.367.00</v>
          </cell>
          <cell r="E412" t="str">
            <v>à jour</v>
          </cell>
        </row>
        <row r="413">
          <cell r="A413" t="str">
            <v>GEAC03WOLK9</v>
          </cell>
          <cell r="B413" t="str">
            <v>ServerProtect for Windows</v>
          </cell>
          <cell r="C413" t="str">
            <v>5.58</v>
          </cell>
          <cell r="D413" t="str">
            <v>4.367.00</v>
          </cell>
          <cell r="E413" t="str">
            <v>à jour</v>
          </cell>
        </row>
        <row r="414">
          <cell r="A414" t="str">
            <v>GEAC03WPME1</v>
          </cell>
          <cell r="B414" t="str">
            <v>ServerProtect for Windows</v>
          </cell>
          <cell r="C414" t="str">
            <v>5.58</v>
          </cell>
          <cell r="D414" t="str">
            <v>4.367.00</v>
          </cell>
          <cell r="E414" t="str">
            <v>à jour</v>
          </cell>
        </row>
        <row r="415">
          <cell r="A415" t="str">
            <v>GEAC03WPME2</v>
          </cell>
          <cell r="B415" t="str">
            <v>ServerProtect for Windows</v>
          </cell>
          <cell r="C415" t="str">
            <v>5.58</v>
          </cell>
          <cell r="D415" t="str">
            <v>4.367.00</v>
          </cell>
          <cell r="E415" t="str">
            <v>à jour</v>
          </cell>
        </row>
        <row r="416">
          <cell r="A416" t="str">
            <v>GEAC03WPME3</v>
          </cell>
          <cell r="B416" t="str">
            <v>ServerProtect for Windows</v>
          </cell>
          <cell r="C416" t="str">
            <v>5.58</v>
          </cell>
          <cell r="D416" t="str">
            <v>4.367.00</v>
          </cell>
          <cell r="E416" t="str">
            <v>à jour</v>
          </cell>
        </row>
        <row r="417">
          <cell r="A417" t="str">
            <v>GEAC03WPME4</v>
          </cell>
          <cell r="B417" t="str">
            <v>ServerProtect for Windows</v>
          </cell>
          <cell r="C417" t="str">
            <v>5.58</v>
          </cell>
          <cell r="D417" t="str">
            <v>4.367.00</v>
          </cell>
          <cell r="E417" t="str">
            <v>à jour</v>
          </cell>
        </row>
        <row r="418">
          <cell r="A418" t="str">
            <v>GEAC03WPME5</v>
          </cell>
          <cell r="B418" t="str">
            <v>ServerProtect for Windows</v>
          </cell>
          <cell r="C418" t="str">
            <v>5.58</v>
          </cell>
          <cell r="D418" t="str">
            <v>4.367.00</v>
          </cell>
          <cell r="E418" t="str">
            <v>à jour</v>
          </cell>
        </row>
        <row r="419">
          <cell r="A419" t="str">
            <v>GEAC03WPME6</v>
          </cell>
          <cell r="B419" t="str">
            <v>ServerProtect for Windows</v>
          </cell>
          <cell r="C419" t="str">
            <v>5.58</v>
          </cell>
          <cell r="D419" t="str">
            <v>4.367.00</v>
          </cell>
          <cell r="E419" t="str">
            <v>à jour</v>
          </cell>
        </row>
        <row r="420">
          <cell r="A420" t="str">
            <v>GEAC03WPME7</v>
          </cell>
          <cell r="B420" t="str">
            <v>ServerProtect for Windows</v>
          </cell>
          <cell r="C420" t="str">
            <v>5.58</v>
          </cell>
          <cell r="D420" t="str">
            <v>4.367.00</v>
          </cell>
          <cell r="E420" t="str">
            <v>à jour</v>
          </cell>
        </row>
        <row r="421">
          <cell r="A421" t="str">
            <v>GEAC03WPME8</v>
          </cell>
          <cell r="B421" t="str">
            <v>ServerProtect for Windows</v>
          </cell>
          <cell r="C421" t="str">
            <v>5.58</v>
          </cell>
          <cell r="D421" t="str">
            <v>4.367.00</v>
          </cell>
          <cell r="E421" t="str">
            <v>à jour</v>
          </cell>
        </row>
        <row r="422">
          <cell r="A422" t="str">
            <v>GEAC03WPME9</v>
          </cell>
          <cell r="B422" t="str">
            <v>ServerProtect for Windows</v>
          </cell>
          <cell r="C422" t="str">
            <v>5.58</v>
          </cell>
          <cell r="D422" t="str">
            <v>4.367.00</v>
          </cell>
          <cell r="E422" t="str">
            <v>à jour</v>
          </cell>
        </row>
        <row r="423">
          <cell r="A423" t="str">
            <v>GEAC03WSAP1</v>
          </cell>
          <cell r="B423" t="str">
            <v>ServerProtect for Windows</v>
          </cell>
          <cell r="C423" t="str">
            <v>5.58</v>
          </cell>
          <cell r="D423" t="str">
            <v>4.367.00</v>
          </cell>
          <cell r="E423" t="str">
            <v>à jour</v>
          </cell>
        </row>
        <row r="424">
          <cell r="A424" t="str">
            <v>GEAC03WSAP2</v>
          </cell>
          <cell r="B424" t="str">
            <v>ServerProtect for Windows</v>
          </cell>
          <cell r="C424" t="str">
            <v>5.58</v>
          </cell>
          <cell r="D424" t="str">
            <v>4.367.00</v>
          </cell>
          <cell r="E424" t="str">
            <v>à jour</v>
          </cell>
        </row>
        <row r="425">
          <cell r="A425" t="str">
            <v>GEAC04WOLK1</v>
          </cell>
          <cell r="B425" t="str">
            <v>ServerProtect for Windows</v>
          </cell>
          <cell r="C425" t="str">
            <v>5.58</v>
          </cell>
          <cell r="D425" t="str">
            <v>4.367.00</v>
          </cell>
          <cell r="E425" t="str">
            <v>à jour</v>
          </cell>
        </row>
        <row r="426">
          <cell r="A426" t="str">
            <v>GEAC04WOLK2</v>
          </cell>
          <cell r="B426" t="str">
            <v>ServerProtect for Windows</v>
          </cell>
          <cell r="C426" t="str">
            <v>5.58</v>
          </cell>
          <cell r="D426" t="str">
            <v>4.367.00</v>
          </cell>
          <cell r="E426" t="str">
            <v>à jour</v>
          </cell>
        </row>
        <row r="427">
          <cell r="A427" t="str">
            <v>GEAC04WOLK3</v>
          </cell>
          <cell r="B427" t="str">
            <v>ServerProtect for Windows</v>
          </cell>
          <cell r="C427" t="str">
            <v>5.58</v>
          </cell>
          <cell r="D427" t="str">
            <v>4.367.00</v>
          </cell>
          <cell r="E427" t="str">
            <v>à jour</v>
          </cell>
        </row>
        <row r="428">
          <cell r="A428" t="str">
            <v>GEAC04WOLK4</v>
          </cell>
          <cell r="B428" t="str">
            <v>ServerProtect for Windows</v>
          </cell>
          <cell r="C428" t="str">
            <v>5.58</v>
          </cell>
          <cell r="D428" t="str">
            <v>4.367.00</v>
          </cell>
          <cell r="E428" t="str">
            <v>à jour</v>
          </cell>
        </row>
        <row r="429">
          <cell r="A429" t="str">
            <v>GEAC04WOLK5</v>
          </cell>
          <cell r="B429" t="str">
            <v>ServerProtect for Windows</v>
          </cell>
          <cell r="C429" t="str">
            <v>5.58</v>
          </cell>
          <cell r="D429" t="str">
            <v>4.367.00</v>
          </cell>
          <cell r="E429" t="str">
            <v>à jour</v>
          </cell>
        </row>
        <row r="430">
          <cell r="A430" t="str">
            <v>GEAC04WOLK6</v>
          </cell>
          <cell r="B430" t="str">
            <v>ServerProtect for Windows</v>
          </cell>
          <cell r="C430" t="str">
            <v>5.58</v>
          </cell>
          <cell r="D430" t="str">
            <v>4.367.00</v>
          </cell>
          <cell r="E430" t="str">
            <v>à jour</v>
          </cell>
        </row>
        <row r="431">
          <cell r="A431" t="str">
            <v>GEAC04WOLK7</v>
          </cell>
          <cell r="B431" t="str">
            <v>ServerProtect for Windows</v>
          </cell>
          <cell r="C431" t="str">
            <v>5.58</v>
          </cell>
          <cell r="D431" t="str">
            <v>4.367.00</v>
          </cell>
          <cell r="E431" t="str">
            <v>à jour</v>
          </cell>
        </row>
        <row r="432">
          <cell r="A432" t="str">
            <v>GEAC04WOLK8</v>
          </cell>
          <cell r="B432" t="str">
            <v>ServerProtect for Windows</v>
          </cell>
          <cell r="C432" t="str">
            <v>5.58</v>
          </cell>
          <cell r="D432" t="str">
            <v>4.367.00</v>
          </cell>
          <cell r="E432" t="str">
            <v>à jour</v>
          </cell>
        </row>
        <row r="433">
          <cell r="A433" t="str">
            <v>GEAC04WOLK9</v>
          </cell>
          <cell r="B433" t="str">
            <v>ServerProtect for Windows</v>
          </cell>
          <cell r="C433" t="str">
            <v>5.58</v>
          </cell>
          <cell r="D433" t="str">
            <v>4.367.00</v>
          </cell>
          <cell r="E433" t="str">
            <v>à jour</v>
          </cell>
        </row>
        <row r="434">
          <cell r="A434" t="str">
            <v>GEAC04WPME1</v>
          </cell>
          <cell r="B434" t="str">
            <v>ServerProtect for Windows</v>
          </cell>
          <cell r="C434" t="str">
            <v>5.58</v>
          </cell>
          <cell r="D434" t="str">
            <v>4.367.00</v>
          </cell>
          <cell r="E434" t="str">
            <v>à jour</v>
          </cell>
        </row>
        <row r="435">
          <cell r="A435" t="str">
            <v>GEAC04WPME2</v>
          </cell>
          <cell r="B435" t="str">
            <v>ServerProtect for Windows</v>
          </cell>
          <cell r="C435" t="str">
            <v>5.58</v>
          </cell>
          <cell r="D435" t="str">
            <v>4.367.00</v>
          </cell>
          <cell r="E435" t="str">
            <v>à jour</v>
          </cell>
        </row>
        <row r="436">
          <cell r="A436" t="str">
            <v>GEAC04WPME3</v>
          </cell>
          <cell r="B436" t="str">
            <v>ServerProtect for Windows</v>
          </cell>
          <cell r="C436" t="str">
            <v>5.58</v>
          </cell>
          <cell r="D436" t="str">
            <v>4.367.00</v>
          </cell>
          <cell r="E436" t="str">
            <v>à jour</v>
          </cell>
        </row>
        <row r="437">
          <cell r="A437" t="str">
            <v>GEAC04WPME4</v>
          </cell>
          <cell r="B437" t="str">
            <v>ServerProtect for Windows</v>
          </cell>
          <cell r="C437" t="str">
            <v>5.58</v>
          </cell>
          <cell r="D437" t="str">
            <v>4.367.00</v>
          </cell>
          <cell r="E437" t="str">
            <v>à jour</v>
          </cell>
        </row>
        <row r="438">
          <cell r="A438" t="str">
            <v>GEAC04WPME5</v>
          </cell>
          <cell r="B438" t="str">
            <v>ServerProtect for Windows</v>
          </cell>
          <cell r="C438" t="str">
            <v>5.58</v>
          </cell>
          <cell r="D438" t="str">
            <v>4.367.00</v>
          </cell>
          <cell r="E438" t="str">
            <v>à jour</v>
          </cell>
        </row>
        <row r="439">
          <cell r="A439" t="str">
            <v>GEAC04WPME6</v>
          </cell>
          <cell r="B439" t="str">
            <v>ServerProtect for Windows</v>
          </cell>
          <cell r="C439" t="str">
            <v>5.58</v>
          </cell>
          <cell r="D439" t="str">
            <v>4.367.00</v>
          </cell>
          <cell r="E439" t="str">
            <v>à jour</v>
          </cell>
        </row>
        <row r="440">
          <cell r="A440" t="str">
            <v>GEAC04WPME7</v>
          </cell>
          <cell r="B440" t="str">
            <v>ServerProtect for Windows</v>
          </cell>
          <cell r="C440" t="str">
            <v>5.58</v>
          </cell>
          <cell r="D440" t="str">
            <v>4.367.00</v>
          </cell>
          <cell r="E440" t="str">
            <v>à jour</v>
          </cell>
        </row>
        <row r="441">
          <cell r="A441" t="str">
            <v>GEAC04WPME8</v>
          </cell>
          <cell r="B441" t="str">
            <v>ServerProtect for Windows</v>
          </cell>
          <cell r="C441" t="str">
            <v>5.58</v>
          </cell>
          <cell r="D441" t="str">
            <v>4.367.00</v>
          </cell>
          <cell r="E441" t="str">
            <v>à jour</v>
          </cell>
        </row>
        <row r="442">
          <cell r="A442" t="str">
            <v>GEAC04WPME9</v>
          </cell>
          <cell r="B442" t="str">
            <v>ServerProtect for Windows</v>
          </cell>
          <cell r="C442" t="str">
            <v>5.58</v>
          </cell>
          <cell r="D442" t="str">
            <v>4.367.00</v>
          </cell>
          <cell r="E442" t="str">
            <v>à jour</v>
          </cell>
        </row>
        <row r="443">
          <cell r="A443" t="str">
            <v>GEAC05WOLK1</v>
          </cell>
          <cell r="B443" t="str">
            <v>ServerProtect for Windows</v>
          </cell>
          <cell r="C443" t="str">
            <v>5.58</v>
          </cell>
          <cell r="D443" t="str">
            <v>4.367.00</v>
          </cell>
          <cell r="E443" t="str">
            <v>à jour</v>
          </cell>
        </row>
        <row r="444">
          <cell r="A444" t="str">
            <v>GEAC05WOLK2</v>
          </cell>
          <cell r="B444" t="str">
            <v>ServerProtect for Windows</v>
          </cell>
          <cell r="C444" t="str">
            <v>5.58</v>
          </cell>
          <cell r="D444" t="str">
            <v>4.367.00</v>
          </cell>
          <cell r="E444" t="str">
            <v>à jour</v>
          </cell>
        </row>
        <row r="445">
          <cell r="A445" t="str">
            <v>GEAC05WOLK3</v>
          </cell>
          <cell r="B445" t="str">
            <v>ServerProtect for Windows</v>
          </cell>
          <cell r="C445" t="str">
            <v>5.58</v>
          </cell>
          <cell r="D445" t="str">
            <v>4.367.00</v>
          </cell>
          <cell r="E445" t="str">
            <v>à jour</v>
          </cell>
        </row>
        <row r="446">
          <cell r="A446" t="str">
            <v>GEAC05WOLK4</v>
          </cell>
          <cell r="B446" t="str">
            <v>ServerProtect for Windows</v>
          </cell>
          <cell r="C446" t="str">
            <v>5.58</v>
          </cell>
          <cell r="D446" t="str">
            <v>4.367.00</v>
          </cell>
          <cell r="E446" t="str">
            <v>à jour</v>
          </cell>
        </row>
        <row r="447">
          <cell r="A447" t="str">
            <v>GEAC05WPME1</v>
          </cell>
          <cell r="B447" t="str">
            <v>ServerProtect for Windows</v>
          </cell>
          <cell r="C447" t="str">
            <v>5.58</v>
          </cell>
          <cell r="D447" t="str">
            <v>4.367.00</v>
          </cell>
          <cell r="E447" t="str">
            <v>à jour</v>
          </cell>
        </row>
        <row r="448">
          <cell r="A448" t="str">
            <v>GEAC05WPME2</v>
          </cell>
          <cell r="B448" t="str">
            <v>ServerProtect for Windows</v>
          </cell>
          <cell r="C448" t="str">
            <v>5.58</v>
          </cell>
          <cell r="D448" t="str">
            <v>4.367.00</v>
          </cell>
          <cell r="E448" t="str">
            <v>à jour</v>
          </cell>
        </row>
        <row r="449">
          <cell r="A449" t="str">
            <v>GEAC05WPME3</v>
          </cell>
          <cell r="B449" t="str">
            <v>ServerProtect for Windows</v>
          </cell>
          <cell r="C449" t="str">
            <v>5.58</v>
          </cell>
          <cell r="D449" t="str">
            <v>4.367.00</v>
          </cell>
          <cell r="E449" t="str">
            <v>à jour</v>
          </cell>
        </row>
        <row r="450">
          <cell r="A450" t="str">
            <v>GEAC05WPME4</v>
          </cell>
          <cell r="B450" t="str">
            <v>ServerProtect for Windows</v>
          </cell>
          <cell r="C450" t="str">
            <v>5.58</v>
          </cell>
          <cell r="D450" t="str">
            <v>4.367.00</v>
          </cell>
          <cell r="E450" t="str">
            <v>à jour</v>
          </cell>
        </row>
        <row r="451">
          <cell r="A451" t="str">
            <v>GEAC05WPME5</v>
          </cell>
          <cell r="B451" t="str">
            <v>ServerProtect for Windows</v>
          </cell>
          <cell r="C451" t="str">
            <v>5.58</v>
          </cell>
          <cell r="D451" t="str">
            <v>4.367.00</v>
          </cell>
          <cell r="E451" t="str">
            <v>à jour</v>
          </cell>
        </row>
        <row r="452">
          <cell r="A452" t="str">
            <v>GEAC05WPME6</v>
          </cell>
          <cell r="B452" t="str">
            <v>ServerProtect for Windows</v>
          </cell>
          <cell r="C452" t="str">
            <v>5.58</v>
          </cell>
          <cell r="D452" t="str">
            <v>4.367.00</v>
          </cell>
          <cell r="E452" t="str">
            <v>à jour</v>
          </cell>
        </row>
        <row r="453">
          <cell r="A453" t="str">
            <v>GEAC05WPME7</v>
          </cell>
          <cell r="B453" t="str">
            <v>ServerProtect for Windows</v>
          </cell>
          <cell r="C453" t="str">
            <v>5.58</v>
          </cell>
          <cell r="D453" t="str">
            <v>4.367.00</v>
          </cell>
          <cell r="E453" t="str">
            <v>à jour</v>
          </cell>
        </row>
        <row r="454">
          <cell r="A454" t="str">
            <v>GEAC05WPME8</v>
          </cell>
          <cell r="B454" t="str">
            <v>ServerProtect for Windows</v>
          </cell>
          <cell r="C454" t="str">
            <v>5.58</v>
          </cell>
          <cell r="D454" t="str">
            <v>4.367.00</v>
          </cell>
          <cell r="E454" t="str">
            <v>à jour</v>
          </cell>
        </row>
        <row r="455">
          <cell r="A455" t="str">
            <v>GEAC05WPME9</v>
          </cell>
          <cell r="B455" t="str">
            <v>ServerProtect for Windows</v>
          </cell>
          <cell r="C455" t="str">
            <v>5.58</v>
          </cell>
          <cell r="D455" t="str">
            <v>4.367.00</v>
          </cell>
          <cell r="E455" t="str">
            <v>à jour</v>
          </cell>
        </row>
        <row r="456">
          <cell r="A456" t="str">
            <v>GEAC06WPME1</v>
          </cell>
          <cell r="B456" t="str">
            <v>ServerProtect for Windows</v>
          </cell>
          <cell r="C456" t="str">
            <v>5.58</v>
          </cell>
          <cell r="D456" t="str">
            <v>4.367.00</v>
          </cell>
          <cell r="E456" t="str">
            <v>à jour</v>
          </cell>
        </row>
        <row r="457">
          <cell r="A457" t="str">
            <v>GEAC06WPME2</v>
          </cell>
          <cell r="B457" t="str">
            <v>ServerProtect for Windows</v>
          </cell>
          <cell r="C457" t="str">
            <v>5.58</v>
          </cell>
          <cell r="D457" t="str">
            <v>4.367.00</v>
          </cell>
          <cell r="E457" t="str">
            <v>à jour</v>
          </cell>
        </row>
        <row r="458">
          <cell r="A458" t="str">
            <v>GEAC06WPME3</v>
          </cell>
          <cell r="B458" t="str">
            <v>ServerProtect for Windows</v>
          </cell>
          <cell r="C458" t="str">
            <v>5.58</v>
          </cell>
          <cell r="D458" t="str">
            <v>4.367.00</v>
          </cell>
          <cell r="E458" t="str">
            <v>à jour</v>
          </cell>
        </row>
        <row r="459">
          <cell r="A459" t="str">
            <v>GEAC06WPME4</v>
          </cell>
          <cell r="B459" t="str">
            <v>ServerProtect for Windows</v>
          </cell>
          <cell r="C459" t="str">
            <v>5.58</v>
          </cell>
          <cell r="D459" t="str">
            <v>4.367.00</v>
          </cell>
          <cell r="E459" t="str">
            <v>à jour</v>
          </cell>
        </row>
        <row r="460">
          <cell r="A460" t="str">
            <v>GEAC06WPME5</v>
          </cell>
          <cell r="B460" t="str">
            <v>ServerProtect for Windows</v>
          </cell>
          <cell r="C460" t="str">
            <v>5.58</v>
          </cell>
          <cell r="D460" t="str">
            <v>3.971.00</v>
          </cell>
          <cell r="E460" t="str">
            <v>pas à jour</v>
          </cell>
        </row>
        <row r="461">
          <cell r="A461" t="str">
            <v>GEAC06WPME6</v>
          </cell>
          <cell r="B461" t="str">
            <v>ServerProtect for Windows</v>
          </cell>
          <cell r="C461" t="str">
            <v>5.58</v>
          </cell>
          <cell r="D461" t="str">
            <v>4.367.00</v>
          </cell>
          <cell r="E461" t="str">
            <v>à jour</v>
          </cell>
        </row>
        <row r="462">
          <cell r="A462" t="str">
            <v>GEAC06WPME7</v>
          </cell>
          <cell r="B462" t="str">
            <v>ServerProtect for Windows</v>
          </cell>
          <cell r="C462" t="str">
            <v>5.58</v>
          </cell>
          <cell r="D462" t="str">
            <v>4.367.00</v>
          </cell>
          <cell r="E462" t="str">
            <v>à jour</v>
          </cell>
        </row>
        <row r="463">
          <cell r="A463" t="str">
            <v>GEAC06WPME8</v>
          </cell>
          <cell r="B463" t="str">
            <v>ServerProtect for Windows</v>
          </cell>
          <cell r="C463" t="str">
            <v>5.58</v>
          </cell>
          <cell r="D463" t="str">
            <v>4.367.00</v>
          </cell>
          <cell r="E463" t="str">
            <v>à jour</v>
          </cell>
        </row>
        <row r="464">
          <cell r="A464" t="str">
            <v>GEAC06WPME9</v>
          </cell>
          <cell r="B464" t="str">
            <v>ServerProtect for Windows</v>
          </cell>
          <cell r="C464" t="str">
            <v>5.58</v>
          </cell>
          <cell r="D464" t="str">
            <v>4.367.00</v>
          </cell>
          <cell r="E464" t="str">
            <v>à jour</v>
          </cell>
        </row>
        <row r="465">
          <cell r="A465" t="str">
            <v>GEAC07WPME1</v>
          </cell>
          <cell r="B465" t="str">
            <v>ServerProtect for Windows</v>
          </cell>
          <cell r="C465" t="str">
            <v>5.58</v>
          </cell>
          <cell r="D465" t="str">
            <v>4.367.00</v>
          </cell>
          <cell r="E465" t="str">
            <v>à jour</v>
          </cell>
        </row>
        <row r="466">
          <cell r="A466" t="str">
            <v>GEAC07WPME2</v>
          </cell>
          <cell r="B466" t="str">
            <v>ServerProtect for Windows</v>
          </cell>
          <cell r="C466" t="str">
            <v>5.58</v>
          </cell>
          <cell r="D466" t="str">
            <v>4.367.00</v>
          </cell>
          <cell r="E466" t="str">
            <v>à jour</v>
          </cell>
        </row>
        <row r="467">
          <cell r="A467" t="str">
            <v>GEAC07WPME3</v>
          </cell>
          <cell r="B467" t="str">
            <v>ServerProtect for Windows</v>
          </cell>
          <cell r="C467" t="str">
            <v>5.58</v>
          </cell>
          <cell r="D467" t="str">
            <v>4.367.00</v>
          </cell>
          <cell r="E467" t="str">
            <v>à jour</v>
          </cell>
        </row>
        <row r="468">
          <cell r="A468" t="str">
            <v>GEAC07WPME4</v>
          </cell>
          <cell r="B468" t="str">
            <v>ServerProtect for Windows</v>
          </cell>
          <cell r="C468" t="str">
            <v>5.58</v>
          </cell>
          <cell r="D468" t="str">
            <v>4.367.00</v>
          </cell>
          <cell r="E468" t="str">
            <v>à jour</v>
          </cell>
        </row>
        <row r="469">
          <cell r="A469" t="str">
            <v>GEAC07WPME5</v>
          </cell>
          <cell r="B469" t="str">
            <v>ServerProtect for Windows</v>
          </cell>
          <cell r="C469" t="str">
            <v>5.58</v>
          </cell>
          <cell r="D469" t="str">
            <v>4.367.00</v>
          </cell>
          <cell r="E469" t="str">
            <v>à jour</v>
          </cell>
        </row>
        <row r="470">
          <cell r="A470" t="str">
            <v>GEAC07WPME6</v>
          </cell>
          <cell r="B470" t="str">
            <v>ServerProtect for Windows</v>
          </cell>
          <cell r="C470" t="str">
            <v>5.58</v>
          </cell>
          <cell r="D470" t="str">
            <v>4.367.00</v>
          </cell>
          <cell r="E470" t="str">
            <v>à jour</v>
          </cell>
        </row>
        <row r="471">
          <cell r="A471" t="str">
            <v>GEAC07WPME7</v>
          </cell>
          <cell r="B471" t="str">
            <v>ServerProtect for Windows</v>
          </cell>
          <cell r="C471" t="str">
            <v>5.58</v>
          </cell>
          <cell r="D471" t="str">
            <v>4.367.00</v>
          </cell>
          <cell r="E471" t="str">
            <v>à jour</v>
          </cell>
        </row>
        <row r="472">
          <cell r="A472" t="str">
            <v>GEAC13TIVO1</v>
          </cell>
          <cell r="B472" t="str">
            <v>ServerProtect for Windows</v>
          </cell>
          <cell r="C472" t="str">
            <v>5.58</v>
          </cell>
          <cell r="D472" t="str">
            <v>3.175.00</v>
          </cell>
          <cell r="E472" t="str">
            <v>pas à jour</v>
          </cell>
        </row>
        <row r="473">
          <cell r="A473" t="str">
            <v>GEAC13TIVO1_T</v>
          </cell>
          <cell r="B473" t="str">
            <v>ServerProtect for Windows</v>
          </cell>
          <cell r="C473" t="str">
            <v>5.58</v>
          </cell>
          <cell r="D473" t="str">
            <v>4.367.00</v>
          </cell>
          <cell r="E473" t="str">
            <v>à jour</v>
          </cell>
        </row>
        <row r="474">
          <cell r="A474" t="str">
            <v>GEAC99RESS99</v>
          </cell>
          <cell r="B474" t="str">
            <v>ServerProtect for Windows</v>
          </cell>
          <cell r="C474" t="str">
            <v>5.58</v>
          </cell>
          <cell r="D474" t="str">
            <v>1.708.00</v>
          </cell>
          <cell r="E474" t="str">
            <v>pas à jour</v>
          </cell>
        </row>
        <row r="475">
          <cell r="A475" t="str">
            <v>GEACA1DIST1</v>
          </cell>
          <cell r="B475" t="str">
            <v>ServerProtect for Windows</v>
          </cell>
          <cell r="C475" t="str">
            <v>5.58</v>
          </cell>
          <cell r="D475" t="str">
            <v>4.365.00</v>
          </cell>
          <cell r="E475" t="str">
            <v>pas à jour</v>
          </cell>
        </row>
        <row r="476">
          <cell r="A476" t="str">
            <v>GEACB1DIST1</v>
          </cell>
          <cell r="B476" t="str">
            <v>ServerProtect for Windows</v>
          </cell>
          <cell r="C476" t="str">
            <v>5.58</v>
          </cell>
          <cell r="D476" t="str">
            <v>4.365.00</v>
          </cell>
          <cell r="E476" t="str">
            <v>pas à jour</v>
          </cell>
        </row>
        <row r="477">
          <cell r="A477" t="str">
            <v>GEACC1DIST1</v>
          </cell>
          <cell r="B477" t="str">
            <v>ServerProtect for Windows</v>
          </cell>
          <cell r="C477" t="str">
            <v>5.58</v>
          </cell>
          <cell r="D477" t="str">
            <v>4.273.00</v>
          </cell>
          <cell r="E477" t="str">
            <v>pas à jour</v>
          </cell>
        </row>
        <row r="478">
          <cell r="A478" t="str">
            <v>GEACES1DIFT1</v>
          </cell>
          <cell r="B478" t="str">
            <v>ServerProtect for Windows</v>
          </cell>
          <cell r="C478" t="str">
            <v>5.58</v>
          </cell>
          <cell r="D478" t="str">
            <v>4.367.00</v>
          </cell>
          <cell r="E478" t="str">
            <v>à jour</v>
          </cell>
        </row>
        <row r="479">
          <cell r="A479" t="str">
            <v>GEACF1DIST1</v>
          </cell>
          <cell r="B479" t="str">
            <v>ServerProtect for Windows</v>
          </cell>
          <cell r="C479" t="str">
            <v>5.58</v>
          </cell>
          <cell r="D479" t="str">
            <v>4.365.00</v>
          </cell>
          <cell r="E479" t="str">
            <v>pas à jour</v>
          </cell>
        </row>
        <row r="480">
          <cell r="A480" t="str">
            <v>GEACF1ITEM01</v>
          </cell>
          <cell r="B480" t="str">
            <v>ServerProtect for Windows</v>
          </cell>
          <cell r="C480" t="str">
            <v>5.58</v>
          </cell>
          <cell r="D480" t="str">
            <v>4.367.00</v>
          </cell>
          <cell r="E480" t="str">
            <v>à jour</v>
          </cell>
        </row>
        <row r="481">
          <cell r="A481" t="str">
            <v>GEACG1APPL1</v>
          </cell>
          <cell r="B481" t="str">
            <v>ServerProtect for Windows</v>
          </cell>
          <cell r="C481" t="str">
            <v>5.58</v>
          </cell>
          <cell r="D481" t="str">
            <v>4.283.00</v>
          </cell>
          <cell r="E481" t="str">
            <v>pas à jour</v>
          </cell>
        </row>
        <row r="482">
          <cell r="A482" t="str">
            <v>GEACG1BDCA1</v>
          </cell>
          <cell r="B482" t="str">
            <v>ServerProtect for Windows</v>
          </cell>
          <cell r="C482" t="str">
            <v>5.58</v>
          </cell>
          <cell r="D482" t="str">
            <v>4.365.00</v>
          </cell>
          <cell r="E482" t="str">
            <v>pas à jour</v>
          </cell>
        </row>
        <row r="483">
          <cell r="A483" t="str">
            <v>GEACG1BDCR1</v>
          </cell>
          <cell r="B483" t="str">
            <v>ServerProtect for Windows</v>
          </cell>
          <cell r="C483" t="str">
            <v>5.58</v>
          </cell>
          <cell r="D483" t="str">
            <v>3.455.00</v>
          </cell>
          <cell r="E483" t="str">
            <v>pas à jour</v>
          </cell>
        </row>
        <row r="484">
          <cell r="A484" t="str">
            <v>GEACG1PDCR1</v>
          </cell>
          <cell r="B484" t="str">
            <v>ServerProtect for Windows</v>
          </cell>
          <cell r="C484" t="str">
            <v>5.58</v>
          </cell>
          <cell r="D484" t="str">
            <v>4.365.00</v>
          </cell>
          <cell r="E484" t="str">
            <v>pas à jour</v>
          </cell>
        </row>
        <row r="485">
          <cell r="A485" t="str">
            <v>GEACG1PDCR1_SPNT</v>
          </cell>
          <cell r="B485" t="str">
            <v>ServerProtect for Windows</v>
          </cell>
          <cell r="C485" t="str">
            <v>5.58</v>
          </cell>
          <cell r="D485" t="str">
            <v>4.365.00</v>
          </cell>
          <cell r="E485" t="str">
            <v>pas à jour</v>
          </cell>
        </row>
        <row r="486">
          <cell r="A486" t="str">
            <v>GEACH1DIST1</v>
          </cell>
          <cell r="B486" t="str">
            <v>ServerProtect for Windows</v>
          </cell>
          <cell r="C486" t="str">
            <v>5.58</v>
          </cell>
          <cell r="D486" t="str">
            <v>4.365.00</v>
          </cell>
          <cell r="E486" t="str">
            <v>pas à jour</v>
          </cell>
        </row>
        <row r="487">
          <cell r="A487" t="str">
            <v>GEACHA1DIFT1</v>
          </cell>
          <cell r="B487" t="str">
            <v>ServerProtect for Windows</v>
          </cell>
          <cell r="C487" t="str">
            <v>5.58</v>
          </cell>
          <cell r="D487" t="str">
            <v>4.367.00</v>
          </cell>
          <cell r="E487" t="str">
            <v>à jour</v>
          </cell>
        </row>
        <row r="488">
          <cell r="A488" t="str">
            <v>GEACI1DIST1</v>
          </cell>
          <cell r="B488" t="str">
            <v>ServerProtect for Windows</v>
          </cell>
          <cell r="C488" t="str">
            <v>5.58</v>
          </cell>
          <cell r="D488" t="str">
            <v>4.365.00</v>
          </cell>
          <cell r="E488" t="str">
            <v>pas à jour</v>
          </cell>
        </row>
        <row r="489">
          <cell r="A489" t="str">
            <v>GEACIE1DIST1</v>
          </cell>
          <cell r="B489" t="str">
            <v>ServerProtect for Windows</v>
          </cell>
          <cell r="C489" t="str">
            <v>5.58</v>
          </cell>
          <cell r="D489" t="str">
            <v>4.365.00</v>
          </cell>
          <cell r="E489" t="str">
            <v>pas à jour</v>
          </cell>
        </row>
        <row r="490">
          <cell r="A490" t="str">
            <v>GEACN1DIST1</v>
          </cell>
          <cell r="B490" t="str">
            <v>ServerProtect for Windows</v>
          </cell>
          <cell r="C490" t="str">
            <v>5.58</v>
          </cell>
          <cell r="D490" t="str">
            <v>4.365.00</v>
          </cell>
          <cell r="E490" t="str">
            <v>pas à jour</v>
          </cell>
        </row>
        <row r="491">
          <cell r="A491" t="str">
            <v>GEACO1APPL1</v>
          </cell>
          <cell r="B491" t="str">
            <v>ServerProtect for Windows</v>
          </cell>
          <cell r="C491" t="str">
            <v>5.58</v>
          </cell>
          <cell r="D491" t="str">
            <v>4.365.00</v>
          </cell>
          <cell r="E491" t="str">
            <v>pas à jour</v>
          </cell>
        </row>
        <row r="492">
          <cell r="A492" t="str">
            <v>GEACO1DIST1</v>
          </cell>
          <cell r="B492" t="str">
            <v>ServerProtect for Windows</v>
          </cell>
          <cell r="C492" t="str">
            <v>5.58</v>
          </cell>
          <cell r="D492" t="str">
            <v>4.335.00</v>
          </cell>
          <cell r="E492" t="str">
            <v>pas à jour</v>
          </cell>
        </row>
        <row r="493">
          <cell r="A493" t="str">
            <v>GEACO1INTR1</v>
          </cell>
          <cell r="B493" t="str">
            <v>ServerProtect for Windows</v>
          </cell>
          <cell r="C493" t="str">
            <v>5.58</v>
          </cell>
          <cell r="D493" t="str">
            <v>4.367.00</v>
          </cell>
          <cell r="E493" t="str">
            <v>à jour</v>
          </cell>
        </row>
        <row r="494">
          <cell r="A494" t="str">
            <v>GEACOV1APPL1</v>
          </cell>
          <cell r="B494" t="str">
            <v>ServerProtect for Windows</v>
          </cell>
          <cell r="C494" t="str">
            <v>5.58</v>
          </cell>
          <cell r="D494" t="str">
            <v>4.367.00</v>
          </cell>
          <cell r="E494" t="str">
            <v>à jour</v>
          </cell>
        </row>
        <row r="495">
          <cell r="A495" t="str">
            <v>GEACQ1DIST1</v>
          </cell>
          <cell r="B495" t="str">
            <v>ServerProtect for Windows</v>
          </cell>
          <cell r="C495" t="str">
            <v>5.58</v>
          </cell>
          <cell r="D495" t="str">
            <v>4.365.00</v>
          </cell>
          <cell r="E495" t="str">
            <v>pas à jour</v>
          </cell>
        </row>
        <row r="496">
          <cell r="A496" t="str">
            <v>GEACR1BDCA1</v>
          </cell>
          <cell r="B496" t="str">
            <v>ServerProtect for Windows</v>
          </cell>
          <cell r="C496" t="str">
            <v>5.58</v>
          </cell>
          <cell r="D496" t="str">
            <v>4.365.00</v>
          </cell>
          <cell r="E496" t="str">
            <v>pas à jour</v>
          </cell>
        </row>
        <row r="497">
          <cell r="A497" t="str">
            <v>GEACR1BDCR1</v>
          </cell>
          <cell r="B497" t="str">
            <v>ServerProtect for Windows</v>
          </cell>
          <cell r="C497" t="str">
            <v>5.58</v>
          </cell>
          <cell r="D497" t="str">
            <v>4.365.00</v>
          </cell>
          <cell r="E497" t="str">
            <v>pas à jour</v>
          </cell>
        </row>
        <row r="498">
          <cell r="A498" t="str">
            <v>GEACR1FICH1</v>
          </cell>
          <cell r="B498" t="str">
            <v>ServerProtect for Windows</v>
          </cell>
          <cell r="C498" t="str">
            <v>5.58</v>
          </cell>
          <cell r="D498" t="str">
            <v>4.365.00</v>
          </cell>
          <cell r="E498" t="str">
            <v>pas à jour</v>
          </cell>
        </row>
        <row r="499">
          <cell r="A499" t="str">
            <v>GEACR1IMPR1</v>
          </cell>
          <cell r="B499" t="str">
            <v>ServerProtect for Windows</v>
          </cell>
          <cell r="C499" t="str">
            <v>5.58</v>
          </cell>
          <cell r="D499" t="str">
            <v>4.129.00</v>
          </cell>
          <cell r="E499" t="str">
            <v>pas à jour</v>
          </cell>
        </row>
        <row r="500">
          <cell r="A500" t="str">
            <v>GEACR1IMPR1_SPNT</v>
          </cell>
          <cell r="B500" t="str">
            <v>ServerProtect for Windows</v>
          </cell>
          <cell r="C500" t="str">
            <v>5.58</v>
          </cell>
          <cell r="D500" t="str">
            <v>4.365.00</v>
          </cell>
          <cell r="E500" t="str">
            <v>pas à jour</v>
          </cell>
        </row>
        <row r="501">
          <cell r="A501" t="str">
            <v>GEACR1PDCR1</v>
          </cell>
          <cell r="B501" t="str">
            <v>ServerProtect for Windows</v>
          </cell>
          <cell r="C501" t="str">
            <v>5.58</v>
          </cell>
          <cell r="D501" t="str">
            <v>4.365.00</v>
          </cell>
          <cell r="E501" t="str">
            <v>pas à jour</v>
          </cell>
        </row>
        <row r="502">
          <cell r="A502" t="str">
            <v>GEACS1DIST1</v>
          </cell>
          <cell r="B502" t="str">
            <v>ServerProtect for Windows</v>
          </cell>
          <cell r="C502" t="str">
            <v>5.58</v>
          </cell>
          <cell r="D502" t="str">
            <v>4.365.00</v>
          </cell>
          <cell r="E502" t="str">
            <v>pas à jour</v>
          </cell>
        </row>
        <row r="503">
          <cell r="A503" t="str">
            <v>GEACU1DIST1</v>
          </cell>
          <cell r="B503" t="str">
            <v>ServerProtect for Windows</v>
          </cell>
          <cell r="C503" t="str">
            <v>5.58</v>
          </cell>
          <cell r="D503" t="str">
            <v>4.365.00</v>
          </cell>
          <cell r="E503" t="str">
            <v>pas à jour</v>
          </cell>
        </row>
        <row r="504">
          <cell r="A504" t="str">
            <v>GEACX1DIST1</v>
          </cell>
          <cell r="B504" t="str">
            <v>ServerProtect for Windows</v>
          </cell>
          <cell r="C504" t="str">
            <v>5.58</v>
          </cell>
          <cell r="D504" t="str">
            <v>3.953.00</v>
          </cell>
          <cell r="E504" t="str">
            <v>pas à jour</v>
          </cell>
        </row>
        <row r="505">
          <cell r="A505" t="str">
            <v>GEACY1BDCA1</v>
          </cell>
          <cell r="B505" t="str">
            <v>ServerProtect for Windows</v>
          </cell>
          <cell r="C505" t="str">
            <v>5.58</v>
          </cell>
          <cell r="D505" t="str">
            <v>4.365.00</v>
          </cell>
          <cell r="E505" t="str">
            <v>pas à jour</v>
          </cell>
        </row>
        <row r="506">
          <cell r="A506" t="str">
            <v>GEACY1BDCR1</v>
          </cell>
          <cell r="B506" t="str">
            <v>ServerProtect for Windows</v>
          </cell>
          <cell r="C506" t="str">
            <v>5.58</v>
          </cell>
          <cell r="D506" t="str">
            <v>4.365.00</v>
          </cell>
          <cell r="E506" t="str">
            <v>pas à jour</v>
          </cell>
        </row>
        <row r="507">
          <cell r="A507" t="str">
            <v>GEACY1FICH1</v>
          </cell>
          <cell r="B507" t="str">
            <v>ServerProtect for Windows</v>
          </cell>
          <cell r="C507" t="str">
            <v>5.58</v>
          </cell>
          <cell r="D507" t="str">
            <v>4.365.00</v>
          </cell>
          <cell r="E507" t="str">
            <v>pas à jour</v>
          </cell>
        </row>
        <row r="508">
          <cell r="A508" t="str">
            <v>GEACY1IMPR1</v>
          </cell>
          <cell r="B508" t="str">
            <v>ServerProtect for Windows</v>
          </cell>
          <cell r="C508" t="str">
            <v>5.58</v>
          </cell>
          <cell r="D508" t="str">
            <v>4.365.00</v>
          </cell>
          <cell r="E508" t="str">
            <v>pas à jour</v>
          </cell>
        </row>
        <row r="509">
          <cell r="A509" t="str">
            <v>GEACY1IMPR1_SPNT</v>
          </cell>
          <cell r="B509" t="str">
            <v>ServerProtect for Windows</v>
          </cell>
          <cell r="C509" t="str">
            <v>5.58</v>
          </cell>
          <cell r="D509" t="str">
            <v>4.365.00</v>
          </cell>
          <cell r="E509" t="str">
            <v>pas à jour</v>
          </cell>
        </row>
        <row r="510">
          <cell r="A510" t="str">
            <v>GEACY1PDCR1</v>
          </cell>
          <cell r="B510" t="str">
            <v>ServerProtect for Windows</v>
          </cell>
          <cell r="C510" t="str">
            <v>5.58</v>
          </cell>
          <cell r="D510" t="str">
            <v>4.365.00</v>
          </cell>
          <cell r="E510" t="str">
            <v>pas à jour</v>
          </cell>
        </row>
        <row r="511">
          <cell r="A511" t="str">
            <v>GEADA1DIST1</v>
          </cell>
          <cell r="B511" t="str">
            <v>ServerProtect for Windows</v>
          </cell>
          <cell r="C511" t="str">
            <v>5.58</v>
          </cell>
          <cell r="D511" t="str">
            <v>4.365.00</v>
          </cell>
          <cell r="E511" t="str">
            <v>pas à jour</v>
          </cell>
        </row>
        <row r="512">
          <cell r="A512" t="str">
            <v>GEADB1DIFT1</v>
          </cell>
          <cell r="B512" t="str">
            <v>ServerProtect for Windows</v>
          </cell>
          <cell r="C512" t="str">
            <v>5.58</v>
          </cell>
          <cell r="D512" t="str">
            <v>4.367.00</v>
          </cell>
          <cell r="E512" t="str">
            <v>à jour</v>
          </cell>
        </row>
        <row r="513">
          <cell r="A513" t="str">
            <v>GEADC1DIFT1</v>
          </cell>
          <cell r="B513" t="str">
            <v>ServerProtect for Windows</v>
          </cell>
          <cell r="C513" t="str">
            <v>5.58</v>
          </cell>
          <cell r="D513" t="str">
            <v>4.367.00</v>
          </cell>
          <cell r="E513" t="str">
            <v>à jour</v>
          </cell>
        </row>
        <row r="514">
          <cell r="A514" t="str">
            <v>GEADEL1DIST1</v>
          </cell>
          <cell r="B514" t="str">
            <v>ServerProtect for Windows</v>
          </cell>
          <cell r="C514" t="str">
            <v>5.58</v>
          </cell>
          <cell r="D514" t="str">
            <v>4.365.00</v>
          </cell>
          <cell r="E514" t="str">
            <v>pas à jour</v>
          </cell>
        </row>
        <row r="515">
          <cell r="A515" t="str">
            <v>GEADH1DIFT1</v>
          </cell>
          <cell r="B515" t="str">
            <v>ServerProtect for Windows</v>
          </cell>
          <cell r="C515" t="str">
            <v>5.58</v>
          </cell>
          <cell r="D515" t="str">
            <v>4.367.00</v>
          </cell>
          <cell r="E515" t="str">
            <v>à jour</v>
          </cell>
        </row>
        <row r="516">
          <cell r="A516" t="str">
            <v>GEADQ1DIST1</v>
          </cell>
          <cell r="B516" t="str">
            <v>ServerProtect for Windows</v>
          </cell>
          <cell r="C516" t="str">
            <v>5.58</v>
          </cell>
          <cell r="D516" t="str">
            <v>3.485.00</v>
          </cell>
          <cell r="E516" t="str">
            <v>pas à jour</v>
          </cell>
        </row>
        <row r="517">
          <cell r="A517" t="str">
            <v>GEADS1DIFT1</v>
          </cell>
          <cell r="B517" t="str">
            <v>ServerProtect for Windows</v>
          </cell>
          <cell r="C517" t="str">
            <v>5.58</v>
          </cell>
          <cell r="D517" t="str">
            <v>4.237.00</v>
          </cell>
          <cell r="E517" t="str">
            <v>pas à jour</v>
          </cell>
        </row>
        <row r="518">
          <cell r="A518" t="str">
            <v>GEADY1DIMT01</v>
          </cell>
          <cell r="B518" t="str">
            <v>ServerProtect for Windows</v>
          </cell>
          <cell r="C518" t="str">
            <v>5.58</v>
          </cell>
          <cell r="D518" t="str">
            <v>4.367.00</v>
          </cell>
          <cell r="E518" t="str">
            <v>à jour</v>
          </cell>
        </row>
        <row r="519">
          <cell r="A519" t="str">
            <v>GEAED1DIFT1</v>
          </cell>
          <cell r="B519" t="str">
            <v>ServerProtect for Windows</v>
          </cell>
          <cell r="C519" t="str">
            <v>5.58</v>
          </cell>
          <cell r="D519" t="str">
            <v>4.367.00</v>
          </cell>
          <cell r="E519" t="str">
            <v>à jour</v>
          </cell>
        </row>
        <row r="520">
          <cell r="A520" t="str">
            <v>GEAEM1DIFT1</v>
          </cell>
          <cell r="B520" t="str">
            <v>ServerProtect for Windows</v>
          </cell>
          <cell r="C520" t="str">
            <v>5.58</v>
          </cell>
          <cell r="D520" t="str">
            <v>4.367.00</v>
          </cell>
          <cell r="E520" t="str">
            <v>à jour</v>
          </cell>
        </row>
        <row r="521">
          <cell r="A521" t="str">
            <v>GEAET1DIST1</v>
          </cell>
          <cell r="B521" t="str">
            <v>ServerProtect for Windows</v>
          </cell>
          <cell r="C521" t="str">
            <v>5.58</v>
          </cell>
          <cell r="D521" t="str">
            <v>4.365.00</v>
          </cell>
          <cell r="E521" t="str">
            <v>pas à jour</v>
          </cell>
        </row>
        <row r="522">
          <cell r="A522" t="str">
            <v>GEAFH1BDCA1</v>
          </cell>
          <cell r="B522" t="str">
            <v>ServerProtect for Windows</v>
          </cell>
          <cell r="C522" t="str">
            <v>5.58</v>
          </cell>
          <cell r="D522" t="str">
            <v>4.365.00</v>
          </cell>
          <cell r="E522" t="str">
            <v>pas à jour</v>
          </cell>
        </row>
        <row r="523">
          <cell r="A523" t="str">
            <v>GEAFH1BDCR1</v>
          </cell>
          <cell r="B523" t="str">
            <v>ServerProtect for Windows</v>
          </cell>
          <cell r="C523" t="str">
            <v>5.58</v>
          </cell>
          <cell r="D523" t="str">
            <v>4.293.00</v>
          </cell>
          <cell r="E523" t="str">
            <v>pas à jour</v>
          </cell>
        </row>
        <row r="524">
          <cell r="A524" t="str">
            <v>GEAFH1FICH1</v>
          </cell>
          <cell r="B524" t="str">
            <v>ServerProtect for Windows</v>
          </cell>
          <cell r="C524" t="str">
            <v>5.58</v>
          </cell>
          <cell r="D524" t="str">
            <v>4.365.00</v>
          </cell>
          <cell r="E524" t="str">
            <v>pas à jour</v>
          </cell>
        </row>
        <row r="525">
          <cell r="A525" t="str">
            <v>GEAFH1IMPR1</v>
          </cell>
          <cell r="B525" t="str">
            <v>ServerProtect for Windows</v>
          </cell>
          <cell r="C525" t="str">
            <v>5.58</v>
          </cell>
          <cell r="D525" t="str">
            <v>4.365.00</v>
          </cell>
          <cell r="E525" t="str">
            <v>pas à jour</v>
          </cell>
        </row>
        <row r="526">
          <cell r="A526" t="str">
            <v>GEAFH1IMPR1_SPNT</v>
          </cell>
          <cell r="B526" t="str">
            <v>ServerProtect for Windows</v>
          </cell>
          <cell r="C526" t="str">
            <v>5.58</v>
          </cell>
          <cell r="D526" t="str">
            <v>4.365.00</v>
          </cell>
          <cell r="E526" t="str">
            <v>pas à jour</v>
          </cell>
        </row>
        <row r="527">
          <cell r="A527" t="str">
            <v>GEAFH1ITEM01</v>
          </cell>
          <cell r="B527" t="str">
            <v>ServerProtect for Windows</v>
          </cell>
          <cell r="C527" t="str">
            <v>5.58</v>
          </cell>
          <cell r="D527" t="str">
            <v>4.365.00</v>
          </cell>
          <cell r="E527" t="str">
            <v>pas à jour</v>
          </cell>
        </row>
        <row r="528">
          <cell r="A528" t="str">
            <v>GEAFH1PDCR1</v>
          </cell>
          <cell r="B528" t="str">
            <v>ServerProtect for Windows</v>
          </cell>
          <cell r="C528" t="str">
            <v>5.58</v>
          </cell>
          <cell r="D528" t="str">
            <v>4.365.00</v>
          </cell>
          <cell r="E528" t="str">
            <v>pas à jour</v>
          </cell>
        </row>
        <row r="529">
          <cell r="A529" t="str">
            <v>GEAFL1DIST1</v>
          </cell>
          <cell r="B529" t="str">
            <v>ServerProtect for Windows</v>
          </cell>
          <cell r="C529" t="str">
            <v>5.58</v>
          </cell>
          <cell r="D529" t="str">
            <v>4.365.00</v>
          </cell>
          <cell r="E529" t="str">
            <v>pas à jour</v>
          </cell>
        </row>
        <row r="530">
          <cell r="A530" t="str">
            <v>GEAFO1DIMT1</v>
          </cell>
          <cell r="B530" t="str">
            <v>ServerProtect for Windows</v>
          </cell>
          <cell r="C530" t="str">
            <v>5.58</v>
          </cell>
          <cell r="D530" t="str">
            <v>4.367.00</v>
          </cell>
          <cell r="E530" t="str">
            <v>à jour</v>
          </cell>
        </row>
        <row r="531">
          <cell r="A531" t="str">
            <v>GEAFR1DIFT1</v>
          </cell>
          <cell r="B531" t="str">
            <v>ServerProtect for Windows</v>
          </cell>
          <cell r="C531" t="str">
            <v>5.58</v>
          </cell>
          <cell r="D531" t="str">
            <v>4.367.00</v>
          </cell>
          <cell r="E531" t="str">
            <v>à jour</v>
          </cell>
        </row>
        <row r="532">
          <cell r="A532" t="str">
            <v>GEAGA1DIST1</v>
          </cell>
          <cell r="B532" t="str">
            <v>ServerProtect for Windows</v>
          </cell>
          <cell r="C532" t="str">
            <v>5.58</v>
          </cell>
          <cell r="D532" t="str">
            <v>1.905.00</v>
          </cell>
          <cell r="E532" t="str">
            <v>pas à jour</v>
          </cell>
        </row>
        <row r="533">
          <cell r="A533" t="str">
            <v>GEAGA1DIST1</v>
          </cell>
          <cell r="B533" t="str">
            <v>ServerProtect for Windows</v>
          </cell>
          <cell r="C533" t="str">
            <v>5.58</v>
          </cell>
          <cell r="D533" t="str">
            <v>4.365.00</v>
          </cell>
          <cell r="E533" t="str">
            <v>pas à jour</v>
          </cell>
        </row>
        <row r="534">
          <cell r="A534" t="str">
            <v>GEAGB1APPL1</v>
          </cell>
          <cell r="B534" t="str">
            <v>ServerProtect for Windows</v>
          </cell>
          <cell r="C534" t="str">
            <v>5.58</v>
          </cell>
          <cell r="D534" t="str">
            <v>4.365.00</v>
          </cell>
          <cell r="E534" t="str">
            <v>pas à jour</v>
          </cell>
        </row>
        <row r="535">
          <cell r="A535" t="str">
            <v>GEAGB1DIFT1</v>
          </cell>
          <cell r="B535" t="str">
            <v>ServerProtect for Windows</v>
          </cell>
          <cell r="C535" t="str">
            <v>5.58</v>
          </cell>
          <cell r="D535" t="str">
            <v>4.367.00</v>
          </cell>
          <cell r="E535" t="str">
            <v>à jour</v>
          </cell>
        </row>
        <row r="536">
          <cell r="A536" t="str">
            <v>GEAGE1DIST1</v>
          </cell>
          <cell r="B536" t="str">
            <v>ServerProtect for Windows</v>
          </cell>
          <cell r="C536" t="str">
            <v>5.58</v>
          </cell>
          <cell r="D536" t="str">
            <v>4.365.00</v>
          </cell>
          <cell r="E536" t="str">
            <v>pas à jour</v>
          </cell>
        </row>
        <row r="537">
          <cell r="A537" t="str">
            <v>GEAGF1DIST1</v>
          </cell>
          <cell r="B537" t="str">
            <v>ServerProtect for Windows</v>
          </cell>
          <cell r="C537" t="str">
            <v>5.58</v>
          </cell>
          <cell r="D537" t="str">
            <v>4.365.00</v>
          </cell>
          <cell r="E537" t="str">
            <v>pas à jour</v>
          </cell>
        </row>
        <row r="538">
          <cell r="A538" t="str">
            <v>GEAGG1DIFT1</v>
          </cell>
          <cell r="B538" t="str">
            <v>ServerProtect for Windows</v>
          </cell>
          <cell r="C538" t="str">
            <v>5.58</v>
          </cell>
          <cell r="D538" t="str">
            <v>4.367.00</v>
          </cell>
          <cell r="E538" t="str">
            <v>à jour</v>
          </cell>
        </row>
        <row r="539">
          <cell r="A539" t="str">
            <v>GEAGH1APPL3</v>
          </cell>
          <cell r="B539" t="str">
            <v>ServerProtect for Windows</v>
          </cell>
          <cell r="C539" t="str">
            <v>5.58</v>
          </cell>
          <cell r="D539" t="str">
            <v>3.257.00</v>
          </cell>
          <cell r="E539" t="str">
            <v>pas à jour</v>
          </cell>
        </row>
        <row r="540">
          <cell r="A540" t="str">
            <v>GEAGH1APPL4</v>
          </cell>
          <cell r="B540" t="str">
            <v>ServerProtect for Windows</v>
          </cell>
          <cell r="C540" t="str">
            <v>5.58</v>
          </cell>
          <cell r="D540" t="str">
            <v>4.333.00</v>
          </cell>
          <cell r="E540" t="str">
            <v>pas à jour</v>
          </cell>
        </row>
        <row r="541">
          <cell r="A541" t="str">
            <v>GEAGH1APPS1</v>
          </cell>
          <cell r="B541" t="str">
            <v>ServerProtect for Windows</v>
          </cell>
          <cell r="C541" t="str">
            <v>5.58</v>
          </cell>
          <cell r="D541" t="str">
            <v>4.333.00</v>
          </cell>
          <cell r="E541" t="str">
            <v>pas à jour</v>
          </cell>
        </row>
        <row r="542">
          <cell r="A542" t="str">
            <v>GEAGH1BDCA1</v>
          </cell>
          <cell r="B542" t="str">
            <v>ServerProtect for Windows</v>
          </cell>
          <cell r="C542" t="str">
            <v>5.58</v>
          </cell>
          <cell r="D542" t="str">
            <v>4.333.00</v>
          </cell>
          <cell r="E542" t="str">
            <v>pas à jour</v>
          </cell>
        </row>
        <row r="543">
          <cell r="A543" t="str">
            <v>GEAGH1BDCR1</v>
          </cell>
          <cell r="B543" t="str">
            <v>ServerProtect for Windows</v>
          </cell>
          <cell r="C543" t="str">
            <v>5.58</v>
          </cell>
          <cell r="D543" t="str">
            <v>4.333.00</v>
          </cell>
          <cell r="E543" t="str">
            <v>pas à jour</v>
          </cell>
        </row>
        <row r="544">
          <cell r="A544" t="str">
            <v>GEAGH1FICH1</v>
          </cell>
          <cell r="B544" t="str">
            <v>ServerProtect for Windows</v>
          </cell>
          <cell r="C544" t="str">
            <v>5.58</v>
          </cell>
          <cell r="D544" t="str">
            <v>4.333.00</v>
          </cell>
          <cell r="E544" t="str">
            <v>pas à jour</v>
          </cell>
        </row>
        <row r="545">
          <cell r="A545" t="str">
            <v>GEAGH1FICH2</v>
          </cell>
          <cell r="B545" t="str">
            <v>ServerProtect for Windows</v>
          </cell>
          <cell r="C545" t="str">
            <v>5.58</v>
          </cell>
          <cell r="D545" t="str">
            <v>4.333.00</v>
          </cell>
          <cell r="E545" t="str">
            <v>pas à jour</v>
          </cell>
        </row>
        <row r="546">
          <cell r="A546" t="str">
            <v>GEAGH1IMPR1</v>
          </cell>
          <cell r="B546" t="str">
            <v>ServerProtect for Windows</v>
          </cell>
          <cell r="C546" t="str">
            <v>5.58</v>
          </cell>
          <cell r="D546" t="str">
            <v>4.333.00</v>
          </cell>
          <cell r="E546" t="str">
            <v>pas à jour</v>
          </cell>
        </row>
        <row r="547">
          <cell r="A547" t="str">
            <v>GEAGH1IMPR1_SPNT</v>
          </cell>
          <cell r="B547" t="str">
            <v>ServerProtect for Windows</v>
          </cell>
          <cell r="C547" t="str">
            <v>5.58</v>
          </cell>
          <cell r="D547" t="str">
            <v>4.333.00</v>
          </cell>
          <cell r="E547" t="str">
            <v>pas à jour</v>
          </cell>
        </row>
        <row r="548">
          <cell r="A548" t="str">
            <v>GEAGH1PDCR1</v>
          </cell>
          <cell r="B548" t="str">
            <v>ServerProtect for Windows</v>
          </cell>
          <cell r="C548" t="str">
            <v>5.58</v>
          </cell>
          <cell r="D548" t="str">
            <v>4.333.00</v>
          </cell>
          <cell r="E548" t="str">
            <v>pas à jour</v>
          </cell>
        </row>
        <row r="549">
          <cell r="A549" t="str">
            <v>GEAGH1POPP01</v>
          </cell>
          <cell r="B549" t="str">
            <v>ServerProtect for Windows</v>
          </cell>
          <cell r="C549" t="str">
            <v>5.58</v>
          </cell>
          <cell r="D549" t="str">
            <v>4.367.00</v>
          </cell>
          <cell r="E549" t="str">
            <v>à jour</v>
          </cell>
        </row>
        <row r="550">
          <cell r="A550" t="str">
            <v>GEAGL1DIST1</v>
          </cell>
          <cell r="B550" t="str">
            <v>ServerProtect for Windows</v>
          </cell>
          <cell r="C550" t="str">
            <v>5.58</v>
          </cell>
          <cell r="D550" t="str">
            <v>4.365.00</v>
          </cell>
          <cell r="E550" t="str">
            <v>pas à jour</v>
          </cell>
        </row>
        <row r="551">
          <cell r="A551" t="str">
            <v>GEAGM1DIST1</v>
          </cell>
          <cell r="B551" t="str">
            <v>ServerProtect for Windows</v>
          </cell>
          <cell r="C551" t="str">
            <v>5.58</v>
          </cell>
          <cell r="D551" t="str">
            <v>4.365.00</v>
          </cell>
          <cell r="E551" t="str">
            <v>pas à jour</v>
          </cell>
        </row>
        <row r="552">
          <cell r="A552" t="str">
            <v>GEAGN1DIST1</v>
          </cell>
          <cell r="B552" t="str">
            <v>ServerProtect for Windows</v>
          </cell>
          <cell r="C552" t="str">
            <v>5.58</v>
          </cell>
          <cell r="D552" t="str">
            <v>4.365.00</v>
          </cell>
          <cell r="E552" t="str">
            <v>pas à jour</v>
          </cell>
        </row>
        <row r="553">
          <cell r="A553" t="str">
            <v>GEAGP1DIST1</v>
          </cell>
          <cell r="B553" t="str">
            <v>ServerProtect for Windows</v>
          </cell>
          <cell r="C553" t="str">
            <v>5.58</v>
          </cell>
          <cell r="D553" t="str">
            <v>4.365.00</v>
          </cell>
          <cell r="E553" t="str">
            <v>pas à jour</v>
          </cell>
        </row>
        <row r="554">
          <cell r="A554" t="str">
            <v>GEAGR1DIST1</v>
          </cell>
          <cell r="B554" t="str">
            <v>ServerProtect for Windows</v>
          </cell>
          <cell r="C554" t="str">
            <v>5.58</v>
          </cell>
          <cell r="D554" t="str">
            <v>4.365.00</v>
          </cell>
          <cell r="E554" t="str">
            <v>pas à jour</v>
          </cell>
        </row>
        <row r="555">
          <cell r="A555" t="str">
            <v>GEAGU1DIFT1</v>
          </cell>
          <cell r="B555" t="str">
            <v>ServerProtect for Windows</v>
          </cell>
          <cell r="C555" t="str">
            <v>5.58</v>
          </cell>
          <cell r="D555" t="str">
            <v>4.367.00</v>
          </cell>
          <cell r="E555" t="str">
            <v>à jour</v>
          </cell>
        </row>
        <row r="556">
          <cell r="A556" t="str">
            <v>GEAGV1DIFT1</v>
          </cell>
          <cell r="B556" t="str">
            <v>ServerProtect for Windows</v>
          </cell>
          <cell r="C556" t="str">
            <v>5.58</v>
          </cell>
          <cell r="D556" t="str">
            <v>4.367.00</v>
          </cell>
          <cell r="E556" t="str">
            <v>à jour</v>
          </cell>
        </row>
        <row r="557">
          <cell r="A557" t="str">
            <v>GEAGV1OPTB1</v>
          </cell>
          <cell r="B557" t="str">
            <v>ServerProtect for Windows</v>
          </cell>
          <cell r="C557" t="str">
            <v>5.58</v>
          </cell>
          <cell r="D557" t="str">
            <v>4.367.00</v>
          </cell>
          <cell r="E557" t="str">
            <v>à jour</v>
          </cell>
        </row>
        <row r="558">
          <cell r="A558" t="str">
            <v>GEAGV1OPTI1</v>
          </cell>
          <cell r="B558" t="str">
            <v>ServerProtect for Windows</v>
          </cell>
          <cell r="C558" t="str">
            <v>5.58</v>
          </cell>
          <cell r="D558" t="str">
            <v>4.367.00</v>
          </cell>
          <cell r="E558" t="str">
            <v>à jour</v>
          </cell>
        </row>
        <row r="559">
          <cell r="A559" t="str">
            <v>GEAGV1OPTP1</v>
          </cell>
          <cell r="B559" t="str">
            <v>ServerProtect for Windows</v>
          </cell>
          <cell r="C559" t="str">
            <v>5.58</v>
          </cell>
          <cell r="D559" t="str">
            <v>4.367.00</v>
          </cell>
          <cell r="E559" t="str">
            <v>à jour</v>
          </cell>
        </row>
        <row r="560">
          <cell r="A560" t="str">
            <v>GEAGZ1BDCA1</v>
          </cell>
          <cell r="B560" t="str">
            <v>ServerProtect for Windows</v>
          </cell>
          <cell r="C560" t="str">
            <v>5.58</v>
          </cell>
          <cell r="D560" t="str">
            <v>4.365.00</v>
          </cell>
          <cell r="E560" t="str">
            <v>pas à jour</v>
          </cell>
        </row>
        <row r="561">
          <cell r="A561" t="str">
            <v>GEAGZ1BDCR1</v>
          </cell>
          <cell r="B561" t="str">
            <v>ServerProtect for Windows</v>
          </cell>
          <cell r="C561" t="str">
            <v>5.58</v>
          </cell>
          <cell r="D561" t="str">
            <v>4.365.00</v>
          </cell>
          <cell r="E561" t="str">
            <v>pas à jour</v>
          </cell>
        </row>
        <row r="562">
          <cell r="A562" t="str">
            <v>GEAGZ1FICH1</v>
          </cell>
          <cell r="B562" t="str">
            <v>ServerProtect for Windows</v>
          </cell>
          <cell r="C562" t="str">
            <v>5.58</v>
          </cell>
          <cell r="D562" t="str">
            <v>4.365.00</v>
          </cell>
          <cell r="E562" t="str">
            <v>pas à jour</v>
          </cell>
        </row>
        <row r="563">
          <cell r="A563" t="str">
            <v>GEAGZ1IMPR1</v>
          </cell>
          <cell r="B563" t="str">
            <v>ServerProtect for Windows</v>
          </cell>
          <cell r="C563" t="str">
            <v>5.58</v>
          </cell>
          <cell r="D563" t="str">
            <v>4.365.00</v>
          </cell>
          <cell r="E563" t="str">
            <v>pas à jour</v>
          </cell>
        </row>
        <row r="564">
          <cell r="A564" t="str">
            <v>GEAGZ1IMPR1_SPNT</v>
          </cell>
          <cell r="B564" t="str">
            <v>ServerProtect for Windows</v>
          </cell>
          <cell r="C564" t="str">
            <v>5.58</v>
          </cell>
          <cell r="D564" t="str">
            <v>4.365.00</v>
          </cell>
          <cell r="E564" t="str">
            <v>pas à jour</v>
          </cell>
        </row>
        <row r="565">
          <cell r="A565" t="str">
            <v>GEAGZ1ITEM01</v>
          </cell>
          <cell r="B565" t="str">
            <v>ServerProtect for Windows</v>
          </cell>
          <cell r="C565" t="str">
            <v>5.58</v>
          </cell>
          <cell r="D565" t="str">
            <v>4.367.00</v>
          </cell>
          <cell r="E565" t="str">
            <v>à jour</v>
          </cell>
        </row>
        <row r="566">
          <cell r="A566" t="str">
            <v>GEAGZ1PDCR1</v>
          </cell>
          <cell r="B566" t="str">
            <v>ServerProtect for Windows</v>
          </cell>
          <cell r="C566" t="str">
            <v>5.58</v>
          </cell>
          <cell r="D566" t="str">
            <v>4.365.00</v>
          </cell>
          <cell r="E566" t="str">
            <v>pas à jour</v>
          </cell>
        </row>
        <row r="567">
          <cell r="A567" t="str">
            <v>GEAHB1DIFT1</v>
          </cell>
          <cell r="B567" t="str">
            <v>ServerProtect for Windows</v>
          </cell>
          <cell r="C567" t="str">
            <v>5.58</v>
          </cell>
          <cell r="D567" t="str">
            <v>4.367.00</v>
          </cell>
          <cell r="E567" t="str">
            <v>à jour</v>
          </cell>
        </row>
        <row r="568">
          <cell r="A568" t="str">
            <v>GEAHO1DIFT1</v>
          </cell>
          <cell r="B568" t="str">
            <v>ServerProtect for Windows</v>
          </cell>
          <cell r="C568" t="str">
            <v>5.58</v>
          </cell>
          <cell r="D568" t="str">
            <v>4.365.00</v>
          </cell>
          <cell r="E568" t="str">
            <v>pas à jour</v>
          </cell>
        </row>
        <row r="569">
          <cell r="A569" t="str">
            <v>GEAHOG1SYFL02</v>
          </cell>
          <cell r="B569" t="str">
            <v>ServerProtect for Windows</v>
          </cell>
          <cell r="C569" t="str">
            <v>5.58</v>
          </cell>
          <cell r="D569" t="str">
            <v>3.253.00</v>
          </cell>
          <cell r="E569" t="str">
            <v>pas à jour</v>
          </cell>
        </row>
        <row r="570">
          <cell r="A570" t="str">
            <v>GEAHOS1DIFT1</v>
          </cell>
          <cell r="B570" t="str">
            <v>ServerProtect for Windows</v>
          </cell>
          <cell r="C570" t="str">
            <v>5.58</v>
          </cell>
          <cell r="D570" t="str">
            <v>4.367.00</v>
          </cell>
          <cell r="E570" t="str">
            <v>à jour</v>
          </cell>
        </row>
        <row r="571">
          <cell r="A571" t="str">
            <v>GEAHOS1SYFB01</v>
          </cell>
          <cell r="B571" t="str">
            <v>ServerProtect for Windows</v>
          </cell>
          <cell r="C571" t="str">
            <v>5.58</v>
          </cell>
          <cell r="D571" t="str">
            <v>4.365.00</v>
          </cell>
          <cell r="E571" t="str">
            <v>pas à jour</v>
          </cell>
        </row>
        <row r="572">
          <cell r="A572" t="str">
            <v>GEAHOS1SYFL02</v>
          </cell>
          <cell r="B572" t="str">
            <v>ServerProtect for Windows</v>
          </cell>
          <cell r="C572" t="str">
            <v>5.58</v>
          </cell>
          <cell r="D572" t="str">
            <v>3.971.00</v>
          </cell>
          <cell r="E572" t="str">
            <v>pas à jour</v>
          </cell>
        </row>
        <row r="573">
          <cell r="A573" t="str">
            <v>GEAHOS1SYFN01</v>
          </cell>
          <cell r="B573" t="str">
            <v>ServerProtect for Windows</v>
          </cell>
          <cell r="C573" t="str">
            <v>5.58</v>
          </cell>
          <cell r="D573" t="str">
            <v>4.365.00</v>
          </cell>
          <cell r="E573" t="str">
            <v>pas à jour</v>
          </cell>
        </row>
        <row r="574">
          <cell r="A574" t="str">
            <v>GEAHOZ1DIFT1</v>
          </cell>
          <cell r="B574" t="str">
            <v>ServerProtect for Windows</v>
          </cell>
          <cell r="C574" t="str">
            <v>5.58</v>
          </cell>
          <cell r="D574" t="str">
            <v>4.367.00</v>
          </cell>
          <cell r="E574" t="str">
            <v>à jour</v>
          </cell>
        </row>
        <row r="575">
          <cell r="A575" t="str">
            <v>GEAHOZ1SYFB01</v>
          </cell>
          <cell r="B575" t="str">
            <v>ServerProtect for Windows</v>
          </cell>
          <cell r="C575" t="str">
            <v>5.58</v>
          </cell>
          <cell r="D575" t="str">
            <v>4.365.00</v>
          </cell>
          <cell r="E575" t="str">
            <v>pas à jour</v>
          </cell>
        </row>
        <row r="576">
          <cell r="A576" t="str">
            <v>GEAHOZ1SYFN01</v>
          </cell>
          <cell r="B576" t="str">
            <v>ServerProtect for Windows</v>
          </cell>
          <cell r="C576" t="str">
            <v>5.58</v>
          </cell>
          <cell r="D576" t="str">
            <v>4.365.00</v>
          </cell>
          <cell r="E576" t="str">
            <v>pas à jour</v>
          </cell>
        </row>
        <row r="577">
          <cell r="A577" t="str">
            <v>GEAIE1DIFT1</v>
          </cell>
          <cell r="B577" t="str">
            <v>ServerProtect for Windows</v>
          </cell>
          <cell r="C577" t="str">
            <v>5.58</v>
          </cell>
          <cell r="D577" t="str">
            <v>3.993.00</v>
          </cell>
          <cell r="E577" t="str">
            <v>pas à jour</v>
          </cell>
        </row>
        <row r="578">
          <cell r="A578" t="str">
            <v>GEAIS1APPL1</v>
          </cell>
          <cell r="B578" t="str">
            <v>ServerProtect for Windows</v>
          </cell>
          <cell r="D578" t="str">
            <v>3.571.00</v>
          </cell>
          <cell r="E578" t="str">
            <v>pas à jour</v>
          </cell>
        </row>
        <row r="579">
          <cell r="A579" t="str">
            <v>GEAIS1APPL2</v>
          </cell>
          <cell r="B579" t="str">
            <v>ServerProtect for Windows</v>
          </cell>
          <cell r="C579" t="str">
            <v>5.58</v>
          </cell>
          <cell r="D579" t="str">
            <v>4.365.00</v>
          </cell>
          <cell r="E579" t="str">
            <v>pas à jour</v>
          </cell>
        </row>
        <row r="580">
          <cell r="A580" t="str">
            <v>GEAIS1APPL3</v>
          </cell>
          <cell r="B580" t="str">
            <v>ServerProtect for Windows</v>
          </cell>
          <cell r="C580" t="str">
            <v>5.58</v>
          </cell>
          <cell r="D580" t="str">
            <v>4.365.00</v>
          </cell>
          <cell r="E580" t="str">
            <v>pas à jour</v>
          </cell>
        </row>
        <row r="581">
          <cell r="A581" t="str">
            <v>GEAIS1APPL4</v>
          </cell>
          <cell r="B581" t="str">
            <v>ServerProtect for Windows</v>
          </cell>
          <cell r="C581" t="str">
            <v>5.58</v>
          </cell>
          <cell r="D581" t="str">
            <v>4.365.00</v>
          </cell>
          <cell r="E581" t="str">
            <v>pas à jour</v>
          </cell>
        </row>
        <row r="582">
          <cell r="A582" t="str">
            <v>GEAIS1BDCA1</v>
          </cell>
          <cell r="B582" t="str">
            <v>ServerProtect for Windows</v>
          </cell>
          <cell r="C582" t="str">
            <v>5.58</v>
          </cell>
          <cell r="D582" t="str">
            <v>4.365.00</v>
          </cell>
          <cell r="E582" t="str">
            <v>pas à jour</v>
          </cell>
        </row>
        <row r="583">
          <cell r="A583" t="str">
            <v>GEAIS1BDCR1</v>
          </cell>
          <cell r="B583" t="str">
            <v>ServerProtect for Windows</v>
          </cell>
          <cell r="C583" t="str">
            <v>5.58</v>
          </cell>
          <cell r="D583" t="str">
            <v>4.365.00</v>
          </cell>
          <cell r="E583" t="str">
            <v>pas à jour</v>
          </cell>
        </row>
        <row r="584">
          <cell r="A584" t="str">
            <v>GEAIS1PDCR1</v>
          </cell>
          <cell r="B584" t="str">
            <v>ServerProtect for Windows</v>
          </cell>
          <cell r="C584" t="str">
            <v>5.58</v>
          </cell>
          <cell r="D584" t="str">
            <v>4.365.00</v>
          </cell>
          <cell r="E584" t="str">
            <v>pas à jour</v>
          </cell>
        </row>
        <row r="585">
          <cell r="A585" t="str">
            <v>GEAIS1PDCR1_SPNT</v>
          </cell>
          <cell r="B585" t="str">
            <v>ServerProtect for Windows</v>
          </cell>
          <cell r="C585" t="str">
            <v>5.58</v>
          </cell>
          <cell r="D585" t="str">
            <v>4.365.00</v>
          </cell>
          <cell r="E585" t="str">
            <v>pas à jour</v>
          </cell>
        </row>
        <row r="586">
          <cell r="A586" t="str">
            <v>GEAIZ1DIST1</v>
          </cell>
          <cell r="B586" t="str">
            <v>ServerProtect for Windows</v>
          </cell>
          <cell r="C586" t="str">
            <v>5.58</v>
          </cell>
          <cell r="D586" t="str">
            <v>4.365.00</v>
          </cell>
          <cell r="E586" t="str">
            <v>pas à jour</v>
          </cell>
        </row>
        <row r="587">
          <cell r="A587" t="str">
            <v>GEAJP1DIST1</v>
          </cell>
          <cell r="B587" t="str">
            <v>ServerProtect for Windows</v>
          </cell>
          <cell r="C587" t="str">
            <v>5.58</v>
          </cell>
          <cell r="D587" t="str">
            <v>3.485.00</v>
          </cell>
          <cell r="E587" t="str">
            <v>pas à jour</v>
          </cell>
        </row>
        <row r="588">
          <cell r="A588" t="str">
            <v>GEAKB1DIFT1</v>
          </cell>
          <cell r="B588" t="str">
            <v>ServerProtect for Windows</v>
          </cell>
          <cell r="C588" t="str">
            <v>5.58</v>
          </cell>
          <cell r="D588" t="str">
            <v>4.367.00</v>
          </cell>
          <cell r="E588" t="str">
            <v>à jour</v>
          </cell>
        </row>
        <row r="589">
          <cell r="A589" t="str">
            <v>GEAKOL1DIFT1</v>
          </cell>
          <cell r="B589" t="str">
            <v>ServerProtect for Windows</v>
          </cell>
          <cell r="C589" t="str">
            <v>5.58</v>
          </cell>
          <cell r="D589" t="str">
            <v>4.367.00</v>
          </cell>
          <cell r="E589" t="str">
            <v>à jour</v>
          </cell>
        </row>
        <row r="590">
          <cell r="A590" t="str">
            <v>GEAKRE1DIFT1</v>
          </cell>
          <cell r="B590" t="str">
            <v>ServerProtect for Windows</v>
          </cell>
          <cell r="C590" t="str">
            <v>5.58</v>
          </cell>
          <cell r="D590" t="str">
            <v>4.367.00</v>
          </cell>
          <cell r="E590" t="str">
            <v>à jour</v>
          </cell>
        </row>
        <row r="591">
          <cell r="A591" t="str">
            <v>GEALA1DIST1</v>
          </cell>
          <cell r="B591" t="str">
            <v>ServerProtect for Windows</v>
          </cell>
          <cell r="C591" t="str">
            <v>5.58</v>
          </cell>
          <cell r="D591" t="str">
            <v>4.365.00</v>
          </cell>
          <cell r="E591" t="str">
            <v>pas à jour</v>
          </cell>
        </row>
        <row r="592">
          <cell r="A592" t="str">
            <v>GEALC1DIST1</v>
          </cell>
          <cell r="B592" t="str">
            <v>ServerProtect for Windows</v>
          </cell>
          <cell r="C592" t="str">
            <v>5.58</v>
          </cell>
          <cell r="D592" t="str">
            <v>4.273.00</v>
          </cell>
          <cell r="E592" t="str">
            <v>pas à jour</v>
          </cell>
        </row>
        <row r="593">
          <cell r="A593" t="str">
            <v>GEALES1DIFT1</v>
          </cell>
          <cell r="B593" t="str">
            <v>ServerProtect for Windows</v>
          </cell>
          <cell r="C593" t="str">
            <v>5.58</v>
          </cell>
          <cell r="D593" t="str">
            <v>4.367.00</v>
          </cell>
          <cell r="E593" t="str">
            <v>à jour</v>
          </cell>
        </row>
        <row r="594">
          <cell r="A594" t="str">
            <v>GEALH1DIST1</v>
          </cell>
          <cell r="B594" t="str">
            <v>ServerProtect for Windows</v>
          </cell>
          <cell r="C594" t="str">
            <v>5.58</v>
          </cell>
          <cell r="D594" t="str">
            <v>4.365.00</v>
          </cell>
          <cell r="E594" t="str">
            <v>pas à jour</v>
          </cell>
        </row>
        <row r="595">
          <cell r="A595" t="str">
            <v>GEALI1BDCR1</v>
          </cell>
          <cell r="B595" t="str">
            <v>ServerProtect for Windows</v>
          </cell>
          <cell r="C595" t="str">
            <v>5.58</v>
          </cell>
          <cell r="D595" t="str">
            <v>3.901.00</v>
          </cell>
          <cell r="E595" t="str">
            <v>pas à jour</v>
          </cell>
        </row>
        <row r="596">
          <cell r="A596" t="str">
            <v>GEALI1FICH1</v>
          </cell>
          <cell r="B596" t="str">
            <v>ServerProtect for Windows</v>
          </cell>
          <cell r="C596" t="str">
            <v>5.58</v>
          </cell>
          <cell r="D596" t="str">
            <v>3.901.00</v>
          </cell>
          <cell r="E596" t="str">
            <v>pas à jour</v>
          </cell>
        </row>
        <row r="597">
          <cell r="A597" t="str">
            <v>GEALI1IMPR1</v>
          </cell>
          <cell r="B597" t="str">
            <v>ServerProtect for Windows</v>
          </cell>
          <cell r="C597" t="str">
            <v>5.58</v>
          </cell>
          <cell r="D597" t="str">
            <v>3.901.00</v>
          </cell>
          <cell r="E597" t="str">
            <v>pas à jour</v>
          </cell>
        </row>
        <row r="598">
          <cell r="A598" t="str">
            <v>GEALI1IMPR1_SPNT</v>
          </cell>
          <cell r="B598" t="str">
            <v>ServerProtect for Windows</v>
          </cell>
          <cell r="C598" t="str">
            <v>5.58</v>
          </cell>
          <cell r="D598" t="str">
            <v>3.901.00</v>
          </cell>
          <cell r="E598" t="str">
            <v>pas à jour</v>
          </cell>
        </row>
        <row r="599">
          <cell r="A599" t="str">
            <v>GEALI1PDCR1</v>
          </cell>
          <cell r="B599" t="str">
            <v>ServerProtect for Windows</v>
          </cell>
          <cell r="C599" t="str">
            <v>5.58</v>
          </cell>
          <cell r="D599" t="str">
            <v>3.901.00</v>
          </cell>
          <cell r="E599" t="str">
            <v>pas à jour</v>
          </cell>
        </row>
        <row r="600">
          <cell r="A600" t="str">
            <v>GEALL1BDCA1</v>
          </cell>
          <cell r="B600" t="str">
            <v>ServerProtect for Windows</v>
          </cell>
          <cell r="C600" t="str">
            <v>5.58</v>
          </cell>
          <cell r="D600" t="str">
            <v>4.365.00</v>
          </cell>
          <cell r="E600" t="str">
            <v>pas à jour</v>
          </cell>
        </row>
        <row r="601">
          <cell r="A601" t="str">
            <v>GEALL1BDCR1</v>
          </cell>
          <cell r="B601" t="str">
            <v>ServerProtect for Windows</v>
          </cell>
          <cell r="C601" t="str">
            <v>5.58</v>
          </cell>
          <cell r="D601" t="str">
            <v>4.273.00</v>
          </cell>
          <cell r="E601" t="str">
            <v>pas à jour</v>
          </cell>
        </row>
        <row r="602">
          <cell r="A602" t="str">
            <v>GEALL1FICH1</v>
          </cell>
          <cell r="B602" t="str">
            <v>ServerProtect for Windows</v>
          </cell>
          <cell r="C602" t="str">
            <v>5.58</v>
          </cell>
          <cell r="D602" t="str">
            <v>4.365.00</v>
          </cell>
          <cell r="E602" t="str">
            <v>pas à jour</v>
          </cell>
        </row>
        <row r="603">
          <cell r="A603" t="str">
            <v>GEALL1IMPR1</v>
          </cell>
          <cell r="B603" t="str">
            <v>ServerProtect for Windows</v>
          </cell>
          <cell r="C603" t="str">
            <v>5.58</v>
          </cell>
          <cell r="D603" t="str">
            <v>4.365.00</v>
          </cell>
          <cell r="E603" t="str">
            <v>pas à jour</v>
          </cell>
        </row>
        <row r="604">
          <cell r="A604" t="str">
            <v>GEALL1IMPR1_SPNT</v>
          </cell>
          <cell r="B604" t="str">
            <v>ServerProtect for Windows</v>
          </cell>
          <cell r="C604" t="str">
            <v>5.58</v>
          </cell>
          <cell r="D604" t="str">
            <v>4.365.00</v>
          </cell>
          <cell r="E604" t="str">
            <v>pas à jour</v>
          </cell>
        </row>
        <row r="605">
          <cell r="A605" t="str">
            <v>GEALL1ITEM01</v>
          </cell>
          <cell r="B605" t="str">
            <v>ServerProtect for Windows</v>
          </cell>
          <cell r="C605" t="str">
            <v>5.58</v>
          </cell>
          <cell r="D605" t="str">
            <v>4.367.00</v>
          </cell>
          <cell r="E605" t="str">
            <v>à jour</v>
          </cell>
        </row>
        <row r="606">
          <cell r="A606" t="str">
            <v>GEALL1PDCR1</v>
          </cell>
          <cell r="B606" t="str">
            <v>ServerProtect for Windows</v>
          </cell>
          <cell r="C606" t="str">
            <v>5.58</v>
          </cell>
          <cell r="D606" t="str">
            <v>4.365.00</v>
          </cell>
          <cell r="E606" t="str">
            <v>pas à jour</v>
          </cell>
        </row>
        <row r="607">
          <cell r="A607" t="str">
            <v>GEALM1DIST1</v>
          </cell>
          <cell r="B607" t="str">
            <v>ServerProtect for Windows</v>
          </cell>
          <cell r="C607" t="str">
            <v>5.58</v>
          </cell>
          <cell r="D607" t="str">
            <v>4.365.00</v>
          </cell>
          <cell r="E607" t="str">
            <v>pas à jour</v>
          </cell>
        </row>
        <row r="608">
          <cell r="A608" t="str">
            <v>GEALN1DIST1</v>
          </cell>
          <cell r="B608" t="str">
            <v>ServerProtect for Windows</v>
          </cell>
          <cell r="C608" t="str">
            <v>5.58</v>
          </cell>
          <cell r="D608" t="str">
            <v>4.273.00</v>
          </cell>
          <cell r="E608" t="str">
            <v>pas à jour</v>
          </cell>
        </row>
        <row r="609">
          <cell r="A609" t="str">
            <v>GEALO1APPL1</v>
          </cell>
          <cell r="B609" t="str">
            <v>ServerProtect for Windows</v>
          </cell>
          <cell r="C609" t="str">
            <v>5.58</v>
          </cell>
          <cell r="D609" t="str">
            <v>3.183.00</v>
          </cell>
          <cell r="E609" t="str">
            <v>pas à jour</v>
          </cell>
        </row>
        <row r="610">
          <cell r="A610" t="str">
            <v>GEALO1BDCA1</v>
          </cell>
          <cell r="B610" t="str">
            <v>ServerProtect for Windows</v>
          </cell>
          <cell r="C610" t="str">
            <v>5.58</v>
          </cell>
          <cell r="D610" t="str">
            <v>4.365.00</v>
          </cell>
          <cell r="E610" t="str">
            <v>pas à jour</v>
          </cell>
        </row>
        <row r="611">
          <cell r="A611" t="str">
            <v>GEALO1BDCR1</v>
          </cell>
          <cell r="B611" t="str">
            <v>ServerProtect for Windows</v>
          </cell>
          <cell r="C611" t="str">
            <v>5.58</v>
          </cell>
          <cell r="D611" t="str">
            <v>4.365.00</v>
          </cell>
          <cell r="E611" t="str">
            <v>pas à jour</v>
          </cell>
        </row>
        <row r="612">
          <cell r="A612" t="str">
            <v>GEALO1FICH1</v>
          </cell>
          <cell r="B612" t="str">
            <v>ServerProtect for Windows</v>
          </cell>
          <cell r="C612" t="str">
            <v>5.58</v>
          </cell>
          <cell r="D612" t="str">
            <v>4.365.00</v>
          </cell>
          <cell r="E612" t="str">
            <v>pas à jour</v>
          </cell>
        </row>
        <row r="613">
          <cell r="A613" t="str">
            <v>GEALO1IMPR1</v>
          </cell>
          <cell r="B613" t="str">
            <v>ServerProtect for Windows</v>
          </cell>
          <cell r="C613" t="str">
            <v>5.58</v>
          </cell>
          <cell r="D613" t="str">
            <v>4.365.00</v>
          </cell>
          <cell r="E613" t="str">
            <v>pas à jour</v>
          </cell>
        </row>
        <row r="614">
          <cell r="A614" t="str">
            <v>GEALO1IMPR1_SPNT</v>
          </cell>
          <cell r="B614" t="str">
            <v>ServerProtect for Windows</v>
          </cell>
          <cell r="C614" t="str">
            <v>5.58</v>
          </cell>
          <cell r="D614" t="str">
            <v>4.365.00</v>
          </cell>
          <cell r="E614" t="str">
            <v>pas à jour</v>
          </cell>
        </row>
        <row r="615">
          <cell r="A615" t="str">
            <v>GEALO1PDCR1</v>
          </cell>
          <cell r="B615" t="str">
            <v>ServerProtect for Windows</v>
          </cell>
          <cell r="C615" t="str">
            <v>5.58</v>
          </cell>
          <cell r="D615" t="str">
            <v>4.365.00</v>
          </cell>
          <cell r="E615" t="str">
            <v>pas à jour</v>
          </cell>
        </row>
        <row r="616">
          <cell r="A616" t="str">
            <v>GEALP1APPL1</v>
          </cell>
          <cell r="B616" t="str">
            <v>ServerProtect for Windows</v>
          </cell>
          <cell r="C616" t="str">
            <v>5.58</v>
          </cell>
          <cell r="D616" t="str">
            <v>4.365.00</v>
          </cell>
          <cell r="E616" t="str">
            <v>pas à jour</v>
          </cell>
        </row>
        <row r="617">
          <cell r="A617" t="str">
            <v>GEALP1DIST1</v>
          </cell>
          <cell r="B617" t="str">
            <v>ServerProtect for Windows</v>
          </cell>
          <cell r="C617" t="str">
            <v>5.58</v>
          </cell>
          <cell r="D617" t="str">
            <v>4.365.00</v>
          </cell>
          <cell r="E617" t="str">
            <v>pas à jour</v>
          </cell>
        </row>
        <row r="618">
          <cell r="A618" t="str">
            <v>GEALP1SYFR01</v>
          </cell>
          <cell r="B618" t="str">
            <v>ServerProtect for Windows</v>
          </cell>
          <cell r="C618" t="str">
            <v>5.58</v>
          </cell>
          <cell r="D618" t="str">
            <v>4.367.00</v>
          </cell>
          <cell r="E618" t="str">
            <v>à jour</v>
          </cell>
        </row>
        <row r="619">
          <cell r="A619" t="str">
            <v>GEALP1SYFR02</v>
          </cell>
          <cell r="B619" t="str">
            <v>ServerProtect for Windows</v>
          </cell>
          <cell r="C619" t="str">
            <v>5.58</v>
          </cell>
          <cell r="D619" t="str">
            <v>4.367.00</v>
          </cell>
          <cell r="E619" t="str">
            <v>à jour</v>
          </cell>
        </row>
        <row r="620">
          <cell r="A620" t="str">
            <v>GEALS1DIST1</v>
          </cell>
          <cell r="B620" t="str">
            <v>ServerProtect for Windows</v>
          </cell>
          <cell r="C620" t="str">
            <v>5.58</v>
          </cell>
          <cell r="D620" t="str">
            <v>3.901.00</v>
          </cell>
          <cell r="E620" t="str">
            <v>pas à jour</v>
          </cell>
        </row>
        <row r="621">
          <cell r="A621" t="str">
            <v>GEALU1DIFT1</v>
          </cell>
          <cell r="B621" t="str">
            <v>ServerProtect for Windows</v>
          </cell>
          <cell r="C621" t="str">
            <v>5.58</v>
          </cell>
          <cell r="D621" t="str">
            <v>3.915.00</v>
          </cell>
          <cell r="E621" t="str">
            <v>pas à jour</v>
          </cell>
        </row>
        <row r="622">
          <cell r="A622" t="str">
            <v>GEALV1DIMT1</v>
          </cell>
          <cell r="B622" t="str">
            <v>ServerProtect for Windows</v>
          </cell>
          <cell r="C622" t="str">
            <v>5.58</v>
          </cell>
          <cell r="D622" t="str">
            <v>4.367.00</v>
          </cell>
          <cell r="E622" t="str">
            <v>à jour</v>
          </cell>
        </row>
        <row r="623">
          <cell r="A623" t="str">
            <v>GEALW1DIST1</v>
          </cell>
          <cell r="B623" t="str">
            <v>ServerProtect for Windows</v>
          </cell>
          <cell r="C623" t="str">
            <v>5.58</v>
          </cell>
          <cell r="D623" t="str">
            <v>4.365.00</v>
          </cell>
          <cell r="E623" t="str">
            <v>pas à jour</v>
          </cell>
        </row>
        <row r="624">
          <cell r="A624" t="str">
            <v>GEALY1BDCA1</v>
          </cell>
          <cell r="B624" t="str">
            <v>ServerProtect for Windows</v>
          </cell>
          <cell r="C624" t="str">
            <v>5.58</v>
          </cell>
          <cell r="D624" t="str">
            <v>4.365.00</v>
          </cell>
          <cell r="E624" t="str">
            <v>pas à jour</v>
          </cell>
        </row>
        <row r="625">
          <cell r="A625" t="str">
            <v>GEALY1BDCR1</v>
          </cell>
          <cell r="B625" t="str">
            <v>ServerProtect for Windows</v>
          </cell>
          <cell r="C625" t="str">
            <v>5.58</v>
          </cell>
          <cell r="D625" t="str">
            <v>4.365.00</v>
          </cell>
          <cell r="E625" t="str">
            <v>pas à jour</v>
          </cell>
        </row>
        <row r="626">
          <cell r="A626" t="str">
            <v>GEALY1FICH1</v>
          </cell>
          <cell r="B626" t="str">
            <v>ServerProtect for Windows</v>
          </cell>
          <cell r="C626" t="str">
            <v>5.58</v>
          </cell>
          <cell r="D626" t="str">
            <v>4.365.00</v>
          </cell>
          <cell r="E626" t="str">
            <v>pas à jour</v>
          </cell>
        </row>
        <row r="627">
          <cell r="A627" t="str">
            <v>GEALY1IMPR1</v>
          </cell>
          <cell r="B627" t="str">
            <v>ServerProtect for Windows</v>
          </cell>
          <cell r="C627" t="str">
            <v>5.58</v>
          </cell>
          <cell r="D627" t="str">
            <v>4.365.00</v>
          </cell>
          <cell r="E627" t="str">
            <v>pas à jour</v>
          </cell>
        </row>
        <row r="628">
          <cell r="A628" t="str">
            <v>GEALY1IMPR1_SPNT</v>
          </cell>
          <cell r="B628" t="str">
            <v>ServerProtect for Windows</v>
          </cell>
          <cell r="C628" t="str">
            <v>5.58</v>
          </cell>
          <cell r="D628" t="str">
            <v>4.365.00</v>
          </cell>
          <cell r="E628" t="str">
            <v>pas à jour</v>
          </cell>
        </row>
        <row r="629">
          <cell r="A629" t="str">
            <v>GEALY1PDCR1</v>
          </cell>
          <cell r="B629" t="str">
            <v>ServerProtect for Windows</v>
          </cell>
          <cell r="C629" t="str">
            <v>5.58</v>
          </cell>
          <cell r="D629" t="str">
            <v>4.365.00</v>
          </cell>
          <cell r="E629" t="str">
            <v>pas à jour</v>
          </cell>
        </row>
        <row r="630">
          <cell r="A630" t="str">
            <v>GEALYT1DIFT1</v>
          </cell>
          <cell r="B630" t="str">
            <v>ServerProtect for Windows</v>
          </cell>
          <cell r="C630" t="str">
            <v>5.58</v>
          </cell>
          <cell r="D630" t="str">
            <v>4.367.00</v>
          </cell>
          <cell r="E630" t="str">
            <v>à jour</v>
          </cell>
        </row>
        <row r="631">
          <cell r="A631" t="str">
            <v>GEALYT1ITEM1</v>
          </cell>
          <cell r="B631" t="str">
            <v>ServerProtect for Windows</v>
          </cell>
          <cell r="C631" t="str">
            <v>5.58</v>
          </cell>
          <cell r="D631" t="str">
            <v>4.367.00</v>
          </cell>
          <cell r="E631" t="str">
            <v>à jour</v>
          </cell>
        </row>
        <row r="632">
          <cell r="A632" t="str">
            <v>GEAMA1DIST1</v>
          </cell>
          <cell r="B632" t="str">
            <v>ServerProtect for Windows</v>
          </cell>
          <cell r="C632" t="str">
            <v>5.58</v>
          </cell>
          <cell r="D632" t="str">
            <v>4.365.00</v>
          </cell>
          <cell r="E632" t="str">
            <v>pas à jour</v>
          </cell>
        </row>
        <row r="633">
          <cell r="A633" t="str">
            <v>GEAMB1DIST1</v>
          </cell>
          <cell r="B633" t="str">
            <v>ServerProtect for Windows</v>
          </cell>
          <cell r="C633" t="str">
            <v>5.58</v>
          </cell>
          <cell r="D633" t="str">
            <v>3.203.00</v>
          </cell>
          <cell r="E633" t="str">
            <v>pas à jour</v>
          </cell>
        </row>
        <row r="634">
          <cell r="A634" t="str">
            <v>GEAMC1DIST1</v>
          </cell>
          <cell r="B634" t="str">
            <v>ServerProtect for Windows</v>
          </cell>
          <cell r="C634" t="str">
            <v>5.58</v>
          </cell>
          <cell r="D634" t="str">
            <v>4.365.00</v>
          </cell>
          <cell r="E634" t="str">
            <v>pas à jour</v>
          </cell>
        </row>
        <row r="635">
          <cell r="A635" t="str">
            <v>GEAMD1BDCA1</v>
          </cell>
          <cell r="B635" t="str">
            <v>ServerProtect for Windows</v>
          </cell>
          <cell r="C635" t="str">
            <v>5.58</v>
          </cell>
          <cell r="D635" t="str">
            <v>4.365.00</v>
          </cell>
          <cell r="E635" t="str">
            <v>pas à jour</v>
          </cell>
        </row>
        <row r="636">
          <cell r="A636" t="str">
            <v>GEAMD1BDCR1</v>
          </cell>
          <cell r="B636" t="str">
            <v>ServerProtect for Windows</v>
          </cell>
          <cell r="C636" t="str">
            <v>5.58</v>
          </cell>
          <cell r="D636" t="str">
            <v>4.365.00</v>
          </cell>
          <cell r="E636" t="str">
            <v>pas à jour</v>
          </cell>
        </row>
        <row r="637">
          <cell r="A637" t="str">
            <v>GEAMD1FICH1</v>
          </cell>
          <cell r="B637" t="str">
            <v>ServerProtect for Windows</v>
          </cell>
          <cell r="C637" t="str">
            <v>5.58</v>
          </cell>
          <cell r="D637" t="str">
            <v>4.365.00</v>
          </cell>
          <cell r="E637" t="str">
            <v>pas à jour</v>
          </cell>
        </row>
        <row r="638">
          <cell r="A638" t="str">
            <v>GEAMD1IMPR1</v>
          </cell>
          <cell r="B638" t="str">
            <v>ServerProtect for Windows</v>
          </cell>
          <cell r="C638" t="str">
            <v>5.58</v>
          </cell>
          <cell r="D638" t="str">
            <v>4.365.00</v>
          </cell>
          <cell r="E638" t="str">
            <v>pas à jour</v>
          </cell>
        </row>
        <row r="639">
          <cell r="A639" t="str">
            <v>GEAMD1IMPR1_SPNT</v>
          </cell>
          <cell r="B639" t="str">
            <v>ServerProtect for Windows</v>
          </cell>
          <cell r="C639" t="str">
            <v>5.58</v>
          </cell>
          <cell r="D639" t="str">
            <v>4.365.00</v>
          </cell>
          <cell r="E639" t="str">
            <v>pas à jour</v>
          </cell>
        </row>
        <row r="640">
          <cell r="A640" t="str">
            <v>GEAMD1PDCR1</v>
          </cell>
          <cell r="B640" t="str">
            <v>ServerProtect for Windows</v>
          </cell>
          <cell r="C640" t="str">
            <v>5.58</v>
          </cell>
          <cell r="D640" t="str">
            <v>4.365.00</v>
          </cell>
          <cell r="E640" t="str">
            <v>pas à jour</v>
          </cell>
        </row>
        <row r="641">
          <cell r="A641" t="str">
            <v>GEAMF1DIST1</v>
          </cell>
          <cell r="B641" t="str">
            <v>ServerProtect for Windows</v>
          </cell>
          <cell r="C641" t="str">
            <v>5.58</v>
          </cell>
          <cell r="D641" t="str">
            <v>4.365.00</v>
          </cell>
          <cell r="E641" t="str">
            <v>pas à jour</v>
          </cell>
        </row>
        <row r="642">
          <cell r="A642" t="str">
            <v>GEAMG1DIST1</v>
          </cell>
          <cell r="B642" t="str">
            <v>ServerProtect for Windows</v>
          </cell>
          <cell r="C642" t="str">
            <v>5.58</v>
          </cell>
          <cell r="D642" t="str">
            <v>4.365.00</v>
          </cell>
          <cell r="E642" t="str">
            <v>pas à jour</v>
          </cell>
        </row>
        <row r="643">
          <cell r="A643" t="str">
            <v>GEAMH1BDCA1</v>
          </cell>
          <cell r="B643" t="str">
            <v>ServerProtect for Windows</v>
          </cell>
          <cell r="C643" t="str">
            <v>5.58</v>
          </cell>
          <cell r="D643" t="str">
            <v>4.365.00</v>
          </cell>
          <cell r="E643" t="str">
            <v>pas à jour</v>
          </cell>
        </row>
        <row r="644">
          <cell r="A644" t="str">
            <v>GEAMH1BDCR1</v>
          </cell>
          <cell r="B644" t="str">
            <v>ServerProtect for Windows</v>
          </cell>
          <cell r="C644" t="str">
            <v>5.58</v>
          </cell>
          <cell r="D644" t="str">
            <v>4.365.00</v>
          </cell>
          <cell r="E644" t="str">
            <v>pas à jour</v>
          </cell>
        </row>
        <row r="645">
          <cell r="A645" t="str">
            <v>GEAMH1FICH1</v>
          </cell>
          <cell r="B645" t="str">
            <v>ServerProtect for Windows</v>
          </cell>
          <cell r="C645" t="str">
            <v>5.58</v>
          </cell>
          <cell r="D645" t="str">
            <v>4.365.00</v>
          </cell>
          <cell r="E645" t="str">
            <v>pas à jour</v>
          </cell>
        </row>
        <row r="646">
          <cell r="A646" t="str">
            <v>GEAMH1IMPR1</v>
          </cell>
          <cell r="B646" t="str">
            <v>ServerProtect for Windows</v>
          </cell>
          <cell r="C646" t="str">
            <v>5.58</v>
          </cell>
          <cell r="D646" t="str">
            <v>4.365.00</v>
          </cell>
          <cell r="E646" t="str">
            <v>pas à jour</v>
          </cell>
        </row>
        <row r="647">
          <cell r="A647" t="str">
            <v>GEAMH1IMPR1_SPNT</v>
          </cell>
          <cell r="B647" t="str">
            <v>ServerProtect for Windows</v>
          </cell>
          <cell r="C647" t="str">
            <v>5.58</v>
          </cell>
          <cell r="D647" t="str">
            <v>4.365.00</v>
          </cell>
          <cell r="E647" t="str">
            <v>pas à jour</v>
          </cell>
        </row>
        <row r="648">
          <cell r="A648" t="str">
            <v>GEAMH1PDCR1</v>
          </cell>
          <cell r="B648" t="str">
            <v>ServerProtect for Windows</v>
          </cell>
          <cell r="C648" t="str">
            <v>5.58</v>
          </cell>
          <cell r="D648" t="str">
            <v>4.365.00</v>
          </cell>
          <cell r="E648" t="str">
            <v>pas à jour</v>
          </cell>
        </row>
        <row r="649">
          <cell r="A649" t="str">
            <v>GEAMI1DIST1</v>
          </cell>
          <cell r="B649" t="str">
            <v>ServerProtect for Windows</v>
          </cell>
          <cell r="C649" t="str">
            <v>5.58</v>
          </cell>
          <cell r="D649" t="str">
            <v>4.365.00</v>
          </cell>
          <cell r="E649" t="str">
            <v>pas à jour</v>
          </cell>
        </row>
        <row r="650">
          <cell r="A650" t="str">
            <v>GEAMK1APPL1</v>
          </cell>
          <cell r="B650" t="str">
            <v>ServerProtect for Windows</v>
          </cell>
          <cell r="C650" t="str">
            <v>5.58</v>
          </cell>
          <cell r="D650" t="str">
            <v>4.365.00</v>
          </cell>
          <cell r="E650" t="str">
            <v>pas à jour</v>
          </cell>
        </row>
        <row r="651">
          <cell r="A651" t="str">
            <v>GEAMK1DIST1</v>
          </cell>
          <cell r="B651" t="str">
            <v>ServerProtect for Windows</v>
          </cell>
          <cell r="C651" t="str">
            <v>5.58</v>
          </cell>
          <cell r="D651" t="str">
            <v>4.365.00</v>
          </cell>
          <cell r="E651" t="str">
            <v>pas à jour</v>
          </cell>
        </row>
        <row r="652">
          <cell r="A652" t="str">
            <v>GEAMK1POPP01</v>
          </cell>
          <cell r="B652" t="str">
            <v>ServerProtect for Windows</v>
          </cell>
          <cell r="C652" t="str">
            <v>5.58</v>
          </cell>
          <cell r="D652" t="str">
            <v>4.367.00</v>
          </cell>
          <cell r="E652" t="str">
            <v>à jour</v>
          </cell>
        </row>
        <row r="653">
          <cell r="A653" t="str">
            <v>GEAML1BDCA1</v>
          </cell>
          <cell r="B653" t="str">
            <v>ServerProtect for Windows</v>
          </cell>
          <cell r="C653" t="str">
            <v>5.58</v>
          </cell>
          <cell r="D653" t="str">
            <v>4.345.00</v>
          </cell>
          <cell r="E653" t="str">
            <v>pas à jour</v>
          </cell>
        </row>
        <row r="654">
          <cell r="A654" t="str">
            <v>GEAML1BDCR1</v>
          </cell>
          <cell r="B654" t="str">
            <v>ServerProtect for Windows</v>
          </cell>
          <cell r="C654" t="str">
            <v>5.58</v>
          </cell>
          <cell r="D654" t="str">
            <v>4.365.00</v>
          </cell>
          <cell r="E654" t="str">
            <v>pas à jour</v>
          </cell>
        </row>
        <row r="655">
          <cell r="A655" t="str">
            <v>GEAML1FICH1</v>
          </cell>
          <cell r="B655" t="str">
            <v>ServerProtect for Windows</v>
          </cell>
          <cell r="C655" t="str">
            <v>5.58</v>
          </cell>
          <cell r="D655" t="str">
            <v>4.365.00</v>
          </cell>
          <cell r="E655" t="str">
            <v>pas à jour</v>
          </cell>
        </row>
        <row r="656">
          <cell r="A656" t="str">
            <v>GEAML1IMPR1</v>
          </cell>
          <cell r="B656" t="str">
            <v>ServerProtect for Windows</v>
          </cell>
          <cell r="C656" t="str">
            <v>5.58</v>
          </cell>
          <cell r="D656" t="str">
            <v>4.365.00</v>
          </cell>
          <cell r="E656" t="str">
            <v>pas à jour</v>
          </cell>
        </row>
        <row r="657">
          <cell r="A657" t="str">
            <v>GEAML1IMPR1_SPNT</v>
          </cell>
          <cell r="B657" t="str">
            <v>ServerProtect for Windows</v>
          </cell>
          <cell r="C657" t="str">
            <v>5.58</v>
          </cell>
          <cell r="D657" t="str">
            <v>4.365.00</v>
          </cell>
          <cell r="E657" t="str">
            <v>pas à jour</v>
          </cell>
        </row>
        <row r="658">
          <cell r="A658" t="str">
            <v>GEAML1PDCR1</v>
          </cell>
          <cell r="B658" t="str">
            <v>ServerProtect for Windows</v>
          </cell>
          <cell r="C658" t="str">
            <v>5.58</v>
          </cell>
          <cell r="D658" t="str">
            <v>4.365.00</v>
          </cell>
          <cell r="E658" t="str">
            <v>pas à jour</v>
          </cell>
        </row>
        <row r="659">
          <cell r="A659" t="str">
            <v>GEAMN1BDCA1</v>
          </cell>
          <cell r="B659" t="str">
            <v>ServerProtect for Windows</v>
          </cell>
          <cell r="C659" t="str">
            <v>5.58</v>
          </cell>
          <cell r="D659" t="str">
            <v>4.365.00</v>
          </cell>
          <cell r="E659" t="str">
            <v>pas à jour</v>
          </cell>
        </row>
        <row r="660">
          <cell r="A660" t="str">
            <v>GEAMN1BDCR1</v>
          </cell>
          <cell r="B660" t="str">
            <v>ServerProtect for Windows</v>
          </cell>
          <cell r="C660" t="str">
            <v>5.58</v>
          </cell>
          <cell r="D660" t="str">
            <v>4.365.00</v>
          </cell>
          <cell r="E660" t="str">
            <v>pas à jour</v>
          </cell>
        </row>
        <row r="661">
          <cell r="A661" t="str">
            <v>GEAMN1FICH1</v>
          </cell>
          <cell r="B661" t="str">
            <v>ServerProtect for Windows</v>
          </cell>
          <cell r="C661" t="str">
            <v>5.58</v>
          </cell>
          <cell r="D661" t="str">
            <v>4.365.00</v>
          </cell>
          <cell r="E661" t="str">
            <v>pas à jour</v>
          </cell>
        </row>
        <row r="662">
          <cell r="A662" t="str">
            <v>GEAMN1IMPR1</v>
          </cell>
          <cell r="B662" t="str">
            <v>ServerProtect for Windows</v>
          </cell>
          <cell r="C662" t="str">
            <v>5.58</v>
          </cell>
          <cell r="D662" t="str">
            <v>4.365.00</v>
          </cell>
          <cell r="E662" t="str">
            <v>pas à jour</v>
          </cell>
        </row>
        <row r="663">
          <cell r="A663" t="str">
            <v>GEAMN1IMPR1_SPNT</v>
          </cell>
          <cell r="B663" t="str">
            <v>ServerProtect for Windows</v>
          </cell>
          <cell r="C663" t="str">
            <v>5.58</v>
          </cell>
          <cell r="D663" t="str">
            <v>4.365.00</v>
          </cell>
          <cell r="E663" t="str">
            <v>pas à jour</v>
          </cell>
        </row>
        <row r="664">
          <cell r="A664" t="str">
            <v>GEAMN1PDCR1</v>
          </cell>
          <cell r="B664" t="str">
            <v>ServerProtect for Windows</v>
          </cell>
          <cell r="C664" t="str">
            <v>5.58</v>
          </cell>
          <cell r="D664" t="str">
            <v>4.347.00</v>
          </cell>
          <cell r="E664" t="str">
            <v>pas à jour</v>
          </cell>
        </row>
        <row r="665">
          <cell r="A665" t="str">
            <v>GEAMO1DIST1</v>
          </cell>
          <cell r="B665" t="str">
            <v>ServerProtect for Windows</v>
          </cell>
          <cell r="C665" t="str">
            <v>5.58</v>
          </cell>
          <cell r="D665" t="str">
            <v>4.365.00</v>
          </cell>
          <cell r="E665" t="str">
            <v>pas à jour</v>
          </cell>
        </row>
        <row r="666">
          <cell r="A666" t="str">
            <v>GEAMOG1NOMA01</v>
          </cell>
          <cell r="B666" t="str">
            <v>ServerProtect for Windows</v>
          </cell>
          <cell r="C666" t="str">
            <v>5.58</v>
          </cell>
          <cell r="D666" t="str">
            <v>4.367.00</v>
          </cell>
          <cell r="E666" t="str">
            <v>à jour</v>
          </cell>
        </row>
        <row r="667">
          <cell r="A667" t="str">
            <v>GEAMOS1DIFT1</v>
          </cell>
          <cell r="B667" t="str">
            <v>ServerProtect for Windows</v>
          </cell>
          <cell r="C667" t="str">
            <v>5.58</v>
          </cell>
          <cell r="D667" t="str">
            <v>4.367.00</v>
          </cell>
          <cell r="E667" t="str">
            <v>à jour</v>
          </cell>
        </row>
        <row r="668">
          <cell r="A668" t="str">
            <v>GEAMP1DIST1</v>
          </cell>
          <cell r="B668" t="str">
            <v>ServerProtect for Windows</v>
          </cell>
          <cell r="C668" t="str">
            <v>5.58</v>
          </cell>
          <cell r="D668" t="str">
            <v>4.365.00</v>
          </cell>
          <cell r="E668" t="str">
            <v>pas à jour</v>
          </cell>
        </row>
        <row r="669">
          <cell r="A669" t="str">
            <v>GEAMQ1DIST1</v>
          </cell>
          <cell r="B669" t="str">
            <v>ServerProtect for Windows</v>
          </cell>
          <cell r="C669" t="str">
            <v>5.58</v>
          </cell>
          <cell r="D669" t="str">
            <v>4.365.00</v>
          </cell>
          <cell r="E669" t="str">
            <v>pas à jour</v>
          </cell>
        </row>
        <row r="670">
          <cell r="A670" t="str">
            <v>GEAMR1BDCA1</v>
          </cell>
          <cell r="B670" t="str">
            <v>ServerProtect for Windows</v>
          </cell>
          <cell r="C670" t="str">
            <v>5.58</v>
          </cell>
          <cell r="D670" t="str">
            <v>2.911.00</v>
          </cell>
          <cell r="E670" t="str">
            <v>pas à jour</v>
          </cell>
        </row>
        <row r="671">
          <cell r="A671" t="str">
            <v>GEAMR1BDCA1</v>
          </cell>
          <cell r="B671" t="str">
            <v>ServerProtect for Windows</v>
          </cell>
          <cell r="C671" t="str">
            <v>5.58</v>
          </cell>
          <cell r="D671" t="str">
            <v>4.365.00</v>
          </cell>
          <cell r="E671" t="str">
            <v>pas à jour</v>
          </cell>
        </row>
        <row r="672">
          <cell r="A672" t="str">
            <v>GEAMR1BDCR1</v>
          </cell>
          <cell r="B672" t="str">
            <v>ServerProtect for Windows</v>
          </cell>
          <cell r="C672" t="str">
            <v>5.58</v>
          </cell>
          <cell r="D672" t="str">
            <v>4.365.00</v>
          </cell>
          <cell r="E672" t="str">
            <v>pas à jour</v>
          </cell>
        </row>
        <row r="673">
          <cell r="A673" t="str">
            <v>GEAMR1DIST1</v>
          </cell>
          <cell r="B673" t="str">
            <v>ServerProtect for Windows</v>
          </cell>
          <cell r="C673" t="str">
            <v>5.58</v>
          </cell>
          <cell r="D673" t="str">
            <v>4.365.00</v>
          </cell>
          <cell r="E673" t="str">
            <v>pas à jour</v>
          </cell>
        </row>
        <row r="674">
          <cell r="A674" t="str">
            <v>GEAMR1FICH1</v>
          </cell>
          <cell r="B674" t="str">
            <v>ServerProtect for Windows</v>
          </cell>
          <cell r="C674" t="str">
            <v>5.58</v>
          </cell>
          <cell r="D674" t="str">
            <v>4.365.00</v>
          </cell>
          <cell r="E674" t="str">
            <v>pas à jour</v>
          </cell>
        </row>
        <row r="675">
          <cell r="A675" t="str">
            <v>GEAMR1IMPR1</v>
          </cell>
          <cell r="B675" t="str">
            <v>ServerProtect for Windows</v>
          </cell>
          <cell r="C675" t="str">
            <v>5.58</v>
          </cell>
          <cell r="D675" t="str">
            <v>4.365.00</v>
          </cell>
          <cell r="E675" t="str">
            <v>pas à jour</v>
          </cell>
        </row>
        <row r="676">
          <cell r="A676" t="str">
            <v>GEAMR1IMPR1_SPNT</v>
          </cell>
          <cell r="B676" t="str">
            <v>ServerProtect for Windows</v>
          </cell>
          <cell r="C676" t="str">
            <v>5.58</v>
          </cell>
          <cell r="D676" t="str">
            <v>4.365.00</v>
          </cell>
          <cell r="E676" t="str">
            <v>pas à jour</v>
          </cell>
        </row>
        <row r="677">
          <cell r="A677" t="str">
            <v>GEAMR1PDCR1</v>
          </cell>
          <cell r="B677" t="str">
            <v>ServerProtect for Windows</v>
          </cell>
          <cell r="C677" t="str">
            <v>5.58</v>
          </cell>
          <cell r="D677" t="str">
            <v>4.365.00</v>
          </cell>
          <cell r="E677" t="str">
            <v>pas à jour</v>
          </cell>
        </row>
        <row r="678">
          <cell r="A678" t="str">
            <v>GEAMRD1DIFT1</v>
          </cell>
          <cell r="B678" t="str">
            <v>ServerProtect for Windows</v>
          </cell>
          <cell r="C678" t="str">
            <v>5.58</v>
          </cell>
          <cell r="D678" t="str">
            <v>4.367.00</v>
          </cell>
          <cell r="E678" t="str">
            <v>à jour</v>
          </cell>
        </row>
        <row r="679">
          <cell r="A679" t="str">
            <v>GEAMRD1NOMA01</v>
          </cell>
          <cell r="B679" t="str">
            <v>ServerProtect for Windows</v>
          </cell>
          <cell r="C679" t="str">
            <v>5.58</v>
          </cell>
          <cell r="D679" t="str">
            <v>4.367.00</v>
          </cell>
          <cell r="E679" t="str">
            <v>à jour</v>
          </cell>
        </row>
        <row r="680">
          <cell r="A680" t="str">
            <v>GEAMT1DIST1</v>
          </cell>
          <cell r="B680" t="str">
            <v>ServerProtect for Windows</v>
          </cell>
          <cell r="C680" t="str">
            <v>5.58</v>
          </cell>
          <cell r="D680" t="str">
            <v>3.613.00</v>
          </cell>
          <cell r="E680" t="str">
            <v>pas à jour</v>
          </cell>
        </row>
        <row r="681">
          <cell r="A681" t="str">
            <v>GEAMU1BDCA1</v>
          </cell>
          <cell r="B681" t="str">
            <v>ServerProtect for Windows</v>
          </cell>
          <cell r="C681" t="str">
            <v>5.58</v>
          </cell>
          <cell r="D681" t="str">
            <v>4.365.00</v>
          </cell>
          <cell r="E681" t="str">
            <v>pas à jour</v>
          </cell>
        </row>
        <row r="682">
          <cell r="A682" t="str">
            <v>GEAMU1BDCR1</v>
          </cell>
          <cell r="B682" t="str">
            <v>ServerProtect for Windows</v>
          </cell>
          <cell r="C682" t="str">
            <v>5.58</v>
          </cell>
          <cell r="D682" t="str">
            <v>4.365.00</v>
          </cell>
          <cell r="E682" t="str">
            <v>pas à jour</v>
          </cell>
        </row>
        <row r="683">
          <cell r="A683" t="str">
            <v>GEAMU1FICH1</v>
          </cell>
          <cell r="B683" t="str">
            <v>ServerProtect for Windows</v>
          </cell>
          <cell r="C683" t="str">
            <v>5.58</v>
          </cell>
          <cell r="D683" t="str">
            <v>4.365.00</v>
          </cell>
          <cell r="E683" t="str">
            <v>pas à jour</v>
          </cell>
        </row>
        <row r="684">
          <cell r="A684" t="str">
            <v>GEAMU1IMPR1</v>
          </cell>
          <cell r="B684" t="str">
            <v>ServerProtect for Windows</v>
          </cell>
          <cell r="C684" t="str">
            <v>5.58</v>
          </cell>
          <cell r="D684" t="str">
            <v>4.365.00</v>
          </cell>
          <cell r="E684" t="str">
            <v>pas à jour</v>
          </cell>
        </row>
        <row r="685">
          <cell r="A685" t="str">
            <v>GEAMU1IMPR1_SPNT</v>
          </cell>
          <cell r="B685" t="str">
            <v>ServerProtect for Windows</v>
          </cell>
          <cell r="C685" t="str">
            <v>5.58</v>
          </cell>
          <cell r="D685" t="str">
            <v>4.365.00</v>
          </cell>
          <cell r="E685" t="str">
            <v>pas à jour</v>
          </cell>
        </row>
        <row r="686">
          <cell r="A686" t="str">
            <v>GEAMU1PDCR1</v>
          </cell>
          <cell r="B686" t="str">
            <v>ServerProtect for Windows</v>
          </cell>
          <cell r="C686" t="str">
            <v>5.58</v>
          </cell>
          <cell r="D686" t="str">
            <v>4.365.00</v>
          </cell>
          <cell r="E686" t="str">
            <v>pas à jour</v>
          </cell>
        </row>
        <row r="687">
          <cell r="A687" t="str">
            <v>GEAMU1RESS01</v>
          </cell>
          <cell r="B687" t="str">
            <v>ServerProtect for Windows</v>
          </cell>
          <cell r="C687" t="str">
            <v>5.58</v>
          </cell>
          <cell r="D687" t="str">
            <v>4.365.00</v>
          </cell>
          <cell r="E687" t="str">
            <v>pas à jour</v>
          </cell>
        </row>
        <row r="688">
          <cell r="A688" t="str">
            <v>GEAMX1DIST1</v>
          </cell>
          <cell r="B688" t="str">
            <v>ServerProtect for Windows</v>
          </cell>
          <cell r="C688" t="str">
            <v>5.58</v>
          </cell>
          <cell r="D688" t="str">
            <v>4.365.00</v>
          </cell>
          <cell r="E688" t="str">
            <v>pas à jour</v>
          </cell>
        </row>
        <row r="689">
          <cell r="A689" t="str">
            <v>GEANA1DIST1</v>
          </cell>
          <cell r="B689" t="str">
            <v>ServerProtect for Windows</v>
          </cell>
          <cell r="C689" t="str">
            <v>5.58</v>
          </cell>
          <cell r="D689" t="str">
            <v>4.365.00</v>
          </cell>
          <cell r="E689" t="str">
            <v>pas à jour</v>
          </cell>
        </row>
        <row r="690">
          <cell r="A690" t="str">
            <v>GEANE1DIST1</v>
          </cell>
          <cell r="B690" t="str">
            <v>ServerProtect for Windows</v>
          </cell>
          <cell r="C690" t="str">
            <v>5.58</v>
          </cell>
          <cell r="D690" t="str">
            <v>4.365.00</v>
          </cell>
          <cell r="E690" t="str">
            <v>pas à jour</v>
          </cell>
        </row>
        <row r="691">
          <cell r="A691" t="str">
            <v>GEANI1DIST1</v>
          </cell>
          <cell r="B691" t="str">
            <v>ServerProtect for Windows</v>
          </cell>
          <cell r="C691" t="str">
            <v>5.58</v>
          </cell>
          <cell r="D691" t="str">
            <v>4.365.00</v>
          </cell>
          <cell r="E691" t="str">
            <v>pas à jour</v>
          </cell>
        </row>
        <row r="692">
          <cell r="A692" t="str">
            <v>GEANN1DIST1</v>
          </cell>
          <cell r="B692" t="str">
            <v>ServerProtect for Windows</v>
          </cell>
          <cell r="C692" t="str">
            <v>5.58</v>
          </cell>
          <cell r="D692" t="str">
            <v>4.365.00</v>
          </cell>
          <cell r="E692" t="str">
            <v>pas à jour</v>
          </cell>
        </row>
        <row r="693">
          <cell r="A693" t="str">
            <v>GEANR1DIST1</v>
          </cell>
          <cell r="B693" t="str">
            <v>ServerProtect for Windows</v>
          </cell>
          <cell r="C693" t="str">
            <v>5.58</v>
          </cell>
          <cell r="D693" t="str">
            <v>4.365.00</v>
          </cell>
          <cell r="E693" t="str">
            <v>pas à jour</v>
          </cell>
        </row>
        <row r="694">
          <cell r="A694" t="str">
            <v>GEAOD1DIST1</v>
          </cell>
          <cell r="B694" t="str">
            <v>ServerProtect for Windows</v>
          </cell>
          <cell r="C694" t="str">
            <v>5.58</v>
          </cell>
          <cell r="D694" t="str">
            <v>4.333.00</v>
          </cell>
          <cell r="E694" t="str">
            <v>pas à jour</v>
          </cell>
        </row>
        <row r="695">
          <cell r="A695" t="str">
            <v>GEAOD1FICH1</v>
          </cell>
          <cell r="B695" t="str">
            <v>ServerProtect for Windows</v>
          </cell>
          <cell r="C695" t="str">
            <v>5.58</v>
          </cell>
          <cell r="D695" t="str">
            <v>4.333.00</v>
          </cell>
          <cell r="E695" t="str">
            <v>pas à jour</v>
          </cell>
        </row>
        <row r="696">
          <cell r="A696" t="str">
            <v>GEAON1DIFT1</v>
          </cell>
          <cell r="B696" t="str">
            <v>ServerProtect for Windows</v>
          </cell>
          <cell r="C696" t="str">
            <v>5.58</v>
          </cell>
          <cell r="D696" t="str">
            <v>4.367.00</v>
          </cell>
          <cell r="E696" t="str">
            <v>à jour</v>
          </cell>
        </row>
        <row r="697">
          <cell r="A697" t="str">
            <v>GEAOO1APPS1</v>
          </cell>
          <cell r="B697" t="str">
            <v>ServerProtect for Windows</v>
          </cell>
          <cell r="C697" t="str">
            <v>5.58</v>
          </cell>
          <cell r="D697" t="str">
            <v>4.333.00</v>
          </cell>
          <cell r="E697" t="str">
            <v>pas à jour</v>
          </cell>
        </row>
        <row r="698">
          <cell r="A698" t="str">
            <v>GEAOO1DIFT1</v>
          </cell>
          <cell r="B698" t="str">
            <v>ServerProtect for Windows</v>
          </cell>
          <cell r="C698" t="str">
            <v>5.58</v>
          </cell>
          <cell r="D698" t="str">
            <v>4.367.00</v>
          </cell>
          <cell r="E698" t="str">
            <v>à jour</v>
          </cell>
        </row>
        <row r="699">
          <cell r="A699" t="str">
            <v>GEAOO1DIST1</v>
          </cell>
          <cell r="B699" t="str">
            <v>ServerProtect for Windows</v>
          </cell>
          <cell r="C699" t="str">
            <v>5.58</v>
          </cell>
          <cell r="D699" t="str">
            <v>4.333.00</v>
          </cell>
          <cell r="E699" t="str">
            <v>pas à jour</v>
          </cell>
        </row>
        <row r="700">
          <cell r="A700" t="str">
            <v>GEAOR1DIST1</v>
          </cell>
          <cell r="B700" t="str">
            <v>ServerProtect for Windows</v>
          </cell>
          <cell r="C700" t="str">
            <v>5.58</v>
          </cell>
          <cell r="D700" t="str">
            <v>4.365.00</v>
          </cell>
          <cell r="E700" t="str">
            <v>pas à jour</v>
          </cell>
        </row>
        <row r="701">
          <cell r="A701" t="str">
            <v>GEAOU1DIST1</v>
          </cell>
          <cell r="B701" t="str">
            <v>ServerProtect for Windows</v>
          </cell>
          <cell r="C701" t="str">
            <v>5.58</v>
          </cell>
          <cell r="D701" t="str">
            <v>4.365.00</v>
          </cell>
          <cell r="E701" t="str">
            <v>pas à jour</v>
          </cell>
        </row>
        <row r="702">
          <cell r="A702" t="str">
            <v>GEAOX1DIST1</v>
          </cell>
          <cell r="B702" t="str">
            <v>ServerProtect for Windows</v>
          </cell>
          <cell r="C702" t="str">
            <v>5.58</v>
          </cell>
          <cell r="D702" t="str">
            <v>4.365.00</v>
          </cell>
          <cell r="E702" t="str">
            <v>pas à jour</v>
          </cell>
        </row>
        <row r="703">
          <cell r="A703" t="str">
            <v>GEAPA1DIST1</v>
          </cell>
          <cell r="B703" t="str">
            <v>ServerProtect for Windows</v>
          </cell>
          <cell r="C703" t="str">
            <v>5.58</v>
          </cell>
          <cell r="D703" t="str">
            <v>4.365.00</v>
          </cell>
          <cell r="E703" t="str">
            <v>pas à jour</v>
          </cell>
        </row>
        <row r="704">
          <cell r="A704" t="str">
            <v>GEAPE1DIST1</v>
          </cell>
          <cell r="B704" t="str">
            <v>ServerProtect for Windows</v>
          </cell>
          <cell r="C704" t="str">
            <v>5.58</v>
          </cell>
          <cell r="D704" t="str">
            <v>4.365.00</v>
          </cell>
          <cell r="E704" t="str">
            <v>pas à jour</v>
          </cell>
        </row>
        <row r="705">
          <cell r="A705" t="str">
            <v>GEAPL1APPL1</v>
          </cell>
          <cell r="B705" t="str">
            <v>ServerProtect for Windows</v>
          </cell>
          <cell r="C705" t="str">
            <v>5.58</v>
          </cell>
          <cell r="D705" t="str">
            <v>3.485.00</v>
          </cell>
          <cell r="E705" t="str">
            <v>pas à jour</v>
          </cell>
        </row>
        <row r="706">
          <cell r="A706" t="str">
            <v>GEAPL1BDCA1</v>
          </cell>
          <cell r="B706" t="str">
            <v>ServerProtect for Windows</v>
          </cell>
          <cell r="C706" t="str">
            <v>5.58</v>
          </cell>
          <cell r="D706" t="str">
            <v>3.485.00</v>
          </cell>
          <cell r="E706" t="str">
            <v>pas à jour</v>
          </cell>
        </row>
        <row r="707">
          <cell r="A707" t="str">
            <v>GEAPL1BDCR1</v>
          </cell>
          <cell r="B707" t="str">
            <v>ServerProtect for Windows</v>
          </cell>
          <cell r="C707" t="str">
            <v>5.58</v>
          </cell>
          <cell r="D707" t="str">
            <v>3.485.00</v>
          </cell>
          <cell r="E707" t="str">
            <v>pas à jour</v>
          </cell>
        </row>
        <row r="708">
          <cell r="A708" t="str">
            <v>GEAPL1PDCR1</v>
          </cell>
          <cell r="B708" t="str">
            <v>ServerProtect for Windows</v>
          </cell>
          <cell r="C708" t="str">
            <v>5.58</v>
          </cell>
          <cell r="D708" t="str">
            <v>3.485.00</v>
          </cell>
          <cell r="E708" t="str">
            <v>pas à jour</v>
          </cell>
        </row>
        <row r="709">
          <cell r="A709" t="str">
            <v>GEAPL1PDCR1_SPNT</v>
          </cell>
          <cell r="B709" t="str">
            <v>ServerProtect for Windows</v>
          </cell>
          <cell r="C709" t="str">
            <v>5.58</v>
          </cell>
          <cell r="D709" t="str">
            <v>3.485.00</v>
          </cell>
          <cell r="E709" t="str">
            <v>pas à jour</v>
          </cell>
        </row>
        <row r="710">
          <cell r="A710" t="str">
            <v>GEAPL1SYFL3</v>
          </cell>
          <cell r="B710" t="str">
            <v>ServerProtect for Windows</v>
          </cell>
          <cell r="C710" t="str">
            <v>5.58</v>
          </cell>
          <cell r="D710" t="str">
            <v>4.367.00</v>
          </cell>
          <cell r="E710" t="str">
            <v>à jour</v>
          </cell>
        </row>
        <row r="711">
          <cell r="A711" t="str">
            <v>GEAPL1SYFN1</v>
          </cell>
          <cell r="B711" t="str">
            <v>ServerProtect for Windows</v>
          </cell>
          <cell r="C711" t="str">
            <v>5.58</v>
          </cell>
          <cell r="D711" t="str">
            <v>4.335.00</v>
          </cell>
          <cell r="E711" t="str">
            <v>pas à jour</v>
          </cell>
        </row>
        <row r="712">
          <cell r="A712" t="str">
            <v>GEAPL1SYFN2</v>
          </cell>
          <cell r="B712" t="str">
            <v>ServerProtect for Windows</v>
          </cell>
          <cell r="C712" t="str">
            <v>5.58</v>
          </cell>
          <cell r="D712" t="str">
            <v>4.331.00</v>
          </cell>
          <cell r="E712" t="str">
            <v>pas à jour</v>
          </cell>
        </row>
        <row r="713">
          <cell r="A713" t="str">
            <v>GEAPLY1RESS01</v>
          </cell>
          <cell r="B713" t="str">
            <v>ServerProtect for Windows</v>
          </cell>
          <cell r="C713" t="str">
            <v>5.58</v>
          </cell>
          <cell r="D713" t="str">
            <v>4.367.00</v>
          </cell>
          <cell r="E713" t="str">
            <v>à jour</v>
          </cell>
        </row>
        <row r="714">
          <cell r="A714" t="str">
            <v>GEAPM1DIST1</v>
          </cell>
          <cell r="B714" t="str">
            <v>ServerProtect for Windows</v>
          </cell>
          <cell r="C714" t="str">
            <v>5.58</v>
          </cell>
          <cell r="D714" t="str">
            <v>3.959.00</v>
          </cell>
          <cell r="E714" t="str">
            <v>pas à jour</v>
          </cell>
        </row>
        <row r="715">
          <cell r="A715" t="str">
            <v>GEAPN1DIST1</v>
          </cell>
          <cell r="B715" t="str">
            <v>ServerProtect for Windows</v>
          </cell>
          <cell r="C715" t="str">
            <v>5.58</v>
          </cell>
          <cell r="D715" t="str">
            <v>4.365.00</v>
          </cell>
          <cell r="E715" t="str">
            <v>pas à jour</v>
          </cell>
        </row>
        <row r="716">
          <cell r="A716" t="str">
            <v>GEAPO1DIST1</v>
          </cell>
          <cell r="B716" t="str">
            <v>ServerProtect for Windows</v>
          </cell>
          <cell r="C716" t="str">
            <v>5.58</v>
          </cell>
          <cell r="D716" t="str">
            <v>4.273.00</v>
          </cell>
          <cell r="E716" t="str">
            <v>pas à jour</v>
          </cell>
        </row>
        <row r="717">
          <cell r="A717" t="str">
            <v>GEAPP1DIST1</v>
          </cell>
          <cell r="B717" t="str">
            <v>ServerProtect for Windows</v>
          </cell>
          <cell r="C717" t="str">
            <v>5.58</v>
          </cell>
          <cell r="D717" t="str">
            <v>4.365.00</v>
          </cell>
          <cell r="E717" t="str">
            <v>pas à jour</v>
          </cell>
        </row>
        <row r="718">
          <cell r="A718" t="str">
            <v>GEAPP1SYFB01</v>
          </cell>
          <cell r="B718" t="str">
            <v>ServerProtect for Windows</v>
          </cell>
          <cell r="C718" t="str">
            <v>5.58</v>
          </cell>
          <cell r="D718" t="str">
            <v>4.367.00</v>
          </cell>
          <cell r="E718" t="str">
            <v>à jour</v>
          </cell>
        </row>
        <row r="719">
          <cell r="A719" t="str">
            <v>GEAPP1SYFB02</v>
          </cell>
          <cell r="B719" t="str">
            <v>ServerProtect for Windows</v>
          </cell>
          <cell r="C719" t="str">
            <v>5.58</v>
          </cell>
          <cell r="D719" t="str">
            <v>4.367.00</v>
          </cell>
          <cell r="E719" t="str">
            <v>à jour</v>
          </cell>
        </row>
        <row r="720">
          <cell r="A720" t="str">
            <v>GEAPP1SYFL01</v>
          </cell>
          <cell r="B720" t="str">
            <v>ServerProtect for Windows</v>
          </cell>
          <cell r="D720" t="str">
            <v>3.271.00</v>
          </cell>
          <cell r="E720" t="str">
            <v>pas à jour</v>
          </cell>
        </row>
        <row r="721">
          <cell r="A721" t="str">
            <v>GEAPP1SYFN01</v>
          </cell>
          <cell r="B721" t="str">
            <v>ServerProtect for Windows</v>
          </cell>
          <cell r="C721" t="str">
            <v>5.58</v>
          </cell>
          <cell r="D721" t="str">
            <v>4.367.00</v>
          </cell>
          <cell r="E721" t="str">
            <v>à jour</v>
          </cell>
        </row>
        <row r="722">
          <cell r="A722" t="str">
            <v>GEAPP1SYFN02</v>
          </cell>
          <cell r="B722" t="str">
            <v>ServerProtect for Windows</v>
          </cell>
          <cell r="C722" t="str">
            <v>5.58</v>
          </cell>
          <cell r="D722" t="str">
            <v>4.367.00</v>
          </cell>
          <cell r="E722" t="str">
            <v>à jour</v>
          </cell>
        </row>
        <row r="723">
          <cell r="A723" t="str">
            <v>GEAPP1SYFN03</v>
          </cell>
          <cell r="B723" t="str">
            <v>ServerProtect for Windows</v>
          </cell>
          <cell r="C723" t="str">
            <v>5.58</v>
          </cell>
          <cell r="D723" t="str">
            <v>4.367.00</v>
          </cell>
          <cell r="E723" t="str">
            <v>à jour</v>
          </cell>
        </row>
        <row r="724">
          <cell r="A724" t="str">
            <v>GEAPR1DIST1</v>
          </cell>
          <cell r="B724" t="str">
            <v>ServerProtect for Windows</v>
          </cell>
          <cell r="C724" t="str">
            <v>5.58</v>
          </cell>
          <cell r="D724" t="str">
            <v>3.901.00</v>
          </cell>
          <cell r="E724" t="str">
            <v>pas à jour</v>
          </cell>
        </row>
        <row r="725">
          <cell r="A725" t="str">
            <v>GEAPS1DIST1</v>
          </cell>
          <cell r="B725" t="str">
            <v>ServerProtect for Windows</v>
          </cell>
          <cell r="C725" t="str">
            <v>5.58</v>
          </cell>
          <cell r="D725" t="str">
            <v>3.485.00</v>
          </cell>
          <cell r="E725" t="str">
            <v>pas à jour</v>
          </cell>
        </row>
        <row r="726">
          <cell r="A726" t="str">
            <v>GEAPT1DIST1</v>
          </cell>
          <cell r="B726" t="str">
            <v>ServerProtect for Windows</v>
          </cell>
          <cell r="C726" t="str">
            <v>5.58</v>
          </cell>
          <cell r="D726" t="str">
            <v>4.365.00</v>
          </cell>
          <cell r="E726" t="str">
            <v>pas à jour</v>
          </cell>
        </row>
        <row r="727">
          <cell r="A727" t="str">
            <v>GEAPU1APPL1</v>
          </cell>
          <cell r="B727" t="str">
            <v>ServerProtect for Windows</v>
          </cell>
          <cell r="C727" t="str">
            <v>5.58</v>
          </cell>
          <cell r="D727" t="str">
            <v>4.367.00</v>
          </cell>
          <cell r="E727" t="str">
            <v>à jour</v>
          </cell>
        </row>
        <row r="728">
          <cell r="A728" t="str">
            <v>GEAPZ1DIST1</v>
          </cell>
          <cell r="B728" t="str">
            <v>ServerProtect for Windows</v>
          </cell>
          <cell r="C728" t="str">
            <v>5.58</v>
          </cell>
          <cell r="D728" t="str">
            <v>4.365.00</v>
          </cell>
          <cell r="E728" t="str">
            <v>pas à jour</v>
          </cell>
        </row>
        <row r="729">
          <cell r="A729" t="str">
            <v>GEARA1DIST1</v>
          </cell>
          <cell r="B729" t="str">
            <v>ServerProtect for Windows</v>
          </cell>
          <cell r="C729" t="str">
            <v>5.58</v>
          </cell>
          <cell r="D729" t="str">
            <v>3.485.00</v>
          </cell>
          <cell r="E729" t="str">
            <v>pas à jour</v>
          </cell>
        </row>
        <row r="730">
          <cell r="A730" t="str">
            <v>GEARAD1DIFT1</v>
          </cell>
          <cell r="B730" t="str">
            <v>ServerProtect for Windows</v>
          </cell>
          <cell r="C730" t="str">
            <v>5.58</v>
          </cell>
          <cell r="D730" t="str">
            <v>4.367.00</v>
          </cell>
          <cell r="E730" t="str">
            <v>à jour</v>
          </cell>
        </row>
        <row r="731">
          <cell r="A731" t="str">
            <v>GEARB1DIST1</v>
          </cell>
          <cell r="B731" t="str">
            <v>ServerProtect for Windows</v>
          </cell>
          <cell r="C731" t="str">
            <v>5.58</v>
          </cell>
          <cell r="D731" t="str">
            <v>4.365.00</v>
          </cell>
          <cell r="E731" t="str">
            <v>pas à jour</v>
          </cell>
        </row>
        <row r="732">
          <cell r="A732" t="str">
            <v>GEARD1DIST1</v>
          </cell>
          <cell r="B732" t="str">
            <v>ServerProtect for Windows</v>
          </cell>
          <cell r="C732" t="str">
            <v>5.58</v>
          </cell>
          <cell r="D732" t="str">
            <v>4.313.00</v>
          </cell>
          <cell r="E732" t="str">
            <v>pas à jour</v>
          </cell>
        </row>
        <row r="733">
          <cell r="A733" t="str">
            <v>GEARE1DIST1</v>
          </cell>
          <cell r="B733" t="str">
            <v>ServerProtect for Windows</v>
          </cell>
          <cell r="C733" t="str">
            <v>5.58</v>
          </cell>
          <cell r="D733" t="str">
            <v>4.365.00</v>
          </cell>
          <cell r="E733" t="str">
            <v>pas à jour</v>
          </cell>
        </row>
        <row r="734">
          <cell r="A734" t="str">
            <v>GEARI1DIST1</v>
          </cell>
          <cell r="B734" t="str">
            <v>ServerProtect for Windows</v>
          </cell>
          <cell r="C734" t="str">
            <v>5.58</v>
          </cell>
          <cell r="D734" t="str">
            <v>4.365.00</v>
          </cell>
          <cell r="E734" t="str">
            <v>pas à jour</v>
          </cell>
        </row>
        <row r="735">
          <cell r="A735" t="str">
            <v>GEARJ1DIST1</v>
          </cell>
          <cell r="B735" t="str">
            <v>ServerProtect for Windows</v>
          </cell>
          <cell r="C735" t="str">
            <v>5.58</v>
          </cell>
          <cell r="D735" t="str">
            <v>4.365.00</v>
          </cell>
          <cell r="E735" t="str">
            <v>pas à jour</v>
          </cell>
        </row>
        <row r="736">
          <cell r="A736" t="str">
            <v>GEARL1DIST1</v>
          </cell>
          <cell r="B736" t="str">
            <v>ServerProtect for Windows</v>
          </cell>
          <cell r="C736" t="str">
            <v>5.58</v>
          </cell>
          <cell r="D736" t="str">
            <v>4.365.00</v>
          </cell>
          <cell r="E736" t="str">
            <v>pas à jour</v>
          </cell>
        </row>
        <row r="737">
          <cell r="A737" t="str">
            <v>GEARL1SYFB01</v>
          </cell>
          <cell r="B737" t="str">
            <v>ServerProtect for Windows</v>
          </cell>
          <cell r="C737" t="str">
            <v>5.58</v>
          </cell>
          <cell r="D737" t="str">
            <v>4.365.00</v>
          </cell>
          <cell r="E737" t="str">
            <v>pas à jour</v>
          </cell>
        </row>
        <row r="738">
          <cell r="A738" t="str">
            <v>GEARL1SYFL01</v>
          </cell>
          <cell r="B738" t="str">
            <v>ServerProtect for Windows</v>
          </cell>
          <cell r="D738" t="str">
            <v>3.295.00</v>
          </cell>
          <cell r="E738" t="str">
            <v>pas à jour</v>
          </cell>
        </row>
        <row r="739">
          <cell r="A739" t="str">
            <v>GEARL1SYFN01</v>
          </cell>
          <cell r="B739" t="str">
            <v>ServerProtect for Windows</v>
          </cell>
          <cell r="C739" t="str">
            <v>5.58</v>
          </cell>
          <cell r="D739" t="str">
            <v>4.365.00</v>
          </cell>
          <cell r="E739" t="str">
            <v>pas à jour</v>
          </cell>
        </row>
        <row r="740">
          <cell r="A740" t="str">
            <v>GEARN1DIST1</v>
          </cell>
          <cell r="B740" t="str">
            <v>ServerProtect for Windows</v>
          </cell>
          <cell r="C740" t="str">
            <v>5.58</v>
          </cell>
          <cell r="D740" t="str">
            <v>4.365.00</v>
          </cell>
          <cell r="E740" t="str">
            <v>pas à jour</v>
          </cell>
        </row>
        <row r="741">
          <cell r="A741" t="str">
            <v>GEART1DIST1</v>
          </cell>
          <cell r="B741" t="str">
            <v>ServerProtect for Windows</v>
          </cell>
          <cell r="C741" t="str">
            <v>5.58</v>
          </cell>
          <cell r="D741" t="str">
            <v>4.365.00</v>
          </cell>
          <cell r="E741" t="str">
            <v>pas à jour</v>
          </cell>
        </row>
        <row r="742">
          <cell r="A742" t="str">
            <v>GEARY1DIST1</v>
          </cell>
          <cell r="B742" t="str">
            <v>ServerProtect for Windows</v>
          </cell>
          <cell r="C742" t="str">
            <v>5.58</v>
          </cell>
          <cell r="D742" t="str">
            <v>4.365.00</v>
          </cell>
          <cell r="E742" t="str">
            <v>pas à jour</v>
          </cell>
        </row>
        <row r="743">
          <cell r="A743" t="str">
            <v>GEASA1APPL1</v>
          </cell>
          <cell r="B743" t="str">
            <v>ServerProtect for Windows</v>
          </cell>
          <cell r="C743" t="str">
            <v>5.58</v>
          </cell>
          <cell r="D743" t="str">
            <v>4.365.00</v>
          </cell>
          <cell r="E743" t="str">
            <v>pas à jour</v>
          </cell>
        </row>
        <row r="744">
          <cell r="A744" t="str">
            <v>GEASA1DIST1</v>
          </cell>
          <cell r="B744" t="str">
            <v>ServerProtect for Windows</v>
          </cell>
          <cell r="C744" t="str">
            <v>5.58</v>
          </cell>
          <cell r="D744" t="str">
            <v>4.365.00</v>
          </cell>
          <cell r="E744" t="str">
            <v>pas à jour</v>
          </cell>
        </row>
        <row r="745">
          <cell r="A745" t="str">
            <v>GEASB1DIST1</v>
          </cell>
          <cell r="B745" t="str">
            <v>ServerProtect for Windows</v>
          </cell>
          <cell r="C745" t="str">
            <v>5.58</v>
          </cell>
          <cell r="D745" t="str">
            <v>3.901.00</v>
          </cell>
          <cell r="E745" t="str">
            <v>pas à jour</v>
          </cell>
        </row>
        <row r="746">
          <cell r="A746" t="str">
            <v>GEASF1DIST1</v>
          </cell>
          <cell r="B746" t="str">
            <v>ServerProtect for Windows</v>
          </cell>
          <cell r="C746" t="str">
            <v>5.58</v>
          </cell>
          <cell r="D746" t="str">
            <v>4.365.00</v>
          </cell>
          <cell r="E746" t="str">
            <v>pas à jour</v>
          </cell>
        </row>
        <row r="747">
          <cell r="A747" t="str">
            <v>GEASG1DIST1</v>
          </cell>
          <cell r="B747" t="str">
            <v>ServerProtect for Windows</v>
          </cell>
          <cell r="C747" t="str">
            <v>5.58</v>
          </cell>
          <cell r="D747" t="str">
            <v>4.365.00</v>
          </cell>
          <cell r="E747" t="str">
            <v>pas à jour</v>
          </cell>
        </row>
        <row r="748">
          <cell r="A748" t="str">
            <v>GEASG1SYFB01</v>
          </cell>
          <cell r="B748" t="str">
            <v>ServerProtect for Windows</v>
          </cell>
          <cell r="C748" t="str">
            <v>5.58</v>
          </cell>
          <cell r="D748" t="str">
            <v>4.365.00</v>
          </cell>
          <cell r="E748" t="str">
            <v>pas à jour</v>
          </cell>
        </row>
        <row r="749">
          <cell r="A749" t="str">
            <v>GEASG1SYFL01</v>
          </cell>
          <cell r="B749" t="str">
            <v>ServerProtect for Windows</v>
          </cell>
          <cell r="C749" t="str">
            <v>5.58</v>
          </cell>
          <cell r="D749" t="str">
            <v>4.365.00</v>
          </cell>
          <cell r="E749" t="str">
            <v>pas à jour</v>
          </cell>
        </row>
        <row r="750">
          <cell r="A750" t="str">
            <v>GEASG1SYFL02</v>
          </cell>
          <cell r="B750" t="str">
            <v>ServerProtect for Windows</v>
          </cell>
          <cell r="C750" t="str">
            <v>5.58</v>
          </cell>
          <cell r="D750" t="str">
            <v>4.365.00</v>
          </cell>
          <cell r="E750" t="str">
            <v>pas à jour</v>
          </cell>
        </row>
        <row r="751">
          <cell r="A751" t="str">
            <v>GEASG1SYFN01</v>
          </cell>
          <cell r="B751" t="str">
            <v>ServerProtect for Windows</v>
          </cell>
          <cell r="C751" t="str">
            <v>5.58</v>
          </cell>
          <cell r="D751" t="str">
            <v>4.365.00</v>
          </cell>
          <cell r="E751" t="str">
            <v>pas à jour</v>
          </cell>
        </row>
        <row r="752">
          <cell r="A752" t="str">
            <v>GEASH1DIST1</v>
          </cell>
          <cell r="B752" t="str">
            <v>ServerProtect for Windows</v>
          </cell>
          <cell r="C752" t="str">
            <v>5.58</v>
          </cell>
          <cell r="D752" t="str">
            <v>4.365.00</v>
          </cell>
          <cell r="E752" t="str">
            <v>pas à jour</v>
          </cell>
        </row>
        <row r="753">
          <cell r="A753" t="str">
            <v>GEASI1DIST1</v>
          </cell>
          <cell r="B753" t="str">
            <v>ServerProtect for Windows</v>
          </cell>
          <cell r="C753" t="str">
            <v>5.58</v>
          </cell>
          <cell r="D753" t="str">
            <v>4.273.00</v>
          </cell>
          <cell r="E753" t="str">
            <v>pas à jour</v>
          </cell>
        </row>
        <row r="754">
          <cell r="A754" t="str">
            <v>GEASJ1DIST1</v>
          </cell>
          <cell r="B754" t="str">
            <v>ServerProtect for Windows</v>
          </cell>
          <cell r="C754" t="str">
            <v>5.58</v>
          </cell>
          <cell r="D754" t="str">
            <v>3.253.00</v>
          </cell>
          <cell r="E754" t="str">
            <v>pas à jour</v>
          </cell>
        </row>
        <row r="755">
          <cell r="A755" t="str">
            <v>GEASM1DIST1</v>
          </cell>
          <cell r="B755" t="str">
            <v>ServerProtect for Windows</v>
          </cell>
          <cell r="C755" t="str">
            <v>5.58</v>
          </cell>
          <cell r="D755" t="str">
            <v>4.365.00</v>
          </cell>
          <cell r="E755" t="str">
            <v>pas à jour</v>
          </cell>
        </row>
        <row r="756">
          <cell r="A756" t="str">
            <v>GEASP1DIST1</v>
          </cell>
          <cell r="B756" t="str">
            <v>ServerProtect for Windows</v>
          </cell>
          <cell r="C756" t="str">
            <v>5.58</v>
          </cell>
          <cell r="D756" t="str">
            <v>4.365.00</v>
          </cell>
          <cell r="E756" t="str">
            <v>pas à jour</v>
          </cell>
        </row>
        <row r="757">
          <cell r="A757" t="str">
            <v>GEASS1ITEM1</v>
          </cell>
          <cell r="B757" t="str">
            <v>ServerProtect for Windows</v>
          </cell>
          <cell r="C757" t="str">
            <v>5.58</v>
          </cell>
          <cell r="D757" t="str">
            <v>4.367.00</v>
          </cell>
          <cell r="E757" t="str">
            <v>à jour</v>
          </cell>
        </row>
        <row r="758">
          <cell r="A758" t="str">
            <v>GEAST1DIST1</v>
          </cell>
          <cell r="B758" t="str">
            <v>ServerProtect for Windows</v>
          </cell>
          <cell r="C758" t="str">
            <v>5.58</v>
          </cell>
          <cell r="D758" t="str">
            <v>4.365.00</v>
          </cell>
          <cell r="E758" t="str">
            <v>pas à jour</v>
          </cell>
        </row>
        <row r="759">
          <cell r="A759" t="str">
            <v>GEASV1DIST1</v>
          </cell>
          <cell r="B759" t="str">
            <v>ServerProtect for Windows</v>
          </cell>
          <cell r="C759" t="str">
            <v>5.58</v>
          </cell>
          <cell r="D759" t="str">
            <v>4.365.00</v>
          </cell>
          <cell r="E759" t="str">
            <v>pas à jour</v>
          </cell>
        </row>
        <row r="760">
          <cell r="A760" t="str">
            <v>GEASW1DIFT1</v>
          </cell>
          <cell r="B760" t="str">
            <v>ServerProtect for Windows</v>
          </cell>
          <cell r="C760" t="str">
            <v>5.58</v>
          </cell>
          <cell r="D760" t="str">
            <v>4.367.00</v>
          </cell>
          <cell r="E760" t="str">
            <v>à jour</v>
          </cell>
        </row>
        <row r="761">
          <cell r="A761" t="str">
            <v>GEASX1DIST1</v>
          </cell>
          <cell r="B761" t="str">
            <v>ServerProtect for Windows</v>
          </cell>
          <cell r="C761" t="str">
            <v>5.58</v>
          </cell>
          <cell r="D761" t="str">
            <v>4.365.00</v>
          </cell>
          <cell r="E761" t="str">
            <v>pas à jour</v>
          </cell>
        </row>
        <row r="762">
          <cell r="A762" t="str">
            <v>GEATEI1DIFT1</v>
          </cell>
          <cell r="B762" t="str">
            <v>ServerProtect for Windows</v>
          </cell>
          <cell r="C762" t="str">
            <v>5.58</v>
          </cell>
          <cell r="D762" t="str">
            <v>4.367.00</v>
          </cell>
          <cell r="E762" t="str">
            <v>à jour</v>
          </cell>
        </row>
        <row r="763">
          <cell r="A763" t="str">
            <v>GEATEI1SYFL01</v>
          </cell>
          <cell r="B763" t="str">
            <v>ServerProtect for Windows</v>
          </cell>
          <cell r="C763" t="str">
            <v>5.58</v>
          </cell>
          <cell r="D763" t="str">
            <v>4.173.00</v>
          </cell>
          <cell r="E763" t="str">
            <v>pas à jour</v>
          </cell>
        </row>
        <row r="764">
          <cell r="A764" t="str">
            <v>GEATEI1SYFL02</v>
          </cell>
          <cell r="B764" t="str">
            <v>ServerProtect for Windows</v>
          </cell>
          <cell r="C764" t="str">
            <v>5.58</v>
          </cell>
          <cell r="D764" t="str">
            <v>4.159.00</v>
          </cell>
          <cell r="E764" t="str">
            <v>pas à jour</v>
          </cell>
        </row>
        <row r="765">
          <cell r="A765" t="str">
            <v>GEATH1DIST1</v>
          </cell>
          <cell r="B765" t="str">
            <v>ServerProtect for Windows</v>
          </cell>
          <cell r="C765" t="str">
            <v>5.58</v>
          </cell>
          <cell r="D765" t="str">
            <v>4.365.00</v>
          </cell>
          <cell r="E765" t="str">
            <v>pas à jour</v>
          </cell>
        </row>
        <row r="766">
          <cell r="A766" t="str">
            <v>GEATI1RESS01</v>
          </cell>
          <cell r="B766" t="str">
            <v>ServerProtect for Windows</v>
          </cell>
          <cell r="C766" t="str">
            <v>5.58</v>
          </cell>
          <cell r="D766" t="str">
            <v>4.275.00</v>
          </cell>
          <cell r="E766" t="str">
            <v>pas à jour</v>
          </cell>
        </row>
        <row r="767">
          <cell r="A767" t="str">
            <v>GEATJ1APPL1</v>
          </cell>
          <cell r="B767" t="str">
            <v>ServerProtect for Windows</v>
          </cell>
          <cell r="C767" t="str">
            <v>5.58</v>
          </cell>
          <cell r="D767" t="str">
            <v>3.485.00</v>
          </cell>
          <cell r="E767" t="str">
            <v>pas à jour</v>
          </cell>
        </row>
        <row r="768">
          <cell r="A768" t="str">
            <v>GEATJ1APPL2</v>
          </cell>
          <cell r="B768" t="str">
            <v>ServerProtect for Windows</v>
          </cell>
          <cell r="C768" t="str">
            <v>5.58</v>
          </cell>
          <cell r="D768" t="str">
            <v>3.485.00</v>
          </cell>
          <cell r="E768" t="str">
            <v>pas à jour</v>
          </cell>
        </row>
        <row r="769">
          <cell r="A769" t="str">
            <v>GEATJ1DIST1</v>
          </cell>
          <cell r="B769" t="str">
            <v>ServerProtect for Windows</v>
          </cell>
          <cell r="C769" t="str">
            <v>5.58</v>
          </cell>
          <cell r="D769" t="str">
            <v>3.485.00</v>
          </cell>
          <cell r="E769" t="str">
            <v>pas à jour</v>
          </cell>
        </row>
        <row r="770">
          <cell r="A770" t="str">
            <v>GEATJ1WTSE1</v>
          </cell>
          <cell r="B770" t="str">
            <v>ServerProtect for Windows</v>
          </cell>
          <cell r="C770" t="str">
            <v>5.58</v>
          </cell>
          <cell r="D770" t="str">
            <v>3.485.00</v>
          </cell>
          <cell r="E770" t="str">
            <v>pas à jour</v>
          </cell>
        </row>
        <row r="771">
          <cell r="A771" t="str">
            <v>GEATJ1WTSE2</v>
          </cell>
          <cell r="B771" t="str">
            <v>ServerProtect for Windows</v>
          </cell>
          <cell r="C771" t="str">
            <v>5.58</v>
          </cell>
          <cell r="D771" t="str">
            <v>3.485.00</v>
          </cell>
          <cell r="E771" t="str">
            <v>pas à jour</v>
          </cell>
        </row>
        <row r="772">
          <cell r="A772" t="str">
            <v>GEATL1DIST1</v>
          </cell>
          <cell r="B772" t="str">
            <v>ServerProtect for Windows</v>
          </cell>
          <cell r="C772" t="str">
            <v>5.58</v>
          </cell>
          <cell r="D772" t="str">
            <v>4.365.00</v>
          </cell>
          <cell r="E772" t="str">
            <v>pas à jour</v>
          </cell>
        </row>
        <row r="773">
          <cell r="A773" t="str">
            <v>GEATN1DIST1</v>
          </cell>
          <cell r="B773" t="str">
            <v>ServerProtect for Windows</v>
          </cell>
          <cell r="C773" t="str">
            <v>5.58</v>
          </cell>
          <cell r="D773" t="str">
            <v>3.271.00</v>
          </cell>
          <cell r="E773" t="str">
            <v>pas à jour</v>
          </cell>
        </row>
        <row r="774">
          <cell r="A774" t="str">
            <v>GEATO1DIST1</v>
          </cell>
          <cell r="B774" t="str">
            <v>ServerProtect for Windows</v>
          </cell>
          <cell r="C774" t="str">
            <v>5.58</v>
          </cell>
          <cell r="D774" t="str">
            <v>4.365.00</v>
          </cell>
          <cell r="E774" t="str">
            <v>pas à jour</v>
          </cell>
        </row>
        <row r="775">
          <cell r="A775" t="str">
            <v>GEATOU1DIFT1</v>
          </cell>
          <cell r="B775" t="str">
            <v>ServerProtect for Windows</v>
          </cell>
          <cell r="C775" t="str">
            <v>5.58</v>
          </cell>
          <cell r="D775" t="str">
            <v>3.465.00</v>
          </cell>
          <cell r="E775" t="str">
            <v>pas à jour</v>
          </cell>
        </row>
        <row r="776">
          <cell r="A776" t="str">
            <v>GEATR1DIST1</v>
          </cell>
          <cell r="B776" t="str">
            <v>ServerProtect for Windows</v>
          </cell>
          <cell r="C776" t="str">
            <v>5.58</v>
          </cell>
          <cell r="D776" t="str">
            <v>4.365.00</v>
          </cell>
          <cell r="E776" t="str">
            <v>pas à jour</v>
          </cell>
        </row>
        <row r="777">
          <cell r="A777" t="str">
            <v>GEATRI1DIFT1</v>
          </cell>
          <cell r="B777" t="str">
            <v>ServerProtect for Windows</v>
          </cell>
          <cell r="C777" t="str">
            <v>5.58</v>
          </cell>
          <cell r="D777" t="str">
            <v>4.367.00</v>
          </cell>
          <cell r="E777" t="str">
            <v>à jour</v>
          </cell>
        </row>
        <row r="778">
          <cell r="A778" t="str">
            <v>GEATRI1SYFB01</v>
          </cell>
          <cell r="B778" t="str">
            <v>ServerProtect for Windows</v>
          </cell>
          <cell r="C778" t="str">
            <v>5.58</v>
          </cell>
          <cell r="D778" t="str">
            <v>4.367.00</v>
          </cell>
          <cell r="E778" t="str">
            <v>à jour</v>
          </cell>
        </row>
        <row r="779">
          <cell r="A779" t="str">
            <v>GEATRI1SYFN01</v>
          </cell>
          <cell r="B779" t="str">
            <v>ServerProtect for Windows</v>
          </cell>
          <cell r="C779" t="str">
            <v>5.58</v>
          </cell>
          <cell r="D779" t="str">
            <v>4.367.00</v>
          </cell>
          <cell r="E779" t="str">
            <v>à jour</v>
          </cell>
        </row>
        <row r="780">
          <cell r="A780" t="str">
            <v>GEATS1BDCA1</v>
          </cell>
          <cell r="B780" t="str">
            <v>ServerProtect for Windows</v>
          </cell>
          <cell r="C780" t="str">
            <v>5.58</v>
          </cell>
          <cell r="D780" t="str">
            <v>4.365.00</v>
          </cell>
          <cell r="E780" t="str">
            <v>pas à jour</v>
          </cell>
        </row>
        <row r="781">
          <cell r="A781" t="str">
            <v>GEATS1BDCR1</v>
          </cell>
          <cell r="B781" t="str">
            <v>ServerProtect for Windows</v>
          </cell>
          <cell r="C781" t="str">
            <v>5.58</v>
          </cell>
          <cell r="D781" t="str">
            <v>4.365.00</v>
          </cell>
          <cell r="E781" t="str">
            <v>pas à jour</v>
          </cell>
        </row>
        <row r="782">
          <cell r="A782" t="str">
            <v>GEATS1FICH1</v>
          </cell>
          <cell r="B782" t="str">
            <v>ServerProtect for Windows</v>
          </cell>
          <cell r="C782" t="str">
            <v>5.58</v>
          </cell>
          <cell r="D782" t="str">
            <v>4.365.00</v>
          </cell>
          <cell r="E782" t="str">
            <v>pas à jour</v>
          </cell>
        </row>
        <row r="783">
          <cell r="A783" t="str">
            <v>GEATS1IMPR1</v>
          </cell>
          <cell r="B783" t="str">
            <v>ServerProtect for Windows</v>
          </cell>
          <cell r="C783" t="str">
            <v>5.58</v>
          </cell>
          <cell r="D783" t="str">
            <v>4.365.00</v>
          </cell>
          <cell r="E783" t="str">
            <v>pas à jour</v>
          </cell>
        </row>
        <row r="784">
          <cell r="A784" t="str">
            <v>GEATS1IMPR1_SPNT</v>
          </cell>
          <cell r="B784" t="str">
            <v>ServerProtect for Windows</v>
          </cell>
          <cell r="C784" t="str">
            <v>5.58</v>
          </cell>
          <cell r="D784" t="str">
            <v>4.365.00</v>
          </cell>
          <cell r="E784" t="str">
            <v>pas à jour</v>
          </cell>
        </row>
        <row r="785">
          <cell r="A785" t="str">
            <v>GEATS1PDCR1</v>
          </cell>
          <cell r="B785" t="str">
            <v>ServerProtect for Windows</v>
          </cell>
          <cell r="C785" t="str">
            <v>5.58</v>
          </cell>
          <cell r="D785" t="str">
            <v>4.365.00</v>
          </cell>
          <cell r="E785" t="str">
            <v>pas à jour</v>
          </cell>
        </row>
        <row r="786">
          <cell r="A786" t="str">
            <v>GEATU1DIST1</v>
          </cell>
          <cell r="B786" t="str">
            <v>ServerProtect for Windows</v>
          </cell>
          <cell r="C786" t="str">
            <v>5.58</v>
          </cell>
          <cell r="D786" t="str">
            <v>4.365.00</v>
          </cell>
          <cell r="E786" t="str">
            <v>pas à jour</v>
          </cell>
        </row>
        <row r="787">
          <cell r="A787" t="str">
            <v>GEATZ1DIST1</v>
          </cell>
          <cell r="B787" t="str">
            <v>ServerProtect for Windows</v>
          </cell>
          <cell r="C787" t="str">
            <v>5.58</v>
          </cell>
          <cell r="D787" t="str">
            <v>4.365.00</v>
          </cell>
          <cell r="E787" t="str">
            <v>pas à jour</v>
          </cell>
        </row>
        <row r="788">
          <cell r="A788" t="str">
            <v>GEATZ1SYFB01</v>
          </cell>
          <cell r="B788" t="str">
            <v>ServerProtect for Windows</v>
          </cell>
          <cell r="C788" t="str">
            <v>5.58</v>
          </cell>
          <cell r="D788" t="str">
            <v>4.365.00</v>
          </cell>
          <cell r="E788" t="str">
            <v>pas à jour</v>
          </cell>
        </row>
        <row r="789">
          <cell r="A789" t="str">
            <v>GEATZ1SYFL01</v>
          </cell>
          <cell r="B789" t="str">
            <v>ServerProtect for Windows</v>
          </cell>
          <cell r="C789" t="str">
            <v>5.58</v>
          </cell>
          <cell r="D789" t="str">
            <v>4.365.00</v>
          </cell>
          <cell r="E789" t="str">
            <v>pas à jour</v>
          </cell>
        </row>
        <row r="790">
          <cell r="A790" t="str">
            <v>GEATZ1SYFL02</v>
          </cell>
          <cell r="B790" t="str">
            <v>ServerProtect for Windows</v>
          </cell>
          <cell r="C790" t="str">
            <v>5.58</v>
          </cell>
          <cell r="D790" t="str">
            <v>3.763.00</v>
          </cell>
          <cell r="E790" t="str">
            <v>pas à jour</v>
          </cell>
        </row>
        <row r="791">
          <cell r="A791" t="str">
            <v>GEATZ1SYFN01</v>
          </cell>
          <cell r="B791" t="str">
            <v>ServerProtect for Windows</v>
          </cell>
          <cell r="C791" t="str">
            <v>5.58</v>
          </cell>
          <cell r="D791" t="str">
            <v>4.365.00</v>
          </cell>
          <cell r="E791" t="str">
            <v>pas à jour</v>
          </cell>
        </row>
        <row r="792">
          <cell r="A792" t="str">
            <v>GEAVA1DIST1</v>
          </cell>
          <cell r="B792" t="str">
            <v>ServerProtect for Windows</v>
          </cell>
          <cell r="C792" t="str">
            <v>5.58</v>
          </cell>
          <cell r="D792" t="str">
            <v>4.291.00</v>
          </cell>
          <cell r="E792" t="str">
            <v>pas à jour</v>
          </cell>
        </row>
        <row r="793">
          <cell r="A793" t="str">
            <v>GEAVA1NOMA01</v>
          </cell>
          <cell r="B793" t="str">
            <v>ServerProtect for Windows</v>
          </cell>
          <cell r="C793" t="str">
            <v>5.58</v>
          </cell>
          <cell r="D793" t="str">
            <v>4.367.00</v>
          </cell>
          <cell r="E793" t="str">
            <v>à jour</v>
          </cell>
        </row>
        <row r="794">
          <cell r="A794" t="str">
            <v>GEAVAN1ITEM1</v>
          </cell>
          <cell r="B794" t="str">
            <v>ServerProtect for Windows</v>
          </cell>
          <cell r="C794" t="str">
            <v>5.58</v>
          </cell>
          <cell r="D794" t="str">
            <v>4.367.00</v>
          </cell>
          <cell r="E794" t="str">
            <v>à jour</v>
          </cell>
        </row>
        <row r="795">
          <cell r="A795" t="str">
            <v>GEAVC1DIST1</v>
          </cell>
          <cell r="B795" t="str">
            <v>ServerProtect for Windows</v>
          </cell>
          <cell r="C795" t="str">
            <v>5.58</v>
          </cell>
          <cell r="D795" t="str">
            <v>4.365.00</v>
          </cell>
          <cell r="E795" t="str">
            <v>pas à jour</v>
          </cell>
        </row>
        <row r="796">
          <cell r="A796" t="str">
            <v>GEAVD1DIST1</v>
          </cell>
          <cell r="B796" t="str">
            <v>ServerProtect for Windows</v>
          </cell>
          <cell r="C796" t="str">
            <v>5.58</v>
          </cell>
          <cell r="D796" t="str">
            <v>4.365.00</v>
          </cell>
          <cell r="E796" t="str">
            <v>pas à jour</v>
          </cell>
        </row>
        <row r="797">
          <cell r="A797" t="str">
            <v>GEAVGO1DIFT1</v>
          </cell>
          <cell r="B797" t="str">
            <v>ServerProtect for Windows</v>
          </cell>
          <cell r="C797" t="str">
            <v>5.58</v>
          </cell>
          <cell r="D797" t="str">
            <v>4.367.00</v>
          </cell>
          <cell r="E797" t="str">
            <v>à jour</v>
          </cell>
        </row>
        <row r="798">
          <cell r="A798" t="str">
            <v>GEAVI1APPL1</v>
          </cell>
          <cell r="B798" t="str">
            <v>ServerProtect for Windows</v>
          </cell>
          <cell r="C798" t="str">
            <v>5.58</v>
          </cell>
          <cell r="D798" t="str">
            <v>4.273.00</v>
          </cell>
          <cell r="E798" t="str">
            <v>pas à jour</v>
          </cell>
        </row>
        <row r="799">
          <cell r="A799" t="str">
            <v>GEAVI1BDCA1</v>
          </cell>
          <cell r="B799" t="str">
            <v>ServerProtect for Windows</v>
          </cell>
          <cell r="C799" t="str">
            <v>5.58</v>
          </cell>
          <cell r="D799" t="str">
            <v>4.273.00</v>
          </cell>
          <cell r="E799" t="str">
            <v>pas à jour</v>
          </cell>
        </row>
        <row r="800">
          <cell r="A800" t="str">
            <v>GEAVI1BDCR1</v>
          </cell>
          <cell r="B800" t="str">
            <v>ServerProtect for Windows</v>
          </cell>
          <cell r="C800" t="str">
            <v>5.58</v>
          </cell>
          <cell r="D800" t="str">
            <v>4.273.00</v>
          </cell>
          <cell r="E800" t="str">
            <v>pas à jour</v>
          </cell>
        </row>
        <row r="801">
          <cell r="A801" t="str">
            <v>GEAVI1DIST1</v>
          </cell>
          <cell r="B801" t="str">
            <v>ServerProtect for Windows</v>
          </cell>
          <cell r="C801" t="str">
            <v>5.58</v>
          </cell>
          <cell r="D801" t="str">
            <v>4.273.00</v>
          </cell>
          <cell r="E801" t="str">
            <v>pas à jour</v>
          </cell>
        </row>
        <row r="802">
          <cell r="A802" t="str">
            <v>GEAVI1DIST2</v>
          </cell>
          <cell r="B802" t="str">
            <v>ServerProtect for Windows</v>
          </cell>
          <cell r="C802" t="str">
            <v>5.58</v>
          </cell>
          <cell r="D802" t="str">
            <v>4.273.00</v>
          </cell>
          <cell r="E802" t="str">
            <v>pas à jour</v>
          </cell>
        </row>
        <row r="803">
          <cell r="A803" t="str">
            <v>GEAVI1DIST3</v>
          </cell>
          <cell r="B803" t="str">
            <v>ServerProtect for Windows</v>
          </cell>
          <cell r="C803" t="str">
            <v>5.58</v>
          </cell>
          <cell r="D803" t="str">
            <v>4.273.00</v>
          </cell>
          <cell r="E803" t="str">
            <v>pas à jour</v>
          </cell>
        </row>
        <row r="804">
          <cell r="A804" t="str">
            <v>GEAVI1FICH1</v>
          </cell>
          <cell r="B804" t="str">
            <v>ServerProtect for Windows</v>
          </cell>
          <cell r="C804" t="str">
            <v>5.58</v>
          </cell>
          <cell r="D804" t="str">
            <v>4.273.00</v>
          </cell>
          <cell r="E804" t="str">
            <v>pas à jour</v>
          </cell>
        </row>
        <row r="805">
          <cell r="A805" t="str">
            <v>GEAVI1IMPR1</v>
          </cell>
          <cell r="B805" t="str">
            <v>ServerProtect for Windows</v>
          </cell>
          <cell r="C805" t="str">
            <v>5.58</v>
          </cell>
          <cell r="D805" t="str">
            <v>4.273.00</v>
          </cell>
          <cell r="E805" t="str">
            <v>pas à jour</v>
          </cell>
        </row>
        <row r="806">
          <cell r="A806" t="str">
            <v>GEAVI1IMPR1_SPNT</v>
          </cell>
          <cell r="B806" t="str">
            <v>ServerProtect for Windows</v>
          </cell>
          <cell r="C806" t="str">
            <v>5.58</v>
          </cell>
          <cell r="D806" t="str">
            <v>4.273.00</v>
          </cell>
          <cell r="E806" t="str">
            <v>pas à jour</v>
          </cell>
        </row>
        <row r="807">
          <cell r="A807" t="str">
            <v>GEAVI1PDCR1</v>
          </cell>
          <cell r="B807" t="str">
            <v>ServerProtect for Windows</v>
          </cell>
          <cell r="C807" t="str">
            <v>5.58</v>
          </cell>
          <cell r="D807" t="str">
            <v>4.273.00</v>
          </cell>
          <cell r="E807" t="str">
            <v>pas à jour</v>
          </cell>
        </row>
        <row r="808">
          <cell r="A808" t="str">
            <v>GEAVI1SYFB01</v>
          </cell>
          <cell r="B808" t="str">
            <v>ServerProtect for Windows</v>
          </cell>
          <cell r="C808" t="str">
            <v>5.58</v>
          </cell>
          <cell r="D808" t="str">
            <v>4.273.00</v>
          </cell>
          <cell r="E808" t="str">
            <v>pas à jour</v>
          </cell>
        </row>
        <row r="809">
          <cell r="A809" t="str">
            <v>GEAVI1SYFN01</v>
          </cell>
          <cell r="B809" t="str">
            <v>ServerProtect for Windows</v>
          </cell>
          <cell r="C809" t="str">
            <v>5.58</v>
          </cell>
          <cell r="D809" t="str">
            <v>4.273.00</v>
          </cell>
          <cell r="E809" t="str">
            <v>pas à jour</v>
          </cell>
        </row>
        <row r="810">
          <cell r="A810" t="str">
            <v>GEAVIE1DIFT1</v>
          </cell>
          <cell r="B810" t="str">
            <v>ServerProtect for Windows</v>
          </cell>
          <cell r="C810" t="str">
            <v>5.58</v>
          </cell>
          <cell r="D810" t="str">
            <v>4.367.00</v>
          </cell>
          <cell r="E810" t="str">
            <v>à jour</v>
          </cell>
        </row>
        <row r="811">
          <cell r="A811" t="str">
            <v>GEAVIG1DIFT1</v>
          </cell>
          <cell r="B811" t="str">
            <v>ServerProtect for Windows</v>
          </cell>
          <cell r="C811" t="str">
            <v>5.58</v>
          </cell>
          <cell r="D811" t="str">
            <v>4.367.00</v>
          </cell>
          <cell r="E811" t="str">
            <v>à jour</v>
          </cell>
        </row>
        <row r="812">
          <cell r="A812" t="str">
            <v>GEAVIG1SYFB01</v>
          </cell>
          <cell r="B812" t="str">
            <v>ServerProtect for Windows</v>
          </cell>
          <cell r="C812" t="str">
            <v>5.58</v>
          </cell>
          <cell r="D812" t="str">
            <v>4.273.00</v>
          </cell>
          <cell r="E812" t="str">
            <v>pas à jour</v>
          </cell>
        </row>
        <row r="813">
          <cell r="A813" t="str">
            <v>GEAVIG1SYFL01</v>
          </cell>
          <cell r="B813" t="str">
            <v>ServerProtect for Windows</v>
          </cell>
          <cell r="C813" t="str">
            <v>5.58</v>
          </cell>
          <cell r="D813" t="str">
            <v>3.527.00</v>
          </cell>
          <cell r="E813" t="str">
            <v>pas à jour</v>
          </cell>
        </row>
        <row r="814">
          <cell r="A814" t="str">
            <v>GEAVIG1SYFL04</v>
          </cell>
          <cell r="B814" t="str">
            <v>ServerProtect for Windows</v>
          </cell>
          <cell r="C814" t="str">
            <v>5.58</v>
          </cell>
          <cell r="D814" t="str">
            <v>4.273.00</v>
          </cell>
          <cell r="E814" t="str">
            <v>pas à jour</v>
          </cell>
        </row>
        <row r="815">
          <cell r="A815" t="str">
            <v>GEAVIG1SYFN01</v>
          </cell>
          <cell r="B815" t="str">
            <v>ServerProtect for Windows</v>
          </cell>
          <cell r="C815" t="str">
            <v>5.58</v>
          </cell>
          <cell r="D815" t="str">
            <v>4.273.00</v>
          </cell>
          <cell r="E815" t="str">
            <v>pas à jour</v>
          </cell>
        </row>
        <row r="816">
          <cell r="A816" t="str">
            <v>GEAVIG1SYFN02</v>
          </cell>
          <cell r="B816" t="str">
            <v>ServerProtect for Windows</v>
          </cell>
          <cell r="C816" t="str">
            <v>5.58</v>
          </cell>
          <cell r="D816" t="str">
            <v>4.273.00</v>
          </cell>
          <cell r="E816" t="str">
            <v>pas à jour</v>
          </cell>
        </row>
        <row r="817">
          <cell r="A817" t="str">
            <v>GEAVIG1SYFN03</v>
          </cell>
          <cell r="B817" t="str">
            <v>ServerProtect for Windows</v>
          </cell>
          <cell r="C817" t="str">
            <v>5.58</v>
          </cell>
          <cell r="D817" t="str">
            <v>4.273.00</v>
          </cell>
          <cell r="E817" t="str">
            <v>pas à jour</v>
          </cell>
        </row>
        <row r="818">
          <cell r="A818" t="str">
            <v>GEAVIG1SYFN04</v>
          </cell>
          <cell r="B818" t="str">
            <v>ServerProtect for Windows</v>
          </cell>
          <cell r="C818" t="str">
            <v>5.58</v>
          </cell>
          <cell r="D818" t="str">
            <v>4.273.00</v>
          </cell>
          <cell r="E818" t="str">
            <v>pas à jour</v>
          </cell>
        </row>
        <row r="819">
          <cell r="A819" t="str">
            <v>GEAVL1DIST1</v>
          </cell>
          <cell r="B819" t="str">
            <v>ServerProtect for Windows</v>
          </cell>
          <cell r="C819" t="str">
            <v>5.58</v>
          </cell>
          <cell r="D819" t="str">
            <v>4.365.00</v>
          </cell>
          <cell r="E819" t="str">
            <v>pas à jour</v>
          </cell>
        </row>
        <row r="820">
          <cell r="A820" t="str">
            <v>GEAVN1DIST1</v>
          </cell>
          <cell r="B820" t="str">
            <v>ServerProtect for Windows</v>
          </cell>
          <cell r="C820" t="str">
            <v>5.58</v>
          </cell>
          <cell r="D820" t="str">
            <v>4.365.00</v>
          </cell>
          <cell r="E820" t="str">
            <v>pas à jour</v>
          </cell>
        </row>
        <row r="821">
          <cell r="A821" t="str">
            <v>GEAVO1DIST1</v>
          </cell>
          <cell r="B821" t="str">
            <v>ServerProtect for Windows</v>
          </cell>
          <cell r="C821" t="str">
            <v>5.58</v>
          </cell>
          <cell r="D821" t="str">
            <v>4.309.00</v>
          </cell>
          <cell r="E821" t="str">
            <v>pas à jour</v>
          </cell>
        </row>
        <row r="822">
          <cell r="A822" t="str">
            <v>GEAVR1DIST1</v>
          </cell>
          <cell r="B822" t="str">
            <v>ServerProtect for Windows</v>
          </cell>
          <cell r="C822" t="str">
            <v>5.58</v>
          </cell>
          <cell r="D822" t="str">
            <v>4.365.00</v>
          </cell>
          <cell r="E822" t="str">
            <v>pas à jour</v>
          </cell>
        </row>
        <row r="823">
          <cell r="A823" t="str">
            <v>GEAVS1DIST1</v>
          </cell>
          <cell r="B823" t="str">
            <v>ServerProtect for Windows</v>
          </cell>
          <cell r="C823" t="str">
            <v>5.58</v>
          </cell>
          <cell r="D823" t="str">
            <v>4.365.00</v>
          </cell>
          <cell r="E823" t="str">
            <v>pas à jour</v>
          </cell>
        </row>
        <row r="824">
          <cell r="A824" t="str">
            <v>GEAVT1DIST1</v>
          </cell>
          <cell r="B824" t="str">
            <v>ServerProtect for Windows</v>
          </cell>
          <cell r="C824" t="str">
            <v>5.58</v>
          </cell>
          <cell r="D824" t="str">
            <v>4.365.00</v>
          </cell>
          <cell r="E824" t="str">
            <v>pas à jour</v>
          </cell>
        </row>
        <row r="825">
          <cell r="A825" t="str">
            <v>GEAVU1DIST1</v>
          </cell>
          <cell r="B825" t="str">
            <v>ServerProtect for Windows</v>
          </cell>
          <cell r="C825" t="str">
            <v>5.58</v>
          </cell>
          <cell r="D825" t="str">
            <v>4.365.00</v>
          </cell>
          <cell r="E825" t="str">
            <v>pas à jour</v>
          </cell>
        </row>
        <row r="826">
          <cell r="A826" t="str">
            <v>GEAVV1DIST1</v>
          </cell>
          <cell r="B826" t="str">
            <v>ServerProtect for Windows</v>
          </cell>
          <cell r="C826" t="str">
            <v>5.58</v>
          </cell>
          <cell r="D826" t="str">
            <v>3.485.00</v>
          </cell>
          <cell r="E826" t="str">
            <v>pas à jour</v>
          </cell>
        </row>
        <row r="827">
          <cell r="A827" t="str">
            <v>GEAVY1DIST1</v>
          </cell>
          <cell r="B827" t="str">
            <v>ServerProtect for Windows</v>
          </cell>
          <cell r="C827" t="str">
            <v>5.58</v>
          </cell>
          <cell r="D827" t="str">
            <v>4.365.00</v>
          </cell>
          <cell r="E827" t="str">
            <v>pas à jour</v>
          </cell>
        </row>
        <row r="828">
          <cell r="A828" t="str">
            <v>GEAWA1DIFT1</v>
          </cell>
          <cell r="B828" t="str">
            <v>ServerProtect for Windows</v>
          </cell>
          <cell r="C828" t="str">
            <v>5.58</v>
          </cell>
          <cell r="D828" t="str">
            <v>4.367.00</v>
          </cell>
          <cell r="E828" t="str">
            <v>à jour</v>
          </cell>
        </row>
        <row r="829">
          <cell r="A829" t="str">
            <v>GEAWA1ITEM01</v>
          </cell>
          <cell r="B829" t="str">
            <v>ServerProtect for Windows</v>
          </cell>
          <cell r="C829" t="str">
            <v>5.58</v>
          </cell>
          <cell r="D829" t="str">
            <v>4.367.00</v>
          </cell>
          <cell r="E829" t="str">
            <v>à jour</v>
          </cell>
        </row>
        <row r="830">
          <cell r="A830" t="str">
            <v>GEAYL1DIST1</v>
          </cell>
          <cell r="B830" t="str">
            <v>ServerProtect for Windows</v>
          </cell>
          <cell r="C830" t="str">
            <v>5.58</v>
          </cell>
          <cell r="D830" t="str">
            <v>4.365.00</v>
          </cell>
          <cell r="E830" t="str">
            <v>pas à jour</v>
          </cell>
        </row>
        <row r="831">
          <cell r="A831" t="str">
            <v>GEAYL1ITEM01</v>
          </cell>
          <cell r="B831" t="str">
            <v>ServerProtect for Windows</v>
          </cell>
          <cell r="C831" t="str">
            <v>5.58</v>
          </cell>
          <cell r="D831" t="str">
            <v>4.367.00</v>
          </cell>
          <cell r="E831" t="str">
            <v>à jour</v>
          </cell>
        </row>
        <row r="832">
          <cell r="A832" t="str">
            <v>GEAZA1DIST1</v>
          </cell>
          <cell r="B832" t="str">
            <v>ServerProtect for Windows</v>
          </cell>
          <cell r="C832" t="str">
            <v>5.58</v>
          </cell>
          <cell r="D832" t="str">
            <v>4.365.00</v>
          </cell>
          <cell r="E832" t="str">
            <v>pas à jour</v>
          </cell>
        </row>
        <row r="833">
          <cell r="A833" t="str">
            <v>GEAZM1DIST1</v>
          </cell>
          <cell r="B833" t="str">
            <v>ServerProtect for Windows</v>
          </cell>
          <cell r="C833" t="str">
            <v>5.58</v>
          </cell>
          <cell r="D833" t="str">
            <v>4.331.00</v>
          </cell>
          <cell r="E833" t="str">
            <v>pas à jour</v>
          </cell>
        </row>
      </sheetData>
      <sheetData sheetId="8"/>
      <sheetData sheetId="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Cont"/>
      <sheetName val="TC"/>
      <sheetName val="LO"/>
      <sheetName val="Layout"/>
      <sheetName val="PlanCot(A+P)"/>
      <sheetName val="PlanCot"/>
      <sheetName val="Datos"/>
      <sheetName val="Costos"/>
      <sheetName val="CostosI"/>
      <sheetName val="Feuil1"/>
      <sheetName val="Budget"/>
      <sheetName val="RN"/>
      <sheetName val="RNID"/>
      <sheetName val="RI"/>
      <sheetName val="RID"/>
      <sheetName val="RDVTA"/>
      <sheetName val="RDVTAD"/>
      <sheetName val="RDVTP"/>
      <sheetName val="RDVTS"/>
      <sheetName val="DC"/>
      <sheetName val="DVTD"/>
      <sheetName val="ET"/>
      <sheetName val="ETD"/>
      <sheetName val="EC"/>
      <sheetName val="ECD"/>
      <sheetName val="XD"/>
      <sheetName val="XDD"/>
      <sheetName val="G"/>
      <sheetName val="ETQ"/>
      <sheetName val="ETS"/>
      <sheetName val="ALM"/>
      <sheetName val="TCarga"/>
      <sheetName val="Deposito Fiscal"/>
      <sheetName val="Deposito Pacheco"/>
      <sheetName val="RMLAP_ILI"/>
      <sheetName val="Agencia Pacheco"/>
      <sheetName val="Etat Virus"/>
    </sheetNames>
    <sheetDataSet>
      <sheetData sheetId="0"/>
      <sheetData sheetId="1"/>
      <sheetData sheetId="2"/>
      <sheetData sheetId="3"/>
      <sheetData sheetId="4"/>
      <sheetData sheetId="5"/>
      <sheetData sheetId="6" refreshError="1">
        <row r="5">
          <cell r="D5">
            <v>1.3888888888888888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rov locales"/>
      <sheetName val="XREF"/>
      <sheetName val="Tickmarks"/>
      <sheetName val="F250"/>
      <sheetName val="Worksheet in 6123 Composición d"/>
      <sheetName val="Datos"/>
      <sheetName val="-7-"/>
    </sheetNames>
    <sheetDataSet>
      <sheetData sheetId="0" refreshError="1">
        <row r="3">
          <cell r="H3" t="str">
            <v>acreedor</v>
          </cell>
        </row>
        <row r="4">
          <cell r="H4" t="str">
            <v>{m}</v>
          </cell>
        </row>
        <row r="6">
          <cell r="H6">
            <v>4512.96</v>
          </cell>
        </row>
        <row r="8">
          <cell r="H8">
            <v>2214.3000000000002</v>
          </cell>
        </row>
        <row r="11">
          <cell r="H11">
            <v>1050.4100000000001</v>
          </cell>
        </row>
        <row r="18">
          <cell r="H18">
            <v>184548.03</v>
          </cell>
        </row>
        <row r="19">
          <cell r="H19">
            <v>856.68</v>
          </cell>
        </row>
        <row r="20">
          <cell r="H20">
            <v>53506.62</v>
          </cell>
        </row>
        <row r="21">
          <cell r="H21">
            <v>453.75</v>
          </cell>
        </row>
        <row r="23">
          <cell r="H23">
            <v>2154.44</v>
          </cell>
        </row>
        <row r="26">
          <cell r="H26">
            <v>653.4</v>
          </cell>
        </row>
        <row r="27">
          <cell r="H27">
            <v>641.20000000000005</v>
          </cell>
        </row>
        <row r="29">
          <cell r="H29">
            <v>3009.27</v>
          </cell>
        </row>
        <row r="30">
          <cell r="H30">
            <v>1603.01</v>
          </cell>
        </row>
        <row r="31">
          <cell r="H31">
            <v>15609</v>
          </cell>
        </row>
        <row r="32">
          <cell r="H32">
            <v>7902.25</v>
          </cell>
        </row>
        <row r="33">
          <cell r="H33">
            <v>6209.48</v>
          </cell>
        </row>
        <row r="35">
          <cell r="H35">
            <v>531.91999999999996</v>
          </cell>
        </row>
        <row r="36">
          <cell r="H36">
            <v>157161.76</v>
          </cell>
        </row>
        <row r="37">
          <cell r="H37">
            <v>618</v>
          </cell>
        </row>
        <row r="39">
          <cell r="H39">
            <v>2299</v>
          </cell>
        </row>
        <row r="40">
          <cell r="H40">
            <v>93661.26</v>
          </cell>
        </row>
        <row r="42">
          <cell r="H42">
            <v>18800</v>
          </cell>
        </row>
        <row r="44">
          <cell r="H44">
            <v>2278.84</v>
          </cell>
        </row>
        <row r="47">
          <cell r="H47">
            <v>2024.83</v>
          </cell>
        </row>
        <row r="48">
          <cell r="H48">
            <v>2744.28</v>
          </cell>
        </row>
        <row r="49">
          <cell r="H49">
            <v>21994.78</v>
          </cell>
        </row>
        <row r="53">
          <cell r="H53">
            <v>3284.46</v>
          </cell>
        </row>
        <row r="57">
          <cell r="H57">
            <v>251.76</v>
          </cell>
        </row>
        <row r="58">
          <cell r="H58">
            <v>14251.67</v>
          </cell>
        </row>
        <row r="59">
          <cell r="H59">
            <v>3715.91</v>
          </cell>
        </row>
        <row r="60">
          <cell r="H60">
            <v>4079.47</v>
          </cell>
        </row>
        <row r="62">
          <cell r="H62">
            <v>2011.63</v>
          </cell>
        </row>
        <row r="64">
          <cell r="H64">
            <v>1700</v>
          </cell>
        </row>
        <row r="65">
          <cell r="H65">
            <v>32147.4</v>
          </cell>
        </row>
        <row r="69">
          <cell r="H69">
            <v>1112.5999999999999</v>
          </cell>
        </row>
        <row r="71">
          <cell r="H71">
            <v>323.79000000000002</v>
          </cell>
        </row>
        <row r="74">
          <cell r="H74">
            <v>279.51</v>
          </cell>
        </row>
        <row r="75">
          <cell r="H75">
            <v>11470.2</v>
          </cell>
        </row>
        <row r="76">
          <cell r="H76">
            <v>56992.21</v>
          </cell>
        </row>
        <row r="77">
          <cell r="H77">
            <v>2851.96</v>
          </cell>
        </row>
        <row r="78">
          <cell r="H78">
            <v>3683.12</v>
          </cell>
        </row>
        <row r="80">
          <cell r="H80">
            <v>13068</v>
          </cell>
        </row>
        <row r="82">
          <cell r="H82">
            <v>7684.88</v>
          </cell>
        </row>
        <row r="83">
          <cell r="H83">
            <v>432</v>
          </cell>
        </row>
        <row r="85">
          <cell r="H85">
            <v>10787.64</v>
          </cell>
        </row>
        <row r="88">
          <cell r="H88">
            <v>18150</v>
          </cell>
        </row>
        <row r="91">
          <cell r="H91">
            <v>2782.14</v>
          </cell>
        </row>
        <row r="92">
          <cell r="H92">
            <v>889.35</v>
          </cell>
        </row>
        <row r="93">
          <cell r="H93">
            <v>97.55</v>
          </cell>
        </row>
        <row r="96">
          <cell r="H96">
            <v>5348.2</v>
          </cell>
        </row>
        <row r="102">
          <cell r="H102">
            <v>4250</v>
          </cell>
        </row>
        <row r="106">
          <cell r="H106">
            <v>7667.31</v>
          </cell>
        </row>
        <row r="107">
          <cell r="H107">
            <v>528.04</v>
          </cell>
        </row>
        <row r="108">
          <cell r="H108">
            <v>221.02</v>
          </cell>
        </row>
        <row r="109">
          <cell r="H109">
            <v>12017.94</v>
          </cell>
        </row>
        <row r="110">
          <cell r="H110">
            <v>388.41</v>
          </cell>
        </row>
        <row r="115">
          <cell r="H115">
            <v>965.57</v>
          </cell>
        </row>
        <row r="117">
          <cell r="H117">
            <v>22283.360000000001</v>
          </cell>
        </row>
        <row r="118">
          <cell r="H118">
            <v>2163.09</v>
          </cell>
        </row>
        <row r="120">
          <cell r="H120">
            <v>83062.98</v>
          </cell>
        </row>
        <row r="121">
          <cell r="H121">
            <v>29.76</v>
          </cell>
        </row>
        <row r="122">
          <cell r="H122">
            <v>2726.13</v>
          </cell>
        </row>
        <row r="123">
          <cell r="H123">
            <v>171.34</v>
          </cell>
        </row>
        <row r="124">
          <cell r="H124">
            <v>89122.96</v>
          </cell>
        </row>
        <row r="126">
          <cell r="H126">
            <v>22006.28</v>
          </cell>
        </row>
        <row r="127">
          <cell r="H127">
            <v>116628.79</v>
          </cell>
        </row>
        <row r="128">
          <cell r="H128">
            <v>2317.48</v>
          </cell>
        </row>
        <row r="133">
          <cell r="H133">
            <v>226.88</v>
          </cell>
        </row>
        <row r="134">
          <cell r="H134">
            <v>24055.06</v>
          </cell>
        </row>
        <row r="136">
          <cell r="H136">
            <v>73632.350000000006</v>
          </cell>
        </row>
        <row r="137">
          <cell r="H137">
            <v>8300</v>
          </cell>
        </row>
        <row r="138">
          <cell r="H138">
            <v>246.84</v>
          </cell>
        </row>
        <row r="139">
          <cell r="H139">
            <v>1872.31</v>
          </cell>
        </row>
        <row r="140">
          <cell r="H140">
            <v>25818.02</v>
          </cell>
        </row>
        <row r="141">
          <cell r="H141">
            <v>288.95</v>
          </cell>
        </row>
        <row r="143">
          <cell r="H143">
            <v>463472.3</v>
          </cell>
        </row>
        <row r="148">
          <cell r="H148">
            <v>205.45</v>
          </cell>
        </row>
        <row r="149">
          <cell r="H149">
            <v>42</v>
          </cell>
        </row>
        <row r="150">
          <cell r="H150">
            <v>5030.99</v>
          </cell>
        </row>
        <row r="152">
          <cell r="H152">
            <v>10843.54</v>
          </cell>
        </row>
        <row r="153">
          <cell r="H153">
            <v>8572.85</v>
          </cell>
        </row>
        <row r="155">
          <cell r="H155">
            <v>4878.72</v>
          </cell>
        </row>
        <row r="156">
          <cell r="H156">
            <v>160</v>
          </cell>
        </row>
        <row r="157">
          <cell r="H157">
            <v>13407.6</v>
          </cell>
        </row>
        <row r="159">
          <cell r="H159">
            <v>23702.69</v>
          </cell>
        </row>
        <row r="160">
          <cell r="H160">
            <v>1199.8599999999999</v>
          </cell>
        </row>
        <row r="161">
          <cell r="H161">
            <v>118.1</v>
          </cell>
        </row>
        <row r="163">
          <cell r="H163">
            <v>4261.1899999999996</v>
          </cell>
        </row>
        <row r="164">
          <cell r="H164">
            <v>48.4</v>
          </cell>
        </row>
        <row r="165">
          <cell r="H165">
            <v>14161.06</v>
          </cell>
        </row>
        <row r="166">
          <cell r="H166">
            <v>538.45000000000005</v>
          </cell>
        </row>
        <row r="167">
          <cell r="H167">
            <v>57396.71</v>
          </cell>
        </row>
        <row r="168">
          <cell r="H168">
            <v>9713.64</v>
          </cell>
        </row>
        <row r="169">
          <cell r="H169">
            <v>186.42</v>
          </cell>
        </row>
        <row r="171">
          <cell r="H171">
            <v>186715.39</v>
          </cell>
        </row>
        <row r="172">
          <cell r="H172">
            <v>2000.25</v>
          </cell>
        </row>
        <row r="173">
          <cell r="H173">
            <v>4351.6400000000003</v>
          </cell>
        </row>
        <row r="174">
          <cell r="H174">
            <v>2407.9</v>
          </cell>
        </row>
        <row r="175">
          <cell r="H175">
            <v>1762.97</v>
          </cell>
        </row>
        <row r="178">
          <cell r="H178">
            <v>8276.4</v>
          </cell>
        </row>
        <row r="179">
          <cell r="H179">
            <v>72.62</v>
          </cell>
        </row>
        <row r="182">
          <cell r="H182">
            <v>297.18</v>
          </cell>
        </row>
        <row r="183">
          <cell r="H183">
            <v>3073.4</v>
          </cell>
        </row>
        <row r="184">
          <cell r="H184">
            <v>399.3</v>
          </cell>
        </row>
        <row r="185">
          <cell r="H185">
            <v>217.8</v>
          </cell>
        </row>
        <row r="187">
          <cell r="H187">
            <v>110667.63</v>
          </cell>
        </row>
        <row r="188">
          <cell r="H188">
            <v>1375.77</v>
          </cell>
        </row>
        <row r="190">
          <cell r="H190">
            <v>37.049999999999997</v>
          </cell>
        </row>
        <row r="192">
          <cell r="H192">
            <v>53262.99</v>
          </cell>
        </row>
        <row r="193">
          <cell r="H193">
            <v>26852.15</v>
          </cell>
        </row>
        <row r="194">
          <cell r="H194">
            <v>9395.58</v>
          </cell>
        </row>
        <row r="195">
          <cell r="H195">
            <v>95973.17</v>
          </cell>
        </row>
        <row r="196">
          <cell r="H196">
            <v>6346.21</v>
          </cell>
        </row>
        <row r="197">
          <cell r="H197">
            <v>1700</v>
          </cell>
        </row>
        <row r="198">
          <cell r="H198">
            <v>59763.77</v>
          </cell>
        </row>
        <row r="200">
          <cell r="H200">
            <v>2813.25</v>
          </cell>
        </row>
        <row r="201">
          <cell r="H201">
            <v>2731.23</v>
          </cell>
        </row>
        <row r="203">
          <cell r="H203">
            <v>700</v>
          </cell>
        </row>
        <row r="204">
          <cell r="H204">
            <v>8738.6200000000008</v>
          </cell>
        </row>
        <row r="205">
          <cell r="H205">
            <v>2077.09</v>
          </cell>
        </row>
        <row r="208">
          <cell r="H208">
            <v>110</v>
          </cell>
        </row>
        <row r="209">
          <cell r="H209">
            <v>581</v>
          </cell>
        </row>
        <row r="210">
          <cell r="H210">
            <v>660.96</v>
          </cell>
        </row>
        <row r="211">
          <cell r="H211">
            <v>1660.12</v>
          </cell>
        </row>
        <row r="212">
          <cell r="H212">
            <v>29888.57</v>
          </cell>
        </row>
        <row r="214">
          <cell r="H214">
            <v>387.2</v>
          </cell>
        </row>
        <row r="215">
          <cell r="H215">
            <v>1968.55</v>
          </cell>
        </row>
        <row r="216">
          <cell r="H216">
            <v>4840</v>
          </cell>
        </row>
        <row r="219">
          <cell r="H219">
            <v>260</v>
          </cell>
        </row>
        <row r="220">
          <cell r="H220">
            <v>20599.830000000002</v>
          </cell>
        </row>
        <row r="221">
          <cell r="H221">
            <v>217.8</v>
          </cell>
        </row>
        <row r="222">
          <cell r="H222">
            <v>10781.1</v>
          </cell>
        </row>
        <row r="224">
          <cell r="H224">
            <v>968</v>
          </cell>
        </row>
        <row r="225">
          <cell r="H225">
            <v>130305.89</v>
          </cell>
        </row>
        <row r="227">
          <cell r="H227">
            <v>9360</v>
          </cell>
        </row>
        <row r="228">
          <cell r="H228">
            <v>3368.3</v>
          </cell>
        </row>
        <row r="229">
          <cell r="H229">
            <v>1500.4</v>
          </cell>
        </row>
        <row r="230">
          <cell r="H230">
            <v>562.65</v>
          </cell>
        </row>
        <row r="231">
          <cell r="H231">
            <v>605</v>
          </cell>
        </row>
        <row r="234">
          <cell r="H234">
            <v>6953.07</v>
          </cell>
        </row>
        <row r="235">
          <cell r="H235">
            <v>472.51</v>
          </cell>
        </row>
        <row r="236">
          <cell r="H236">
            <v>2146.66</v>
          </cell>
        </row>
        <row r="237">
          <cell r="H237">
            <v>1916.36</v>
          </cell>
        </row>
        <row r="238">
          <cell r="H238">
            <v>17061</v>
          </cell>
        </row>
        <row r="239">
          <cell r="H239">
            <v>11060.82</v>
          </cell>
        </row>
        <row r="241">
          <cell r="H241">
            <v>263.77999999999997</v>
          </cell>
        </row>
        <row r="242">
          <cell r="H242">
            <v>20531.28</v>
          </cell>
        </row>
        <row r="243">
          <cell r="H243">
            <v>20067.849999999999</v>
          </cell>
        </row>
        <row r="244">
          <cell r="H244">
            <v>12952.69</v>
          </cell>
        </row>
        <row r="245">
          <cell r="H245">
            <v>22237.55</v>
          </cell>
        </row>
        <row r="246">
          <cell r="H246">
            <v>6439.55</v>
          </cell>
        </row>
        <row r="247">
          <cell r="H247">
            <v>168.56</v>
          </cell>
        </row>
        <row r="248">
          <cell r="H248">
            <v>1028.5</v>
          </cell>
        </row>
        <row r="250">
          <cell r="H250">
            <v>26.81</v>
          </cell>
        </row>
        <row r="251">
          <cell r="H251">
            <v>59.29</v>
          </cell>
        </row>
        <row r="252">
          <cell r="H252">
            <v>29282.2</v>
          </cell>
        </row>
        <row r="254">
          <cell r="H254">
            <v>109436.27</v>
          </cell>
        </row>
        <row r="255">
          <cell r="H255">
            <v>27507.17</v>
          </cell>
        </row>
        <row r="256">
          <cell r="H256">
            <v>56978.14</v>
          </cell>
        </row>
        <row r="257">
          <cell r="H257">
            <v>268.75</v>
          </cell>
        </row>
        <row r="258">
          <cell r="H258">
            <v>2319.59</v>
          </cell>
        </row>
        <row r="259">
          <cell r="H259">
            <v>242</v>
          </cell>
        </row>
        <row r="261">
          <cell r="H261">
            <v>2109.6</v>
          </cell>
        </row>
        <row r="262">
          <cell r="H262">
            <v>2148.96</v>
          </cell>
        </row>
        <row r="265">
          <cell r="H265">
            <v>330</v>
          </cell>
        </row>
        <row r="266">
          <cell r="H266">
            <v>22687.5</v>
          </cell>
        </row>
        <row r="269">
          <cell r="H269">
            <v>320</v>
          </cell>
        </row>
        <row r="270">
          <cell r="H270">
            <v>29179.5</v>
          </cell>
        </row>
        <row r="271">
          <cell r="H271">
            <v>118729.03</v>
          </cell>
        </row>
        <row r="273">
          <cell r="H273">
            <v>189.99</v>
          </cell>
        </row>
        <row r="274">
          <cell r="H274">
            <v>6000</v>
          </cell>
        </row>
        <row r="275">
          <cell r="H275">
            <v>17657.39</v>
          </cell>
        </row>
        <row r="277">
          <cell r="H277">
            <v>621.39</v>
          </cell>
        </row>
        <row r="278">
          <cell r="H278">
            <v>151635.76</v>
          </cell>
        </row>
        <row r="279">
          <cell r="H279">
            <v>461.74</v>
          </cell>
        </row>
        <row r="281">
          <cell r="H281">
            <v>23252.33</v>
          </cell>
        </row>
        <row r="282">
          <cell r="H282">
            <v>5940.49</v>
          </cell>
        </row>
        <row r="283">
          <cell r="H283">
            <v>105681.94</v>
          </cell>
        </row>
        <row r="284">
          <cell r="H284">
            <v>748.26</v>
          </cell>
        </row>
        <row r="285">
          <cell r="H285">
            <v>2548.2600000000002</v>
          </cell>
        </row>
        <row r="287">
          <cell r="H287">
            <v>14118.82</v>
          </cell>
        </row>
        <row r="288">
          <cell r="H288">
            <v>140797.04</v>
          </cell>
        </row>
        <row r="289">
          <cell r="H289">
            <v>147.62</v>
          </cell>
        </row>
        <row r="290">
          <cell r="H290">
            <v>2939.53</v>
          </cell>
        </row>
        <row r="291">
          <cell r="H291">
            <v>40046.839999999997</v>
          </cell>
        </row>
        <row r="292">
          <cell r="H292">
            <v>3630</v>
          </cell>
        </row>
        <row r="293">
          <cell r="H293">
            <v>26453.29</v>
          </cell>
        </row>
        <row r="294">
          <cell r="H294">
            <v>12680.8</v>
          </cell>
        </row>
        <row r="295">
          <cell r="H295">
            <v>11696.04</v>
          </cell>
        </row>
        <row r="296">
          <cell r="H296">
            <v>9131.2199999999993</v>
          </cell>
        </row>
        <row r="297">
          <cell r="H297">
            <v>4573.07</v>
          </cell>
        </row>
        <row r="301">
          <cell r="H301">
            <v>1558.48</v>
          </cell>
        </row>
        <row r="302">
          <cell r="H302">
            <v>3303.52</v>
          </cell>
        </row>
        <row r="303">
          <cell r="H303">
            <v>110681.78</v>
          </cell>
        </row>
        <row r="304">
          <cell r="H304">
            <v>5989.5</v>
          </cell>
        </row>
        <row r="305">
          <cell r="H305">
            <v>1089</v>
          </cell>
        </row>
        <row r="306">
          <cell r="H306">
            <v>1294.7</v>
          </cell>
        </row>
        <row r="309">
          <cell r="H309">
            <v>38311.279999999999</v>
          </cell>
        </row>
        <row r="310">
          <cell r="H310">
            <v>8622.4599999999991</v>
          </cell>
        </row>
        <row r="314">
          <cell r="H314">
            <v>1212.42</v>
          </cell>
        </row>
        <row r="315">
          <cell r="H315">
            <v>1367.3</v>
          </cell>
        </row>
        <row r="317">
          <cell r="H317">
            <v>60034.59</v>
          </cell>
        </row>
        <row r="320">
          <cell r="H320">
            <v>149216.03</v>
          </cell>
        </row>
        <row r="322">
          <cell r="H322">
            <v>217.8</v>
          </cell>
        </row>
        <row r="325">
          <cell r="H325">
            <v>1871.88</v>
          </cell>
        </row>
        <row r="326">
          <cell r="H326">
            <v>4215.6400000000003</v>
          </cell>
        </row>
        <row r="327">
          <cell r="H327">
            <v>338.8</v>
          </cell>
        </row>
        <row r="328">
          <cell r="H328">
            <v>1306.8</v>
          </cell>
        </row>
        <row r="329">
          <cell r="H329">
            <v>2472.0300000000002</v>
          </cell>
        </row>
        <row r="331">
          <cell r="H331">
            <v>351.38</v>
          </cell>
        </row>
        <row r="332">
          <cell r="H332">
            <v>54087</v>
          </cell>
        </row>
        <row r="333">
          <cell r="H333">
            <v>2141.6999999999998</v>
          </cell>
        </row>
        <row r="334">
          <cell r="H334">
            <v>7267.51</v>
          </cell>
        </row>
        <row r="335">
          <cell r="H335">
            <v>3557.4</v>
          </cell>
        </row>
        <row r="336">
          <cell r="H336">
            <v>3006.85</v>
          </cell>
        </row>
        <row r="339">
          <cell r="H339">
            <v>133.1</v>
          </cell>
        </row>
        <row r="340">
          <cell r="H340">
            <v>966.56</v>
          </cell>
        </row>
        <row r="341">
          <cell r="H341">
            <v>8121.8</v>
          </cell>
        </row>
        <row r="342">
          <cell r="H342">
            <v>251.76</v>
          </cell>
        </row>
        <row r="343">
          <cell r="H343">
            <v>3168.01</v>
          </cell>
        </row>
        <row r="344">
          <cell r="H344">
            <v>1439.9</v>
          </cell>
        </row>
        <row r="345">
          <cell r="H345">
            <v>19376.96</v>
          </cell>
        </row>
        <row r="348">
          <cell r="H348">
            <v>411.4</v>
          </cell>
        </row>
        <row r="349">
          <cell r="H349">
            <v>1270.5</v>
          </cell>
        </row>
        <row r="351">
          <cell r="H351">
            <v>71390</v>
          </cell>
        </row>
        <row r="352">
          <cell r="H352">
            <v>25518.9</v>
          </cell>
        </row>
        <row r="353">
          <cell r="H353">
            <v>102336.66</v>
          </cell>
        </row>
        <row r="354">
          <cell r="H354">
            <v>4127.75</v>
          </cell>
        </row>
        <row r="357">
          <cell r="H357">
            <v>212638.51</v>
          </cell>
        </row>
        <row r="359">
          <cell r="H359">
            <v>70373.08</v>
          </cell>
        </row>
        <row r="360">
          <cell r="H360">
            <v>86.5</v>
          </cell>
        </row>
        <row r="362">
          <cell r="H362">
            <v>1664.51</v>
          </cell>
        </row>
        <row r="363">
          <cell r="H363">
            <v>665.5</v>
          </cell>
        </row>
        <row r="365">
          <cell r="H365">
            <v>2286.9</v>
          </cell>
        </row>
        <row r="367">
          <cell r="H367">
            <v>1293.73</v>
          </cell>
        </row>
        <row r="370">
          <cell r="H370">
            <v>1880.87</v>
          </cell>
        </row>
        <row r="371">
          <cell r="H371">
            <v>9352.09</v>
          </cell>
        </row>
        <row r="374">
          <cell r="H374">
            <v>149</v>
          </cell>
        </row>
        <row r="375">
          <cell r="H375">
            <v>36929.199999999997</v>
          </cell>
        </row>
        <row r="376">
          <cell r="H376">
            <v>13816.77</v>
          </cell>
        </row>
        <row r="378">
          <cell r="H378">
            <v>24164.91</v>
          </cell>
        </row>
        <row r="379">
          <cell r="H379">
            <v>3432.89</v>
          </cell>
        </row>
        <row r="382">
          <cell r="H382">
            <v>1164.5</v>
          </cell>
        </row>
        <row r="385">
          <cell r="H385">
            <v>11483358.640000001</v>
          </cell>
        </row>
        <row r="386">
          <cell r="H386">
            <v>88287</v>
          </cell>
        </row>
        <row r="387">
          <cell r="H387">
            <v>10718.18</v>
          </cell>
        </row>
        <row r="388">
          <cell r="H388">
            <v>25715.15</v>
          </cell>
        </row>
        <row r="389">
          <cell r="H389">
            <v>6577.67</v>
          </cell>
        </row>
        <row r="390">
          <cell r="H390">
            <v>7777.88</v>
          </cell>
        </row>
        <row r="391">
          <cell r="H391">
            <v>2450.25</v>
          </cell>
        </row>
        <row r="392">
          <cell r="H392">
            <v>1000</v>
          </cell>
        </row>
        <row r="393">
          <cell r="H393">
            <v>25198.25</v>
          </cell>
        </row>
        <row r="394">
          <cell r="H394">
            <v>1597.2</v>
          </cell>
        </row>
        <row r="396">
          <cell r="H396">
            <v>1161.5999999999999</v>
          </cell>
        </row>
        <row r="397">
          <cell r="H397">
            <v>208.17</v>
          </cell>
        </row>
        <row r="398">
          <cell r="H398">
            <v>15479.34</v>
          </cell>
        </row>
        <row r="401">
          <cell r="H401">
            <v>630</v>
          </cell>
        </row>
        <row r="402">
          <cell r="H402">
            <v>114899.43</v>
          </cell>
        </row>
        <row r="403">
          <cell r="H403">
            <v>69904.02</v>
          </cell>
        </row>
        <row r="404">
          <cell r="H404">
            <v>6295.63</v>
          </cell>
        </row>
        <row r="405">
          <cell r="H405">
            <v>3189.34</v>
          </cell>
        </row>
        <row r="407">
          <cell r="H407">
            <v>4888.3999999999996</v>
          </cell>
        </row>
        <row r="408">
          <cell r="H408">
            <v>4838.3900000000003</v>
          </cell>
        </row>
        <row r="409">
          <cell r="H409">
            <v>84870.03</v>
          </cell>
        </row>
        <row r="410">
          <cell r="H410">
            <v>20.329999999999998</v>
          </cell>
        </row>
        <row r="411">
          <cell r="H411">
            <v>735.19</v>
          </cell>
        </row>
        <row r="413">
          <cell r="H413">
            <v>474.32</v>
          </cell>
        </row>
        <row r="415">
          <cell r="H415">
            <v>1452</v>
          </cell>
        </row>
        <row r="416">
          <cell r="H416">
            <v>3050</v>
          </cell>
        </row>
        <row r="418">
          <cell r="H418">
            <v>4815.5</v>
          </cell>
        </row>
        <row r="419">
          <cell r="H419">
            <v>5505.5</v>
          </cell>
        </row>
        <row r="420">
          <cell r="H420">
            <v>17749.830000000002</v>
          </cell>
        </row>
        <row r="423">
          <cell r="H423">
            <v>338.8</v>
          </cell>
        </row>
        <row r="426">
          <cell r="H426">
            <v>5366.35</v>
          </cell>
        </row>
        <row r="427">
          <cell r="H427">
            <v>42.9</v>
          </cell>
        </row>
        <row r="433">
          <cell r="H433">
            <v>46</v>
          </cell>
        </row>
        <row r="434">
          <cell r="H434">
            <v>138857.18</v>
          </cell>
        </row>
        <row r="437">
          <cell r="H437">
            <v>14621.65</v>
          </cell>
        </row>
        <row r="438">
          <cell r="H438">
            <v>17756.75</v>
          </cell>
        </row>
        <row r="440">
          <cell r="H440">
            <v>3269.06</v>
          </cell>
        </row>
        <row r="442">
          <cell r="H442">
            <v>425.81</v>
          </cell>
        </row>
        <row r="443">
          <cell r="H443">
            <v>199.04</v>
          </cell>
        </row>
        <row r="444">
          <cell r="H444">
            <v>3127</v>
          </cell>
        </row>
        <row r="445">
          <cell r="H445">
            <v>437009</v>
          </cell>
        </row>
        <row r="449">
          <cell r="H449">
            <v>2516.16</v>
          </cell>
        </row>
        <row r="453">
          <cell r="H453">
            <v>5178.8</v>
          </cell>
        </row>
        <row r="454">
          <cell r="H454">
            <v>1633.5</v>
          </cell>
        </row>
        <row r="455">
          <cell r="H455">
            <v>23995.23</v>
          </cell>
        </row>
        <row r="456">
          <cell r="H456">
            <v>61059.62</v>
          </cell>
        </row>
        <row r="460">
          <cell r="H460">
            <v>1443.32</v>
          </cell>
        </row>
        <row r="462">
          <cell r="H462">
            <v>3322.99</v>
          </cell>
        </row>
        <row r="463">
          <cell r="H463">
            <v>2352.6</v>
          </cell>
        </row>
        <row r="464">
          <cell r="H464">
            <v>399.3</v>
          </cell>
        </row>
        <row r="465">
          <cell r="H465">
            <v>139.15</v>
          </cell>
        </row>
        <row r="466">
          <cell r="H466">
            <v>2135.83</v>
          </cell>
        </row>
        <row r="467">
          <cell r="H467">
            <v>304.92</v>
          </cell>
        </row>
        <row r="468">
          <cell r="H468">
            <v>317.82</v>
          </cell>
        </row>
        <row r="470">
          <cell r="H470">
            <v>5045</v>
          </cell>
        </row>
        <row r="471">
          <cell r="H471">
            <v>1067.0999999999999</v>
          </cell>
        </row>
        <row r="473">
          <cell r="H473">
            <v>169.4</v>
          </cell>
        </row>
        <row r="474">
          <cell r="H474">
            <v>904.1</v>
          </cell>
        </row>
        <row r="475">
          <cell r="H475">
            <v>13835.7</v>
          </cell>
        </row>
        <row r="477">
          <cell r="H477">
            <v>40645.589999999997</v>
          </cell>
        </row>
        <row r="478">
          <cell r="H478">
            <v>2610</v>
          </cell>
        </row>
        <row r="479">
          <cell r="H479">
            <v>3020.16</v>
          </cell>
        </row>
        <row r="480">
          <cell r="H480">
            <v>3504.16</v>
          </cell>
        </row>
        <row r="481">
          <cell r="H481">
            <v>250.47</v>
          </cell>
        </row>
        <row r="482">
          <cell r="H482">
            <v>3554.38</v>
          </cell>
        </row>
        <row r="483">
          <cell r="H483">
            <v>46133.93</v>
          </cell>
        </row>
        <row r="484">
          <cell r="H484">
            <v>13355.06</v>
          </cell>
        </row>
        <row r="485">
          <cell r="H485">
            <v>1148.05</v>
          </cell>
        </row>
        <row r="486">
          <cell r="H486">
            <v>92872.1</v>
          </cell>
        </row>
        <row r="491">
          <cell r="H491">
            <v>116758.95</v>
          </cell>
        </row>
        <row r="492">
          <cell r="H492">
            <v>16957.91</v>
          </cell>
        </row>
        <row r="493">
          <cell r="H493">
            <v>47989.24</v>
          </cell>
        </row>
        <row r="494">
          <cell r="H494">
            <v>631.62</v>
          </cell>
        </row>
        <row r="495">
          <cell r="H495">
            <v>5654.08</v>
          </cell>
        </row>
        <row r="496">
          <cell r="H496">
            <v>47190.36</v>
          </cell>
        </row>
        <row r="499">
          <cell r="H499">
            <v>1205.8900000000001</v>
          </cell>
        </row>
        <row r="500">
          <cell r="H500">
            <v>100470.37</v>
          </cell>
        </row>
        <row r="501">
          <cell r="H501">
            <v>13426.16</v>
          </cell>
        </row>
        <row r="502">
          <cell r="H502">
            <v>47767.86</v>
          </cell>
        </row>
        <row r="505">
          <cell r="H505">
            <v>1523.6</v>
          </cell>
        </row>
        <row r="506">
          <cell r="H506">
            <v>2247.4499999999998</v>
          </cell>
        </row>
        <row r="507">
          <cell r="H507">
            <v>1508.04</v>
          </cell>
        </row>
        <row r="509">
          <cell r="H509">
            <v>2196.3200000000002</v>
          </cell>
        </row>
        <row r="510">
          <cell r="H510">
            <v>234.54</v>
          </cell>
        </row>
        <row r="511">
          <cell r="H511">
            <v>10556.1</v>
          </cell>
        </row>
        <row r="513">
          <cell r="H513">
            <v>450.12</v>
          </cell>
        </row>
        <row r="514">
          <cell r="H514">
            <v>219481.95</v>
          </cell>
        </row>
        <row r="515">
          <cell r="H515">
            <v>30730.48</v>
          </cell>
        </row>
        <row r="518">
          <cell r="H518">
            <v>298358.48</v>
          </cell>
        </row>
        <row r="519">
          <cell r="H519">
            <v>17261.97</v>
          </cell>
        </row>
        <row r="520">
          <cell r="H520">
            <v>13555.3</v>
          </cell>
        </row>
        <row r="522">
          <cell r="H522">
            <v>1452</v>
          </cell>
        </row>
        <row r="523">
          <cell r="H523">
            <v>302.5</v>
          </cell>
        </row>
        <row r="524">
          <cell r="H524">
            <v>1548.8</v>
          </cell>
        </row>
        <row r="525">
          <cell r="H525">
            <v>1803632.49</v>
          </cell>
        </row>
        <row r="528">
          <cell r="H528">
            <v>2323.1999999999998</v>
          </cell>
        </row>
        <row r="529">
          <cell r="H529">
            <v>54731.92</v>
          </cell>
        </row>
        <row r="530">
          <cell r="H530">
            <v>154547.24</v>
          </cell>
        </row>
        <row r="531">
          <cell r="H531">
            <v>26421.8</v>
          </cell>
        </row>
        <row r="533">
          <cell r="H533">
            <v>1262.03</v>
          </cell>
        </row>
        <row r="535">
          <cell r="H535">
            <v>23715.1</v>
          </cell>
        </row>
        <row r="536">
          <cell r="H536">
            <v>211531.46</v>
          </cell>
        </row>
        <row r="537">
          <cell r="H537">
            <v>68244</v>
          </cell>
        </row>
        <row r="538">
          <cell r="H538">
            <v>78922.81</v>
          </cell>
        </row>
        <row r="539">
          <cell r="H539">
            <v>471.9</v>
          </cell>
        </row>
        <row r="540">
          <cell r="H540">
            <v>12100</v>
          </cell>
        </row>
        <row r="542">
          <cell r="H542">
            <v>650</v>
          </cell>
        </row>
        <row r="543">
          <cell r="H543">
            <v>4246.3</v>
          </cell>
        </row>
        <row r="545">
          <cell r="H545">
            <v>582.34</v>
          </cell>
        </row>
        <row r="546">
          <cell r="H546">
            <v>210764.42</v>
          </cell>
        </row>
        <row r="547">
          <cell r="H547">
            <v>4950</v>
          </cell>
        </row>
        <row r="548">
          <cell r="H548">
            <v>7862</v>
          </cell>
        </row>
        <row r="550">
          <cell r="H550">
            <v>2844.35</v>
          </cell>
        </row>
        <row r="553">
          <cell r="H553">
            <v>1118.77</v>
          </cell>
        </row>
        <row r="554">
          <cell r="H554">
            <v>1692.79</v>
          </cell>
        </row>
        <row r="556">
          <cell r="H556">
            <v>2836.24</v>
          </cell>
        </row>
        <row r="557">
          <cell r="H557">
            <v>45525.95</v>
          </cell>
        </row>
        <row r="559">
          <cell r="H559">
            <v>4197.49</v>
          </cell>
        </row>
        <row r="562">
          <cell r="H562">
            <v>24623.5</v>
          </cell>
        </row>
        <row r="563">
          <cell r="H563">
            <v>5716.86</v>
          </cell>
        </row>
        <row r="564">
          <cell r="H564">
            <v>27239.59</v>
          </cell>
        </row>
        <row r="565">
          <cell r="H565">
            <v>2286.4</v>
          </cell>
        </row>
        <row r="566">
          <cell r="H566">
            <v>196.98</v>
          </cell>
        </row>
        <row r="569">
          <cell r="H569">
            <v>13122.05</v>
          </cell>
        </row>
        <row r="570">
          <cell r="H570">
            <v>423.5</v>
          </cell>
        </row>
        <row r="571">
          <cell r="H571">
            <v>1089</v>
          </cell>
        </row>
        <row r="573">
          <cell r="H573">
            <v>433.28</v>
          </cell>
        </row>
        <row r="574">
          <cell r="H574">
            <v>36166.9</v>
          </cell>
        </row>
        <row r="575">
          <cell r="H575">
            <v>1960.2</v>
          </cell>
        </row>
        <row r="576">
          <cell r="H576">
            <v>143.09</v>
          </cell>
        </row>
        <row r="577">
          <cell r="H577">
            <v>58065.48</v>
          </cell>
        </row>
        <row r="578">
          <cell r="H578">
            <v>3189.56</v>
          </cell>
        </row>
        <row r="582">
          <cell r="H582">
            <v>114.9</v>
          </cell>
        </row>
        <row r="584">
          <cell r="H584">
            <v>726</v>
          </cell>
        </row>
        <row r="590">
          <cell r="H590">
            <v>4031.76</v>
          </cell>
        </row>
        <row r="592">
          <cell r="H592">
            <v>10018.799999999999</v>
          </cell>
        </row>
        <row r="594">
          <cell r="H594">
            <v>3257.44</v>
          </cell>
        </row>
        <row r="595">
          <cell r="H595">
            <v>6727.6</v>
          </cell>
        </row>
        <row r="596">
          <cell r="H596">
            <v>1975.93</v>
          </cell>
        </row>
        <row r="597">
          <cell r="H597">
            <v>1774.24</v>
          </cell>
        </row>
        <row r="598">
          <cell r="H598">
            <v>85159.9</v>
          </cell>
        </row>
        <row r="599">
          <cell r="H599">
            <v>17.7</v>
          </cell>
        </row>
        <row r="601">
          <cell r="H601">
            <v>27975.200000000001</v>
          </cell>
        </row>
        <row r="603">
          <cell r="H603">
            <v>50931.48</v>
          </cell>
        </row>
        <row r="604">
          <cell r="H604">
            <v>3318.43</v>
          </cell>
        </row>
        <row r="606">
          <cell r="H606">
            <v>4235</v>
          </cell>
        </row>
        <row r="610">
          <cell r="H610">
            <v>968</v>
          </cell>
        </row>
        <row r="611">
          <cell r="H611">
            <v>10.29</v>
          </cell>
        </row>
        <row r="613">
          <cell r="H613">
            <v>854.56</v>
          </cell>
        </row>
        <row r="614">
          <cell r="H614">
            <v>7925.77</v>
          </cell>
        </row>
        <row r="615">
          <cell r="H615">
            <v>51450</v>
          </cell>
        </row>
        <row r="618">
          <cell r="H618">
            <v>65.34</v>
          </cell>
        </row>
        <row r="619">
          <cell r="H619">
            <v>15396.78</v>
          </cell>
        </row>
        <row r="620">
          <cell r="H620">
            <v>10043</v>
          </cell>
        </row>
        <row r="621">
          <cell r="H621">
            <v>4985.32</v>
          </cell>
        </row>
        <row r="622">
          <cell r="H622">
            <v>469.49</v>
          </cell>
        </row>
        <row r="625">
          <cell r="H625">
            <v>198.44</v>
          </cell>
        </row>
        <row r="627">
          <cell r="H627">
            <v>1663.75</v>
          </cell>
        </row>
        <row r="628">
          <cell r="H628">
            <v>6462.24</v>
          </cell>
        </row>
        <row r="630">
          <cell r="H630">
            <v>17299.32</v>
          </cell>
        </row>
        <row r="633">
          <cell r="H633">
            <v>17127.55</v>
          </cell>
        </row>
        <row r="634">
          <cell r="H634">
            <v>1556.06</v>
          </cell>
        </row>
        <row r="635">
          <cell r="H635">
            <v>31698.37</v>
          </cell>
        </row>
        <row r="638">
          <cell r="H638">
            <v>123504.39</v>
          </cell>
        </row>
        <row r="640">
          <cell r="H640">
            <v>17995.12</v>
          </cell>
        </row>
        <row r="641">
          <cell r="H641">
            <v>2178</v>
          </cell>
        </row>
        <row r="644">
          <cell r="H644">
            <v>3025</v>
          </cell>
        </row>
        <row r="645">
          <cell r="H645">
            <v>635.25</v>
          </cell>
        </row>
        <row r="646">
          <cell r="H646">
            <v>1721.97</v>
          </cell>
        </row>
        <row r="647">
          <cell r="H647">
            <v>17182</v>
          </cell>
        </row>
        <row r="649">
          <cell r="H649">
            <v>585</v>
          </cell>
        </row>
        <row r="650">
          <cell r="H650">
            <v>1212.69</v>
          </cell>
        </row>
        <row r="652">
          <cell r="H652">
            <v>1210</v>
          </cell>
        </row>
        <row r="653">
          <cell r="H653">
            <v>59226.58</v>
          </cell>
        </row>
        <row r="654">
          <cell r="H654">
            <v>2698.3</v>
          </cell>
        </row>
        <row r="655">
          <cell r="H655">
            <v>13458.83</v>
          </cell>
        </row>
        <row r="656">
          <cell r="H656">
            <v>369.67</v>
          </cell>
        </row>
        <row r="657">
          <cell r="H657">
            <v>4410</v>
          </cell>
        </row>
        <row r="658">
          <cell r="H658">
            <v>1827.1</v>
          </cell>
        </row>
        <row r="659">
          <cell r="H659">
            <v>1361.25</v>
          </cell>
        </row>
        <row r="660">
          <cell r="H660">
            <v>15809.2</v>
          </cell>
        </row>
        <row r="661">
          <cell r="H661">
            <v>2520</v>
          </cell>
        </row>
        <row r="662">
          <cell r="H662">
            <v>1512.5</v>
          </cell>
        </row>
        <row r="663">
          <cell r="H663">
            <v>1.69</v>
          </cell>
        </row>
        <row r="665">
          <cell r="H665">
            <v>404.04</v>
          </cell>
        </row>
        <row r="666">
          <cell r="H666">
            <v>163.35</v>
          </cell>
        </row>
        <row r="704">
          <cell r="H704">
            <v>22389368.299999986</v>
          </cell>
        </row>
        <row r="705">
          <cell r="H705">
            <v>-22149082.319999985</v>
          </cell>
        </row>
        <row r="706">
          <cell r="H706">
            <v>-22154791.23</v>
          </cell>
        </row>
        <row r="707">
          <cell r="H707">
            <v>5708.9100000150502</v>
          </cell>
        </row>
        <row r="710">
          <cell r="H710">
            <v>-314450.88</v>
          </cell>
        </row>
      </sheetData>
      <sheetData sheetId="1"/>
      <sheetData sheetId="2"/>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MMA 30-9-01"/>
      <sheetName val="Test 30-9-01"/>
      <sheetName val="Test 30-9-01 por extracto"/>
      <sheetName val="Prov. FC a Rec."/>
      <sheetName val="Prov. Cons.Ener."/>
      <sheetName val="Prov. Cons.Ener IR"/>
      <sheetName val="XREF"/>
      <sheetName val="Tickmarks"/>
      <sheetName val="Test 31-12-01"/>
      <sheetName val="Selección ctas"/>
      <sheetName val="Test 31-12-02"/>
      <sheetName val="Memo"/>
      <sheetName val="MMA"/>
      <sheetName val="Análisis"/>
      <sheetName val="prov locales"/>
      <sheetName val="Tes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G VR U$S"/>
      <sheetName val="PG AM U$S"/>
      <sheetName val="PG VR $"/>
      <sheetName val="PG AM. $"/>
      <sheetName val="Resumen"/>
      <sheetName val="Altas B. de Uso DX"/>
      <sheetName val="Altas B. de uso Villegas"/>
      <sheetName val="Altas O en curso"/>
      <sheetName val="Mayores al 30-6"/>
      <sheetName val="Bajas"/>
      <sheetName val="Anexo "/>
      <sheetName val="XREF"/>
      <sheetName val="Tickmarks"/>
      <sheetName val="PG VR U$$"/>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YNTHESE"/>
      <sheetName val="r_2008-2009-2010-2011-2012-2013"/>
      <sheetName val="archive r_2004-2007"/>
    </sheetNames>
    <sheetDataSet>
      <sheetData sheetId="0">
        <row r="6">
          <cell r="C6">
            <v>-2.1095600792835185E-2</v>
          </cell>
          <cell r="D6">
            <v>-2.1504050774671359E-2</v>
          </cell>
          <cell r="E6">
            <v>-2.02004438236143E-2</v>
          </cell>
          <cell r="F6">
            <v>-2.0129349525880396E-2</v>
          </cell>
          <cell r="G6">
            <v>-2.486012651576458E-2</v>
          </cell>
          <cell r="H6">
            <v>-2.7675310374716672E-2</v>
          </cell>
          <cell r="I6">
            <v>-2.2731475527068036E-2</v>
          </cell>
          <cell r="J6">
            <v>-2.6273696593572787E-2</v>
          </cell>
          <cell r="K6">
            <v>-2.5404107191237438E-2</v>
          </cell>
        </row>
        <row r="7">
          <cell r="C7">
            <v>-2.3869415417106053E-2</v>
          </cell>
          <cell r="D7">
            <v>-2.1361748724065321E-2</v>
          </cell>
          <cell r="E7">
            <v>-2.0110019221322165E-2</v>
          </cell>
          <cell r="F7">
            <v>-2.2491402492087389E-2</v>
          </cell>
          <cell r="G7">
            <v>-2.4809949241526838E-2</v>
          </cell>
          <cell r="H7">
            <v>-2.4171294586254066E-2</v>
          </cell>
          <cell r="I7">
            <v>-2.2714830440376241E-2</v>
          </cell>
          <cell r="J7">
            <v>-2.3155309318250855E-2</v>
          </cell>
          <cell r="K7">
            <v>-2.1945839916291895E-2</v>
          </cell>
        </row>
        <row r="8">
          <cell r="C8">
            <v>-2.5703059203369592E-2</v>
          </cell>
          <cell r="D8">
            <v>-2.5525416694615423E-2</v>
          </cell>
          <cell r="E8">
            <v>-2.3423911168285693E-2</v>
          </cell>
          <cell r="F8">
            <v>-2.6666873101241186E-2</v>
          </cell>
          <cell r="G8">
            <v>-2.7116505620658874E-2</v>
          </cell>
          <cell r="H8">
            <v>-2.6193244878258266E-2</v>
          </cell>
          <cell r="I8">
            <v>-2.6145612134371689E-2</v>
          </cell>
          <cell r="J8">
            <v>-2.629706239710063E-2</v>
          </cell>
          <cell r="K8">
            <v>-2.7021520813013501E-2</v>
          </cell>
        </row>
        <row r="9">
          <cell r="C9">
            <v>-7.0668075413310841E-2</v>
          </cell>
          <cell r="D9">
            <v>-6.8391216193352103E-2</v>
          </cell>
          <cell r="E9">
            <v>-6.3734374213222159E-2</v>
          </cell>
          <cell r="F9">
            <v>-6.9287625119208968E-2</v>
          </cell>
          <cell r="G9">
            <v>-7.6786581377950289E-2</v>
          </cell>
          <cell r="H9">
            <v>-7.8039849839229E-2</v>
          </cell>
          <cell r="I9">
            <v>-7.1591918101815963E-2</v>
          </cell>
          <cell r="J9">
            <v>-7.5726068308924269E-2</v>
          </cell>
          <cell r="K9">
            <v>-7.4371467920542833E-2</v>
          </cell>
        </row>
        <row r="10">
          <cell r="C10" t="str">
            <v>-</v>
          </cell>
          <cell r="D10" t="str">
            <v>-</v>
          </cell>
          <cell r="E10" t="str">
            <v>-</v>
          </cell>
          <cell r="F10">
            <v>-2.6630543527619812E-2</v>
          </cell>
          <cell r="G10">
            <v>-2.3503827721348427E-2</v>
          </cell>
          <cell r="H10">
            <v>-3.7054411762167817E-2</v>
          </cell>
          <cell r="I10">
            <v>-2.4106880204300327E-2</v>
          </cell>
          <cell r="J10">
            <v>-2.7507835423487188E-2</v>
          </cell>
          <cell r="K10">
            <v>-2.7016880115488369E-2</v>
          </cell>
        </row>
        <row r="11">
          <cell r="C11" t="str">
            <v>-</v>
          </cell>
          <cell r="D11" t="str">
            <v>-</v>
          </cell>
          <cell r="E11" t="str">
            <v>-</v>
          </cell>
          <cell r="F11">
            <v>-2.7493792565299911E-2</v>
          </cell>
          <cell r="G11">
            <v>-2.5285354288007288E-2</v>
          </cell>
          <cell r="H11">
            <v>-3.254017519650778E-2</v>
          </cell>
          <cell r="I11">
            <v>-2.9411313424987651E-2</v>
          </cell>
          <cell r="J11">
            <v>-2.6627930368919448E-2</v>
          </cell>
          <cell r="K11">
            <v>-2.8144275924846997E-2</v>
          </cell>
        </row>
        <row r="12">
          <cell r="C12" t="str">
            <v>-</v>
          </cell>
          <cell r="D12" t="str">
            <v>-</v>
          </cell>
          <cell r="E12" t="str">
            <v>-</v>
          </cell>
          <cell r="F12">
            <v>-3.8693166043567345E-2</v>
          </cell>
          <cell r="G12">
            <v>-3.1154940152379157E-2</v>
          </cell>
          <cell r="H12">
            <v>-4.003729578899104E-2</v>
          </cell>
          <cell r="I12">
            <v>-3.8514237021975907E-2</v>
          </cell>
          <cell r="J12">
            <v>-3.5045788098778105E-2</v>
          </cell>
          <cell r="K12">
            <v>-3.768108691876168E-2</v>
          </cell>
        </row>
        <row r="13">
          <cell r="C13" t="str">
            <v>-</v>
          </cell>
          <cell r="D13" t="str">
            <v>-</v>
          </cell>
          <cell r="E13" t="str">
            <v>-</v>
          </cell>
          <cell r="F13">
            <v>-9.2817502136487068E-2</v>
          </cell>
          <cell r="G13">
            <v>-7.9944122161734868E-2</v>
          </cell>
          <cell r="H13">
            <v>-0.10963188274766662</v>
          </cell>
          <cell r="I13">
            <v>-9.2032430651263888E-2</v>
          </cell>
          <cell r="J13">
            <v>-8.9181553891184734E-2</v>
          </cell>
          <cell r="K13">
            <v>-9.2842242959097043E-2</v>
          </cell>
        </row>
        <row r="14">
          <cell r="C14" t="str">
            <v>-</v>
          </cell>
          <cell r="D14" t="str">
            <v>-</v>
          </cell>
          <cell r="E14" t="str">
            <v>-</v>
          </cell>
          <cell r="F14">
            <v>-1.8819747012012198E-2</v>
          </cell>
          <cell r="G14">
            <v>-2.5250805131570183E-2</v>
          </cell>
          <cell r="H14">
            <v>-2.6072294077767001E-2</v>
          </cell>
          <cell r="I14">
            <v>-2.2523402528454639E-2</v>
          </cell>
          <cell r="J14">
            <v>-2.5999530841479514E-2</v>
          </cell>
          <cell r="K14">
            <v>-2.5084360640628914E-2</v>
          </cell>
        </row>
        <row r="15">
          <cell r="C15" t="str">
            <v>-</v>
          </cell>
          <cell r="D15" t="str">
            <v>-</v>
          </cell>
          <cell r="E15" t="str">
            <v>-</v>
          </cell>
          <cell r="F15">
            <v>-2.1484000504917541E-2</v>
          </cell>
          <cell r="G15">
            <v>-2.4794390743325966E-2</v>
          </cell>
          <cell r="H15">
            <v>-2.273751127494681E-2</v>
          </cell>
          <cell r="I15">
            <v>-2.1579134718500398E-2</v>
          </cell>
          <cell r="J15">
            <v>-2.2477922131511362E-2</v>
          </cell>
          <cell r="K15">
            <v>-2.0824092089078761E-2</v>
          </cell>
        </row>
        <row r="16">
          <cell r="C16" t="str">
            <v>-</v>
          </cell>
          <cell r="D16" t="str">
            <v>-</v>
          </cell>
          <cell r="E16" t="str">
            <v>-</v>
          </cell>
          <cell r="F16">
            <v>-2.370828113757607E-2</v>
          </cell>
          <cell r="G16">
            <v>-2.5388450996414097E-2</v>
          </cell>
          <cell r="H16">
            <v>-2.2816766443940605E-2</v>
          </cell>
          <cell r="I16">
            <v>-2.3165907566605998E-2</v>
          </cell>
          <cell r="J16">
            <v>-2.3636504708250419E-2</v>
          </cell>
          <cell r="K16">
            <v>-2.4269371046756465E-2</v>
          </cell>
        </row>
        <row r="17">
          <cell r="C17" t="str">
            <v>-</v>
          </cell>
          <cell r="D17" t="str">
            <v>-</v>
          </cell>
          <cell r="E17" t="str">
            <v>-</v>
          </cell>
          <cell r="F17">
            <v>-6.4012028654505809E-2</v>
          </cell>
          <cell r="G17">
            <v>-7.5433646871310239E-2</v>
          </cell>
          <cell r="H17">
            <v>-7.1626571796654409E-2</v>
          </cell>
          <cell r="I17">
            <v>-6.7268444813561035E-2</v>
          </cell>
          <cell r="J17">
            <v>-7.2113957681241306E-2</v>
          </cell>
          <cell r="K17">
            <v>-7.0177823776464143E-2</v>
          </cell>
        </row>
        <row r="18">
          <cell r="C18" t="str">
            <v>-</v>
          </cell>
          <cell r="D18" t="str">
            <v>-</v>
          </cell>
          <cell r="E18" t="str">
            <v>-</v>
          </cell>
          <cell r="F18">
            <v>-1.6138430395515418E-2</v>
          </cell>
          <cell r="G18">
            <v>-1.7486983021332173E-2</v>
          </cell>
          <cell r="H18">
            <v>-1.584358401970595E-2</v>
          </cell>
          <cell r="I18">
            <v>-1.8916931725719358E-2</v>
          </cell>
          <cell r="J18">
            <v>-2.8994040371675744E-2</v>
          </cell>
        </row>
        <row r="19">
          <cell r="C19" t="str">
            <v>-</v>
          </cell>
          <cell r="D19" t="str">
            <v>-</v>
          </cell>
          <cell r="E19" t="str">
            <v>-</v>
          </cell>
          <cell r="F19">
            <v>-1.9394752413578326E-2</v>
          </cell>
          <cell r="G19">
            <v>-1.7487505441880713E-2</v>
          </cell>
          <cell r="H19">
            <v>-1.3904241397890846E-2</v>
          </cell>
          <cell r="I19">
            <v>-1.538922997263111E-2</v>
          </cell>
          <cell r="J19">
            <v>-1.8883477517889564E-2</v>
          </cell>
        </row>
        <row r="20">
          <cell r="C20" t="str">
            <v>-</v>
          </cell>
          <cell r="D20" t="str">
            <v>-</v>
          </cell>
          <cell r="E20" t="str">
            <v>-</v>
          </cell>
          <cell r="F20">
            <v>-6.8514481469947056E-2</v>
          </cell>
          <cell r="G20">
            <v>-9.5167609925990423E-2</v>
          </cell>
          <cell r="H20">
            <v>-9.4296051112308515E-2</v>
          </cell>
          <cell r="I20">
            <v>-9.3498039795842883E-2</v>
          </cell>
          <cell r="J20">
            <v>-0.13649471323293816</v>
          </cell>
        </row>
        <row r="21">
          <cell r="C21" t="str">
            <v>-</v>
          </cell>
          <cell r="D21" t="str">
            <v>-</v>
          </cell>
          <cell r="E21" t="str">
            <v>-</v>
          </cell>
          <cell r="F21">
            <v>-0.10404766427904079</v>
          </cell>
          <cell r="G21">
            <v>-0.13014209838920332</v>
          </cell>
          <cell r="H21">
            <v>-0.12404387652990531</v>
          </cell>
          <cell r="I21">
            <v>-0.12780420149419336</v>
          </cell>
          <cell r="J21">
            <v>-0.18437223112250348</v>
          </cell>
        </row>
        <row r="22">
          <cell r="C22">
            <v>-1.8162249913121181E-2</v>
          </cell>
          <cell r="D22">
            <v>-1.8213060561201207E-2</v>
          </cell>
          <cell r="E22">
            <v>-1.7404307080451015E-2</v>
          </cell>
          <cell r="F22" t="str">
            <v>-</v>
          </cell>
          <cell r="G22" t="str">
            <v>-</v>
          </cell>
          <cell r="H22" t="str">
            <v>-</v>
          </cell>
          <cell r="I22" t="str">
            <v>-</v>
          </cell>
          <cell r="J22" t="str">
            <v>-</v>
          </cell>
          <cell r="K22" t="str">
            <v>-</v>
          </cell>
        </row>
        <row r="23">
          <cell r="C23">
            <v>-3.1327099571397843E-2</v>
          </cell>
          <cell r="D23">
            <v>-3.0103758779203717E-2</v>
          </cell>
          <cell r="E23">
            <v>-3.0265226037105204E-2</v>
          </cell>
          <cell r="F23" t="str">
            <v>-</v>
          </cell>
          <cell r="G23" t="str">
            <v>-</v>
          </cell>
          <cell r="H23" t="str">
            <v>-</v>
          </cell>
          <cell r="I23" t="str">
            <v>-</v>
          </cell>
          <cell r="J23" t="str">
            <v>-</v>
          </cell>
          <cell r="K23" t="str">
            <v>-</v>
          </cell>
        </row>
        <row r="24">
          <cell r="C24">
            <v>-2.4965937987831449E-2</v>
          </cell>
          <cell r="D24">
            <v>-2.8839197266342396E-2</v>
          </cell>
          <cell r="E24">
            <v>-2.5983160923187577E-2</v>
          </cell>
          <cell r="F24" t="str">
            <v>-</v>
          </cell>
          <cell r="G24" t="str">
            <v>-</v>
          </cell>
          <cell r="H24" t="str">
            <v>-</v>
          </cell>
          <cell r="I24" t="str">
            <v>-</v>
          </cell>
          <cell r="J24" t="str">
            <v>-</v>
          </cell>
          <cell r="K24" t="str">
            <v>-</v>
          </cell>
        </row>
        <row r="25">
          <cell r="C25">
            <v>-7.4455287472350473E-2</v>
          </cell>
          <cell r="D25">
            <v>-7.7156016606747327E-2</v>
          </cell>
          <cell r="E25">
            <v>-7.3652694040743802E-2</v>
          </cell>
          <cell r="F25" t="str">
            <v>-</v>
          </cell>
          <cell r="G25" t="str">
            <v>-</v>
          </cell>
          <cell r="H25" t="str">
            <v>-</v>
          </cell>
          <cell r="I25" t="str">
            <v>-</v>
          </cell>
          <cell r="J25" t="str">
            <v>-</v>
          </cell>
          <cell r="K25" t="str">
            <v>-</v>
          </cell>
        </row>
        <row r="26">
          <cell r="C26">
            <v>-2.137962455894896E-2</v>
          </cell>
          <cell r="D26">
            <v>-2.2091108465448889E-2</v>
          </cell>
          <cell r="E26">
            <v>-2.0690076286039496E-2</v>
          </cell>
          <cell r="F26" t="str">
            <v>-</v>
          </cell>
          <cell r="G26" t="str">
            <v>-</v>
          </cell>
          <cell r="H26" t="str">
            <v>-</v>
          </cell>
          <cell r="I26" t="str">
            <v>-</v>
          </cell>
          <cell r="J26" t="str">
            <v>-</v>
          </cell>
          <cell r="K26" t="str">
            <v>-</v>
          </cell>
        </row>
        <row r="27">
          <cell r="C27">
            <v>-2.2390030115783797E-2</v>
          </cell>
          <cell r="D27">
            <v>-2.001757588528218E-2</v>
          </cell>
          <cell r="E27">
            <v>-1.8742249213995629E-2</v>
          </cell>
          <cell r="F27" t="str">
            <v>-</v>
          </cell>
          <cell r="G27" t="str">
            <v>-</v>
          </cell>
          <cell r="H27" t="str">
            <v>-</v>
          </cell>
          <cell r="I27" t="str">
            <v>-</v>
          </cell>
          <cell r="J27" t="str">
            <v>-</v>
          </cell>
          <cell r="K27" t="str">
            <v>-</v>
          </cell>
        </row>
        <row r="28">
          <cell r="C28">
            <v>-2.4803781322733792E-2</v>
          </cell>
          <cell r="D28">
            <v>-2.4963197433261263E-2</v>
          </cell>
          <cell r="E28">
            <v>-2.1831033594850339E-2</v>
          </cell>
          <cell r="F28" t="str">
            <v>-</v>
          </cell>
          <cell r="G28" t="str">
            <v>-</v>
          </cell>
          <cell r="H28" t="str">
            <v>-</v>
          </cell>
          <cell r="I28" t="str">
            <v>-</v>
          </cell>
          <cell r="J28" t="str">
            <v>-</v>
          </cell>
          <cell r="K28" t="str">
            <v>-</v>
          </cell>
        </row>
        <row r="29">
          <cell r="C29">
            <v>-6.8573435997466542E-2</v>
          </cell>
          <cell r="D29">
            <v>-6.7071881783992329E-2</v>
          </cell>
          <cell r="E29">
            <v>-6.1263359094885464E-2</v>
          </cell>
          <cell r="F29" t="str">
            <v>-</v>
          </cell>
          <cell r="G29" t="str">
            <v>-</v>
          </cell>
          <cell r="H29" t="str">
            <v>-</v>
          </cell>
          <cell r="I29" t="str">
            <v>-</v>
          </cell>
          <cell r="J29" t="str">
            <v>-</v>
          </cell>
          <cell r="K29" t="str">
            <v>-</v>
          </cell>
        </row>
        <row r="30">
          <cell r="C30">
            <v>-2.4600730427884031E-2</v>
          </cell>
          <cell r="D30">
            <v>-2.2064276673672986E-2</v>
          </cell>
          <cell r="E30">
            <v>-2.0664460623038054E-2</v>
          </cell>
          <cell r="F30" t="str">
            <v>-</v>
          </cell>
          <cell r="G30" t="str">
            <v>-</v>
          </cell>
          <cell r="H30" t="str">
            <v>-</v>
          </cell>
          <cell r="I30" t="str">
            <v>-</v>
          </cell>
          <cell r="J30" t="str">
            <v>-</v>
          </cell>
          <cell r="K30" t="str">
            <v>-</v>
          </cell>
        </row>
        <row r="31">
          <cell r="C31">
            <v>-2.0917405491325015E-2</v>
          </cell>
          <cell r="D31">
            <v>-1.7058332382301891E-2</v>
          </cell>
          <cell r="E31">
            <v>-1.5870709918590086E-2</v>
          </cell>
          <cell r="F31" t="str">
            <v>-</v>
          </cell>
          <cell r="G31" t="str">
            <v>-</v>
          </cell>
          <cell r="H31" t="str">
            <v>-</v>
          </cell>
          <cell r="I31" t="str">
            <v>-</v>
          </cell>
          <cell r="J31" t="str">
            <v>-</v>
          </cell>
          <cell r="K31" t="str">
            <v>-</v>
          </cell>
        </row>
        <row r="32">
          <cell r="C32">
            <v>-2.7582026328206128E-2</v>
          </cell>
          <cell r="D32">
            <v>-2.3640970476249648E-2</v>
          </cell>
          <cell r="E32">
            <v>-2.4959263541636641E-2</v>
          </cell>
          <cell r="F32" t="str">
            <v>-</v>
          </cell>
          <cell r="G32" t="str">
            <v>-</v>
          </cell>
          <cell r="H32" t="str">
            <v>-</v>
          </cell>
          <cell r="I32" t="str">
            <v>-</v>
          </cell>
          <cell r="J32" t="str">
            <v>-</v>
          </cell>
          <cell r="K32" t="str">
            <v>-</v>
          </cell>
        </row>
        <row r="33">
          <cell r="C33">
            <v>-7.3100162247415168E-2</v>
          </cell>
          <cell r="D33">
            <v>-6.2763579532224528E-2</v>
          </cell>
          <cell r="E33">
            <v>-6.1494434083264785E-2</v>
          </cell>
          <cell r="F33" t="str">
            <v>-</v>
          </cell>
          <cell r="G33" t="str">
            <v>-</v>
          </cell>
          <cell r="H33" t="str">
            <v>-</v>
          </cell>
          <cell r="I33" t="str">
            <v>-</v>
          </cell>
          <cell r="J33" t="str">
            <v>-</v>
          </cell>
          <cell r="K33" t="str">
            <v>-</v>
          </cell>
        </row>
        <row r="34">
          <cell r="C34">
            <v>-2.5372092165898617E-2</v>
          </cell>
          <cell r="D34">
            <v>-2.3008249123530625E-2</v>
          </cell>
          <cell r="E34">
            <v>-1.3457358888693514E-2</v>
          </cell>
          <cell r="F34" t="str">
            <v>-</v>
          </cell>
          <cell r="G34" t="str">
            <v>-</v>
          </cell>
          <cell r="H34" t="str">
            <v>-</v>
          </cell>
          <cell r="I34" t="str">
            <v>-</v>
          </cell>
          <cell r="J34" t="str">
            <v>-</v>
          </cell>
          <cell r="K34" t="str">
            <v>-</v>
          </cell>
        </row>
        <row r="35">
          <cell r="C35">
            <v>-4.3523281105990783E-2</v>
          </cell>
          <cell r="D35">
            <v>-3.2046607547948032E-2</v>
          </cell>
          <cell r="E35">
            <v>-1.981536838403376E-2</v>
          </cell>
          <cell r="F35" t="str">
            <v>-</v>
          </cell>
          <cell r="G35" t="str">
            <v>-</v>
          </cell>
          <cell r="H35" t="str">
            <v>-</v>
          </cell>
          <cell r="I35" t="str">
            <v>-</v>
          </cell>
          <cell r="J35" t="str">
            <v>-</v>
          </cell>
          <cell r="K35" t="str">
            <v>-</v>
          </cell>
        </row>
        <row r="36">
          <cell r="C36">
            <v>-0.16110599078341015</v>
          </cell>
          <cell r="D36">
            <v>-4.4339038977108683E-2</v>
          </cell>
          <cell r="E36">
            <v>-0.20186390012308775</v>
          </cell>
          <cell r="F36" t="str">
            <v>-</v>
          </cell>
          <cell r="G36" t="str">
            <v>-</v>
          </cell>
          <cell r="H36" t="str">
            <v>-</v>
          </cell>
          <cell r="I36" t="str">
            <v>-</v>
          </cell>
          <cell r="J36" t="str">
            <v>-</v>
          </cell>
          <cell r="K36" t="str">
            <v>-</v>
          </cell>
        </row>
        <row r="37">
          <cell r="C37">
            <v>-0.23000136405529953</v>
          </cell>
          <cell r="D37">
            <v>-9.9393895648587346E-2</v>
          </cell>
          <cell r="E37">
            <v>-0.23513662739581501</v>
          </cell>
          <cell r="F37" t="str">
            <v>-</v>
          </cell>
          <cell r="G37" t="str">
            <v>-</v>
          </cell>
          <cell r="H37" t="str">
            <v>-</v>
          </cell>
          <cell r="I37" t="str">
            <v>-</v>
          </cell>
          <cell r="J37" t="str">
            <v>-</v>
          </cell>
          <cell r="K37" t="str">
            <v>-</v>
          </cell>
        </row>
        <row r="39">
          <cell r="C39">
            <v>-2.0204868304992421E-2</v>
          </cell>
          <cell r="D39">
            <v>-2.1141969974455409E-2</v>
          </cell>
          <cell r="E39">
            <v>-2.1189005286981859E-2</v>
          </cell>
          <cell r="F39">
            <v>-2.0893786433093711E-2</v>
          </cell>
          <cell r="G39">
            <v>-2.4006022271061325E-2</v>
          </cell>
          <cell r="H39">
            <v>-2.3402300073460697E-2</v>
          </cell>
          <cell r="I39">
            <v>-2.1875795380318901E-2</v>
          </cell>
          <cell r="J39">
            <v>-2.5808802466227677E-2</v>
          </cell>
          <cell r="K39">
            <v>-2.5430407817158537E-2</v>
          </cell>
        </row>
        <row r="40">
          <cell r="C40">
            <v>-2.4126439111717208E-2</v>
          </cell>
          <cell r="D40">
            <v>-2.1934430813977984E-2</v>
          </cell>
          <cell r="E40">
            <v>-2.1684621728920671E-2</v>
          </cell>
          <cell r="F40">
            <v>-2.4096465801980944E-2</v>
          </cell>
          <cell r="G40">
            <v>-2.6116118878014929E-2</v>
          </cell>
          <cell r="H40">
            <v>-2.3288554299226945E-2</v>
          </cell>
          <cell r="I40">
            <v>-2.169630449935956E-2</v>
          </cell>
          <cell r="J40">
            <v>-2.5250561481074827E-2</v>
          </cell>
          <cell r="K40">
            <v>-2.3156890841033406E-2</v>
          </cell>
        </row>
        <row r="41">
          <cell r="C41">
            <v>-3.1624544717399082E-2</v>
          </cell>
          <cell r="D41">
            <v>-3.2450937054912775E-2</v>
          </cell>
          <cell r="E41">
            <v>-3.3086611697349215E-2</v>
          </cell>
          <cell r="F41">
            <v>-2.969918090992036E-2</v>
          </cell>
          <cell r="G41">
            <v>-4.0756207577532406E-2</v>
          </cell>
          <cell r="H41">
            <v>-3.0068687673297366E-2</v>
          </cell>
          <cell r="I41">
            <v>-2.9199776292361482E-2</v>
          </cell>
          <cell r="J41">
            <v>-3.2938675835168969E-2</v>
          </cell>
          <cell r="K41">
            <v>-3.2349793050861247E-2</v>
          </cell>
        </row>
        <row r="42">
          <cell r="C42">
            <v>-7.5955852134108715E-2</v>
          </cell>
          <cell r="D42">
            <v>-7.5527337843346171E-2</v>
          </cell>
          <cell r="E42">
            <v>-7.5960238713251749E-2</v>
          </cell>
          <cell r="F42">
            <v>-7.4689433144995029E-2</v>
          </cell>
          <cell r="G42">
            <v>-9.0878348726608646E-2</v>
          </cell>
          <cell r="H42">
            <v>-7.6759542045985008E-2</v>
          </cell>
          <cell r="I42">
            <v>-7.2771876172039937E-2</v>
          </cell>
          <cell r="J42">
            <v>-8.3998039782471487E-2</v>
          </cell>
          <cell r="K42">
            <v>-8.093709170905318E-2</v>
          </cell>
        </row>
        <row r="44">
          <cell r="C44">
            <v>-2.0349569147530968E-2</v>
          </cell>
          <cell r="D44">
            <v>-2.1135728098730443E-2</v>
          </cell>
          <cell r="E44">
            <v>-2.1234154548486501E-2</v>
          </cell>
          <cell r="F44">
            <v>-2.1258803906624039E-2</v>
          </cell>
          <cell r="G44">
            <v>-2.3617142507699137E-2</v>
          </cell>
          <cell r="H44">
            <v>-2.3399092241414728E-2</v>
          </cell>
          <cell r="I44">
            <v>-2.170056022503522E-2</v>
          </cell>
          <cell r="J44">
            <v>-2.5704915730736012E-2</v>
          </cell>
          <cell r="K44">
            <v>-2.4257661083292237E-2</v>
          </cell>
        </row>
        <row r="45">
          <cell r="C45">
            <v>-2.3098632230759964E-2</v>
          </cell>
          <cell r="D45">
            <v>-2.0640840485137812E-2</v>
          </cell>
          <cell r="E45">
            <v>-2.1261111479173631E-2</v>
          </cell>
          <cell r="F45">
            <v>-2.3946638598657841E-2</v>
          </cell>
          <cell r="G45">
            <v>-2.5172606413857074E-2</v>
          </cell>
          <cell r="H45">
            <v>-2.2667083002193267E-2</v>
          </cell>
          <cell r="I45">
            <v>-2.126130263693677E-2</v>
          </cell>
          <cell r="J45">
            <v>-2.5796895611099189E-2</v>
          </cell>
          <cell r="K45">
            <v>-2.3510064286741812E-2</v>
          </cell>
        </row>
        <row r="46">
          <cell r="C46">
            <v>-2.643250748360013E-2</v>
          </cell>
          <cell r="D46">
            <v>-2.728890553393996E-2</v>
          </cell>
          <cell r="E46">
            <v>-2.7876675050829799E-2</v>
          </cell>
          <cell r="F46">
            <v>-2.6585275433128722E-2</v>
          </cell>
          <cell r="G46">
            <v>-3.8415658047403996E-2</v>
          </cell>
          <cell r="H46">
            <v>-2.813367788560265E-2</v>
          </cell>
          <cell r="I46">
            <v>-2.6065391272481624E-2</v>
          </cell>
          <cell r="J46">
            <v>-3.037886940130451E-2</v>
          </cell>
          <cell r="K46">
            <v>-3.1326589550222016E-2</v>
          </cell>
        </row>
        <row r="47">
          <cell r="C47">
            <v>-6.9880708861891058E-2</v>
          </cell>
          <cell r="D47">
            <v>-6.9065474117808209E-2</v>
          </cell>
          <cell r="E47">
            <v>-7.037194107848993E-2</v>
          </cell>
          <cell r="F47">
            <v>-7.1790717938410603E-2</v>
          </cell>
          <cell r="G47">
            <v>-8.7205406968960203E-2</v>
          </cell>
          <cell r="H47">
            <v>-7.4199853129210638E-2</v>
          </cell>
          <cell r="I47">
            <v>-6.9027254134453611E-2</v>
          </cell>
          <cell r="J47">
            <v>-8.1880680743139728E-2</v>
          </cell>
          <cell r="K47">
            <v>-7.9094314920256051E-2</v>
          </cell>
        </row>
        <row r="48">
          <cell r="H48">
            <v>-1.8664675567714284E-2</v>
          </cell>
          <cell r="I48">
            <v>-1.7936632775112864E-2</v>
          </cell>
          <cell r="J48">
            <v>-2.1910975001744576E-2</v>
          </cell>
          <cell r="K48">
            <v>-2.2942037283184013E-2</v>
          </cell>
        </row>
        <row r="49">
          <cell r="H49">
            <v>-1.6537609789407087E-2</v>
          </cell>
          <cell r="I49">
            <v>-1.5923909395102034E-2</v>
          </cell>
          <cell r="J49">
            <v>-2.1966390427678079E-2</v>
          </cell>
          <cell r="K49">
            <v>-2.0879710943173729E-2</v>
          </cell>
        </row>
        <row r="50">
          <cell r="H50">
            <v>-2.5550622212793875E-2</v>
          </cell>
          <cell r="I50">
            <v>-2.4245856658177804E-2</v>
          </cell>
          <cell r="J50">
            <v>-2.7814841312102441E-2</v>
          </cell>
          <cell r="K50">
            <v>-3.0260216820073668E-2</v>
          </cell>
        </row>
        <row r="51">
          <cell r="H51">
            <v>-6.0752907569915242E-2</v>
          </cell>
          <cell r="I51">
            <v>-5.8106398828392698E-2</v>
          </cell>
          <cell r="J51">
            <v>-7.16922067415251E-2</v>
          </cell>
          <cell r="K51">
            <v>-7.40819650464314E-2</v>
          </cell>
        </row>
        <row r="52">
          <cell r="H52">
            <v>-3.3048896437313291E-2</v>
          </cell>
          <cell r="I52">
            <v>-3.0077157825140172E-2</v>
          </cell>
          <cell r="J52">
            <v>-3.4530873461410823E-2</v>
          </cell>
          <cell r="K52">
            <v>-2.6748237267633562E-2</v>
          </cell>
        </row>
        <row r="53">
          <cell r="H53">
            <v>-3.5160325655709312E-2</v>
          </cell>
          <cell r="I53">
            <v>-3.3139638767270899E-2</v>
          </cell>
          <cell r="J53">
            <v>-3.470791432514031E-2</v>
          </cell>
          <cell r="K53">
            <v>-2.9237914097951585E-2</v>
          </cell>
        </row>
        <row r="54">
          <cell r="H54">
            <v>-3.3398525318270082E-2</v>
          </cell>
          <cell r="I54">
            <v>-3.0114754467247668E-2</v>
          </cell>
          <cell r="J54">
            <v>-3.6343644592079873E-2</v>
          </cell>
          <cell r="K54">
            <v>-3.3961427764030015E-2</v>
          </cell>
        </row>
        <row r="55">
          <cell r="H55">
            <v>-0.10160774741129269</v>
          </cell>
          <cell r="I55">
            <v>-9.3331551059658749E-2</v>
          </cell>
          <cell r="J55">
            <v>-0.10558243237863101</v>
          </cell>
          <cell r="K55">
            <v>-8.9947579129615166E-2</v>
          </cell>
        </row>
        <row r="56">
          <cell r="K56">
            <v>-2.4257661083292237E-2</v>
          </cell>
        </row>
        <row r="57">
          <cell r="K57">
            <v>-2.3510064286741812E-2</v>
          </cell>
        </row>
        <row r="58">
          <cell r="K58">
            <v>-3.1326589550222016E-2</v>
          </cell>
        </row>
        <row r="59">
          <cell r="K59">
            <v>-7.9094314920256051E-2</v>
          </cell>
        </row>
        <row r="61">
          <cell r="C61">
            <v>-2.0195188563547357E-2</v>
          </cell>
          <cell r="D61">
            <v>-2.1870372307793828E-2</v>
          </cell>
          <cell r="E61">
            <v>-2.0972748603538396E-2</v>
          </cell>
          <cell r="F61">
            <v>-2.1562296787370577E-2</v>
          </cell>
          <cell r="G61">
            <v>-2.9157920213327328E-2</v>
          </cell>
          <cell r="H61">
            <v>-2.3340352070747195E-2</v>
          </cell>
          <cell r="I61">
            <v>-2.4366458572913637E-2</v>
          </cell>
          <cell r="J61">
            <v>-3.1399691917914523E-2</v>
          </cell>
          <cell r="K61">
            <v>-3.4684106395824296E-2</v>
          </cell>
        </row>
        <row r="62">
          <cell r="C62">
            <v>-2.1901696270227082E-2</v>
          </cell>
          <cell r="D62">
            <v>-1.8601849055973656E-2</v>
          </cell>
          <cell r="E62">
            <v>-1.8423520640915372E-2</v>
          </cell>
          <cell r="F62">
            <v>-2.0475788827735087E-2</v>
          </cell>
          <cell r="G62">
            <v>-2.7588605865712199E-2</v>
          </cell>
          <cell r="H62">
            <v>-2.056303708610999E-2</v>
          </cell>
          <cell r="I62">
            <v>-2.1810280562737309E-2</v>
          </cell>
          <cell r="J62">
            <v>-2.3463115732669397E-2</v>
          </cell>
          <cell r="K62">
            <v>-2.1533881676511941E-2</v>
          </cell>
        </row>
        <row r="63">
          <cell r="C63">
            <v>-3.2388768272685269E-2</v>
          </cell>
          <cell r="D63">
            <v>-3.3620633454870659E-2</v>
          </cell>
          <cell r="E63">
            <v>-3.8628287641278243E-2</v>
          </cell>
          <cell r="F63">
            <v>-3.3431526880513089E-2</v>
          </cell>
          <cell r="G63">
            <v>-4.9979429580147942E-2</v>
          </cell>
          <cell r="H63">
            <v>-3.3278048445277882E-2</v>
          </cell>
          <cell r="I63">
            <v>-3.8253683664741238E-2</v>
          </cell>
          <cell r="J63">
            <v>-4.2210714422926475E-2</v>
          </cell>
          <cell r="K63">
            <v>-3.2724790020568356E-2</v>
          </cell>
        </row>
        <row r="64">
          <cell r="C64">
            <v>-7.4485653106459715E-2</v>
          </cell>
          <cell r="D64">
            <v>-7.4092854818638157E-2</v>
          </cell>
          <cell r="E64">
            <v>-7.802455688573201E-2</v>
          </cell>
          <cell r="F64">
            <v>-7.5469612495618746E-2</v>
          </cell>
          <cell r="G64">
            <v>-0.10672595565918748</v>
          </cell>
          <cell r="H64">
            <v>-7.718143760213507E-2</v>
          </cell>
          <cell r="I64">
            <v>-8.4430422800392174E-2</v>
          </cell>
          <cell r="J64">
            <v>-9.7073522073510388E-2</v>
          </cell>
          <cell r="K64">
            <v>-8.8942778092904587E-2</v>
          </cell>
        </row>
        <row r="65">
          <cell r="K65">
            <v>-3.4684106395824296E-2</v>
          </cell>
        </row>
        <row r="66">
          <cell r="K66">
            <v>-2.1533881676511941E-2</v>
          </cell>
        </row>
        <row r="67">
          <cell r="K67">
            <v>-3.2724790020568356E-2</v>
          </cell>
        </row>
        <row r="68">
          <cell r="K68">
            <v>-8.8942778092904587E-2</v>
          </cell>
        </row>
        <row r="69">
          <cell r="K69">
            <v>-3.4684106395824296E-2</v>
          </cell>
        </row>
        <row r="70">
          <cell r="K70">
            <v>-2.1533881676511941E-2</v>
          </cell>
        </row>
        <row r="71">
          <cell r="K71">
            <v>-3.2724790020568356E-2</v>
          </cell>
        </row>
        <row r="72">
          <cell r="K72">
            <v>-8.8942778092904587E-2</v>
          </cell>
        </row>
        <row r="73">
          <cell r="K73">
            <v>-3.4684106395824296E-2</v>
          </cell>
        </row>
        <row r="74">
          <cell r="K74">
            <v>-2.1533881676511941E-2</v>
          </cell>
        </row>
        <row r="75">
          <cell r="K75">
            <v>-3.2724790020568356E-2</v>
          </cell>
        </row>
        <row r="76">
          <cell r="K76">
            <v>-8.8942778092904587E-2</v>
          </cell>
        </row>
        <row r="78">
          <cell r="F78">
            <v>-1.7225232813759046E-2</v>
          </cell>
          <cell r="G78">
            <v>-2.1480108594860346E-2</v>
          </cell>
          <cell r="H78">
            <v>-2.3506881703153869E-2</v>
          </cell>
          <cell r="I78">
            <v>-2.0031855828910854E-2</v>
          </cell>
          <cell r="J78">
            <v>-1.9915688556705349E-2</v>
          </cell>
          <cell r="K78">
            <v>-2.2075374010325118E-2</v>
          </cell>
        </row>
        <row r="79">
          <cell r="F79">
            <v>-2.9841978177585847E-2</v>
          </cell>
          <cell r="G79">
            <v>-3.1610213330158711E-2</v>
          </cell>
          <cell r="H79">
            <v>-3.1644263247019612E-2</v>
          </cell>
          <cell r="I79">
            <v>-2.5114513133870642E-2</v>
          </cell>
          <cell r="J79">
            <v>-2.3399148258717514E-2</v>
          </cell>
          <cell r="K79">
            <v>-2.2704932957110253E-2</v>
          </cell>
        </row>
        <row r="80">
          <cell r="F80">
            <v>-4.9040597770072664E-2</v>
          </cell>
          <cell r="G80">
            <v>-4.8514086198301325E-2</v>
          </cell>
          <cell r="H80">
            <v>-4.1074150105510847E-2</v>
          </cell>
          <cell r="I80">
            <v>-4.2983102713581509E-2</v>
          </cell>
          <cell r="J80">
            <v>-4.0546384237214406E-2</v>
          </cell>
          <cell r="K80">
            <v>-3.9096532090425011E-2</v>
          </cell>
        </row>
        <row r="81">
          <cell r="F81">
            <v>-9.6107808761417543E-2</v>
          </cell>
          <cell r="G81">
            <v>-0.10160440812332039</v>
          </cell>
          <cell r="H81">
            <v>-9.6225295055684321E-2</v>
          </cell>
          <cell r="I81">
            <v>-8.8129471676362994E-2</v>
          </cell>
          <cell r="J81">
            <v>-8.3861221052637255E-2</v>
          </cell>
          <cell r="K81">
            <v>-8.3876839057860392E-2</v>
          </cell>
        </row>
        <row r="82">
          <cell r="C82">
            <v>-1.9367055897822717E-2</v>
          </cell>
          <cell r="D82">
            <v>-2.1103095779541343E-2</v>
          </cell>
          <cell r="E82">
            <v>-2.306554964725669E-2</v>
          </cell>
          <cell r="F82">
            <v>-1.7688646935724139E-2</v>
          </cell>
          <cell r="G82">
            <v>-2.1934804223990311E-2</v>
          </cell>
          <cell r="H82">
            <v>-2.5198867894066043E-2</v>
          </cell>
          <cell r="I82">
            <v>-2.141094934318355E-2</v>
          </cell>
          <cell r="J82">
            <v>-2.0255396733631144E-2</v>
          </cell>
          <cell r="K82">
            <v>-2.2566754851168106E-2</v>
          </cell>
        </row>
        <row r="83">
          <cell r="C83">
            <v>-3.6311046652681048E-2</v>
          </cell>
          <cell r="D83">
            <v>-3.0895418585394002E-2</v>
          </cell>
          <cell r="E83">
            <v>-3.0049570025455247E-2</v>
          </cell>
          <cell r="F83">
            <v>-2.9305095980813597E-2</v>
          </cell>
          <cell r="G83">
            <v>-3.3890962490179824E-2</v>
          </cell>
          <cell r="H83">
            <v>-3.4805389366410061E-2</v>
          </cell>
          <cell r="I83">
            <v>-2.7622107838449823E-2</v>
          </cell>
          <cell r="J83">
            <v>-2.5870681016997767E-2</v>
          </cell>
          <cell r="K83">
            <v>-2.520479592348137E-2</v>
          </cell>
        </row>
        <row r="84">
          <cell r="C84">
            <v>-6.8688003690391991E-2</v>
          </cell>
          <cell r="D84">
            <v>-6.5918444369191254E-2</v>
          </cell>
          <cell r="E84">
            <v>-6.4228609339234119E-2</v>
          </cell>
          <cell r="F84">
            <v>-3.7227538225996178E-2</v>
          </cell>
          <cell r="G84">
            <v>-4.2675982190657498E-2</v>
          </cell>
          <cell r="H84">
            <v>-3.2475569585037042E-2</v>
          </cell>
          <cell r="I84">
            <v>-3.2941984070579244E-2</v>
          </cell>
          <cell r="J84">
            <v>-3.1900942562200253E-2</v>
          </cell>
          <cell r="K84">
            <v>-3.652630345786425E-2</v>
          </cell>
        </row>
        <row r="85">
          <cell r="C85">
            <v>-0.12436610624089575</v>
          </cell>
          <cell r="D85">
            <v>-0.1179169587341266</v>
          </cell>
          <cell r="E85">
            <v>-0.11734372901194606</v>
          </cell>
          <cell r="F85">
            <v>-8.422128114253391E-2</v>
          </cell>
          <cell r="G85">
            <v>-9.850174890482763E-2</v>
          </cell>
          <cell r="H85">
            <v>-9.2479826845513147E-2</v>
          </cell>
          <cell r="I85">
            <v>-8.1975041252212624E-2</v>
          </cell>
          <cell r="J85">
            <v>-7.8027020312829168E-2</v>
          </cell>
          <cell r="K85">
            <v>-8.4297854232513722E-2</v>
          </cell>
        </row>
        <row r="87">
          <cell r="C87">
            <v>-1.8003182742498774E-2</v>
          </cell>
          <cell r="D87">
            <v>-1.8434457331215473E-2</v>
          </cell>
          <cell r="E87">
            <v>-1.6951891586783136E-2</v>
          </cell>
          <cell r="F87">
            <v>-1.622103005058927E-2</v>
          </cell>
          <cell r="G87">
            <v>-2.0564729033644497E-2</v>
          </cell>
          <cell r="H87">
            <v>-1.9922284775195316E-2</v>
          </cell>
          <cell r="I87">
            <v>-1.7234837759532457E-2</v>
          </cell>
          <cell r="J87">
            <v>-1.9135771068642605E-2</v>
          </cell>
          <cell r="K87">
            <v>-2.099257423532154E-2</v>
          </cell>
        </row>
        <row r="88">
          <cell r="C88">
            <v>-3.4050817680894137E-2</v>
          </cell>
          <cell r="D88">
            <v>-5.2736197110738993E-2</v>
          </cell>
          <cell r="E88">
            <v>-2.8507741906401533E-2</v>
          </cell>
          <cell r="F88">
            <v>-3.1005383779489248E-2</v>
          </cell>
          <cell r="G88">
            <v>-2.7018677736692937E-2</v>
          </cell>
          <cell r="H88">
            <v>-2.4947185553762755E-2</v>
          </cell>
          <cell r="I88">
            <v>-2.0028717553804781E-2</v>
          </cell>
          <cell r="J88">
            <v>-1.7724890906579124E-2</v>
          </cell>
          <cell r="K88">
            <v>-1.719627076978782E-2</v>
          </cell>
        </row>
        <row r="89">
          <cell r="C89">
            <v>-9.2379745975537567E-2</v>
          </cell>
          <cell r="D89">
            <v>-0.10156387588705039</v>
          </cell>
          <cell r="E89">
            <v>-8.5768494166058043E-2</v>
          </cell>
          <cell r="F89">
            <v>-7.4639099139316975E-2</v>
          </cell>
          <cell r="G89">
            <v>-6.0267181549305979E-2</v>
          </cell>
          <cell r="H89">
            <v>-5.929087402680825E-2</v>
          </cell>
          <cell r="I89">
            <v>-6.3348067083717929E-2</v>
          </cell>
          <cell r="J89">
            <v>-6.0394982570609386E-2</v>
          </cell>
          <cell r="K89">
            <v>-4.4760251050794224E-2</v>
          </cell>
        </row>
        <row r="90">
          <cell r="C90">
            <v>-0.1444337463989305</v>
          </cell>
          <cell r="D90">
            <v>-0.17273453032900485</v>
          </cell>
          <cell r="E90">
            <v>-0.13122812765924272</v>
          </cell>
          <cell r="F90">
            <v>-0.12186551296939549</v>
          </cell>
          <cell r="G90">
            <v>-0.10785058831964341</v>
          </cell>
          <cell r="H90">
            <v>-0.10416034435576631</v>
          </cell>
          <cell r="I90">
            <v>-0.10061162239705518</v>
          </cell>
          <cell r="J90">
            <v>-9.7255644545831119E-2</v>
          </cell>
          <cell r="K90">
            <v>-8.2949096055903587E-2</v>
          </cell>
        </row>
        <row r="92">
          <cell r="C92">
            <v>-2.0532322665853749E-2</v>
          </cell>
          <cell r="D92">
            <v>-2.1274563517325835E-2</v>
          </cell>
          <cell r="E92">
            <v>-2.0809954444023504E-2</v>
          </cell>
          <cell r="F92">
            <v>-2.058291644372329E-2</v>
          </cell>
          <cell r="G92">
            <v>-2.4348082874399615E-2</v>
          </cell>
          <cell r="H92">
            <v>-2.5082480696109605E-2</v>
          </cell>
          <cell r="I92">
            <v>-2.2632229355862673E-2</v>
          </cell>
          <cell r="J92">
            <v>-2.795917141756139E-2</v>
          </cell>
          <cell r="K92">
            <v>-2.3082650057728912E-2</v>
          </cell>
        </row>
        <row r="93">
          <cell r="C93">
            <v>-2.403195111358777E-2</v>
          </cell>
          <cell r="D93">
            <v>-2.1724715338330928E-2</v>
          </cell>
          <cell r="E93">
            <v>-2.1080861183980604E-2</v>
          </cell>
          <cell r="F93">
            <v>-2.3443742196700826E-2</v>
          </cell>
          <cell r="G93">
            <v>-2.5593010397182481E-2</v>
          </cell>
          <cell r="H93">
            <v>-2.3635654591650422E-2</v>
          </cell>
          <cell r="I93">
            <v>-2.171501758912333E-2</v>
          </cell>
          <cell r="J93">
            <v>-2.4260115471121824E-2</v>
          </cell>
          <cell r="K93">
            <v>-2.0974506741619787E-2</v>
          </cell>
        </row>
        <row r="94">
          <cell r="C94">
            <v>-2.9447666383206755E-2</v>
          </cell>
          <cell r="D94">
            <v>-2.9914820032840961E-2</v>
          </cell>
          <cell r="E94">
            <v>-2.9381576738451754E-2</v>
          </cell>
          <cell r="F94">
            <v>-2.846604644537927E-2</v>
          </cell>
          <cell r="G94">
            <v>-3.5293637042780414E-2</v>
          </cell>
          <cell r="H94">
            <v>-2.8544833661877097E-2</v>
          </cell>
          <cell r="I94">
            <v>-2.7382537942859487E-2</v>
          </cell>
          <cell r="J94">
            <v>-2.9843463171644734E-2</v>
          </cell>
          <cell r="K94">
            <v>-3.0003247778416911E-2</v>
          </cell>
        </row>
        <row r="95">
          <cell r="C95">
            <v>-7.4011940162648268E-2</v>
          </cell>
          <cell r="D95">
            <v>-7.291409888849773E-2</v>
          </cell>
          <cell r="E95">
            <v>-7.1272392366455856E-2</v>
          </cell>
          <cell r="F95">
            <v>-7.2492705085803383E-2</v>
          </cell>
          <cell r="G95">
            <v>-8.5234730314362503E-2</v>
          </cell>
          <cell r="H95">
            <v>-7.7262968949637134E-2</v>
          </cell>
          <cell r="I95">
            <v>-7.1729784887845496E-2</v>
          </cell>
          <cell r="J95">
            <v>-8.2062750060327955E-2</v>
          </cell>
          <cell r="K95">
            <v>-7.4060404577765609E-2</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euil"/>
      <sheetName val="ESQUEMA"/>
      <sheetName val="OVL SANTA FE"/>
      <sheetName val="PERSONAL"/>
      <sheetName val="GASTOS GENERALES"/>
      <sheetName val="RESUMEN GASTOS"/>
      <sheetName val="CPTE EXPLOITATION"/>
      <sheetName val="DetalleAduana"/>
      <sheetName val="Total por Actividad"/>
      <sheetName val="DetalleCordoba"/>
      <sheetName val="DetalleGarin"/>
      <sheetName val="DetalleILI"/>
      <sheetName val="DetalleRMLAP"/>
      <sheetName val="DetalleRMA"/>
      <sheetName val="Subtotal"/>
      <sheetName val="DetalleMadero"/>
      <sheetName val="DetalleMateriales"/>
      <sheetName val="DetallePacheco"/>
      <sheetName val="DetalleRepuestos"/>
      <sheetName val="DetalleRosario"/>
      <sheetName val="DetalleVehiculo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Notice Fiche de synthèse"/>
      <sheetName val="Fiche de synthèse - Projet SI"/>
      <sheetName val="Notice Bilan économique"/>
      <sheetName val="Détail et hypothèses"/>
      <sheetName val="Synthèse bilan économique"/>
      <sheetName val="CF&amp;VAN"/>
      <sheetName val="Risques"/>
      <sheetName val="Références"/>
    </sheetNames>
    <sheetDataSet>
      <sheetData sheetId="0" refreshError="1"/>
      <sheetData sheetId="1" refreshError="1"/>
      <sheetData sheetId="2" refreshError="1"/>
      <sheetData sheetId="3" refreshError="1"/>
      <sheetData sheetId="4" refreshError="1"/>
      <sheetData sheetId="5">
        <row r="5">
          <cell r="B5" t="str">
            <v xml:space="preserve">en K€ </v>
          </cell>
          <cell r="C5">
            <v>0</v>
          </cell>
          <cell r="D5">
            <v>1</v>
          </cell>
          <cell r="E5">
            <v>2</v>
          </cell>
          <cell r="F5">
            <v>3</v>
          </cell>
          <cell r="G5">
            <v>4</v>
          </cell>
          <cell r="H5">
            <v>5</v>
          </cell>
          <cell r="I5" t="str">
            <v>TOTAL</v>
          </cell>
        </row>
        <row r="19">
          <cell r="D19">
            <v>0.17</v>
          </cell>
        </row>
      </sheetData>
      <sheetData sheetId="6" refreshError="1"/>
      <sheetData sheetId="7">
        <row r="1">
          <cell r="A1" t="str">
            <v>investissements &gt; 500 K€</v>
          </cell>
          <cell r="C1" t="str">
            <v>FVL</v>
          </cell>
          <cell r="D1" t="str">
            <v>Global</v>
          </cell>
        </row>
        <row r="2">
          <cell r="A2" t="str">
            <v>150 K€ &lt; investissements &gt; 500 K€</v>
          </cell>
          <cell r="C2" t="str">
            <v>CTP</v>
          </cell>
          <cell r="D2" t="str">
            <v>Responsable/Responsible</v>
          </cell>
        </row>
        <row r="3">
          <cell r="A3" t="str">
            <v>investissements &lt; 150 K€</v>
          </cell>
          <cell r="C3" t="str">
            <v>DIV</v>
          </cell>
          <cell r="D3" t="str">
            <v>Majeur/Major</v>
          </cell>
        </row>
        <row r="4">
          <cell r="A4" t="str">
            <v>bail immobilier &gt; 500 K€</v>
          </cell>
          <cell r="C4" t="str">
            <v>GMO</v>
          </cell>
          <cell r="D4" t="str">
            <v>Efficace/Efficient</v>
          </cell>
        </row>
        <row r="5">
          <cell r="A5" t="str">
            <v>bail immobilier &lt; 500 K€</v>
          </cell>
          <cell r="C5" t="str">
            <v>OVL</v>
          </cell>
        </row>
        <row r="6">
          <cell r="A6" t="str">
            <v>projet informatique &gt; 500 K€</v>
          </cell>
          <cell r="C6" t="str">
            <v>OVS</v>
          </cell>
        </row>
        <row r="7">
          <cell r="A7" t="str">
            <v>150 K€ &lt; projet informatique &gt; 500 K€</v>
          </cell>
          <cell r="C7" t="str">
            <v>WRP</v>
          </cell>
        </row>
        <row r="8">
          <cell r="A8" t="str">
            <v>projet informatique  &lt; 150 K€</v>
          </cell>
          <cell r="C8" t="str">
            <v>DSI</v>
          </cell>
        </row>
        <row r="9">
          <cell r="A9" t="str">
            <v>location matériel transport &gt; 500 K€</v>
          </cell>
          <cell r="C9" t="str">
            <v>DRH</v>
          </cell>
        </row>
        <row r="10">
          <cell r="A10" t="str">
            <v>location matériel transport &lt; 500 K€</v>
          </cell>
          <cell r="C10" t="str">
            <v>Multi UO</v>
          </cell>
        </row>
        <row r="11">
          <cell r="A11" t="str">
            <v>Croissance externe</v>
          </cell>
          <cell r="C11" t="str">
            <v>C&amp;T</v>
          </cell>
        </row>
        <row r="12">
          <cell r="A12" t="str">
            <v>Croissance interne (Filiale)</v>
          </cell>
        </row>
        <row r="13">
          <cell r="A13" t="str">
            <v>Croissance interne (Agence)</v>
          </cell>
        </row>
        <row r="14">
          <cell r="A14" t="str">
            <v>Dossier stratégique client</v>
          </cell>
        </row>
        <row r="15">
          <cell r="A15" t="str">
            <v>Dossier stratégique fournisseur</v>
          </cell>
        </row>
        <row r="16">
          <cell r="A16" t="str">
            <v>Dossier stratégique multimodal</v>
          </cell>
        </row>
        <row r="17">
          <cell r="A17" t="str">
            <v>Cession site</v>
          </cell>
        </row>
        <row r="18">
          <cell r="A18" t="str">
            <v>Cession biens &gt; 500K€</v>
          </cell>
        </row>
        <row r="19">
          <cell r="A19" t="str">
            <v>150 K€ &lt; Cession biens &gt; 500K€</v>
          </cell>
        </row>
        <row r="20">
          <cell r="A20" t="str">
            <v>Cession biens &lt; 150K€</v>
          </cell>
          <cell r="C20" t="str">
            <v>Etude / Study</v>
          </cell>
        </row>
        <row r="21">
          <cell r="A21" t="str">
            <v>investments &gt; 500 K€</v>
          </cell>
          <cell r="C21" t="str">
            <v>Réalisation/Realisation</v>
          </cell>
        </row>
        <row r="22">
          <cell r="A22" t="str">
            <v>150 K€ &lt; investments &gt; 500 K€</v>
          </cell>
          <cell r="C22" t="str">
            <v>Déploiement/Deployment</v>
          </cell>
        </row>
        <row r="23">
          <cell r="A23" t="str">
            <v>investments &lt; 150 K€</v>
          </cell>
          <cell r="C23" t="str">
            <v>Evolution</v>
          </cell>
        </row>
        <row r="24">
          <cell r="A24" t="str">
            <v>building rent &gt; 500 K€</v>
          </cell>
          <cell r="C24" t="str">
            <v>Renouvellement/Renewal</v>
          </cell>
        </row>
        <row r="25">
          <cell r="A25" t="str">
            <v>building rent &lt; 500 K€</v>
          </cell>
          <cell r="C25" t="str">
            <v>Croissance/Growth</v>
          </cell>
        </row>
        <row r="26">
          <cell r="A26" t="str">
            <v>IT project &gt; 500 K€</v>
          </cell>
          <cell r="C26" t="str">
            <v>Normalisation/Normalization</v>
          </cell>
        </row>
        <row r="27">
          <cell r="A27" t="str">
            <v>150 K€ &lt; IT Project &gt; 500 K€</v>
          </cell>
          <cell r="C27" t="str">
            <v>Environnement/Environment</v>
          </cell>
        </row>
        <row r="28">
          <cell r="A28" t="str">
            <v>IT project  &lt; 150 K€</v>
          </cell>
        </row>
        <row r="29">
          <cell r="A29" t="str">
            <v>equipment rent &gt; 500 K€</v>
          </cell>
        </row>
        <row r="30">
          <cell r="A30" t="str">
            <v>equipment rent &lt; 500 K€</v>
          </cell>
        </row>
        <row r="31">
          <cell r="A31" t="str">
            <v>External growth</v>
          </cell>
        </row>
        <row r="32">
          <cell r="A32" t="str">
            <v>Internal growth (Subsidiary)</v>
          </cell>
        </row>
        <row r="33">
          <cell r="A33" t="str">
            <v>Internal growth (Depot)</v>
          </cell>
        </row>
        <row r="34">
          <cell r="A34" t="str">
            <v>Customer strategic project</v>
          </cell>
        </row>
        <row r="35">
          <cell r="A35" t="str">
            <v>Supplier strategic project</v>
          </cell>
        </row>
        <row r="36">
          <cell r="A36" t="str">
            <v xml:space="preserve">Multimodal strategic project </v>
          </cell>
        </row>
        <row r="37">
          <cell r="A37" t="str">
            <v>Sites sales</v>
          </cell>
        </row>
        <row r="38">
          <cell r="A38" t="str">
            <v>Shares sales</v>
          </cell>
        </row>
        <row r="39">
          <cell r="A39" t="str">
            <v>Asset sales &gt; 500K€</v>
          </cell>
        </row>
        <row r="40">
          <cell r="A40" t="str">
            <v>150 K€ &lt; Asset sales &gt; 500K€</v>
          </cell>
        </row>
        <row r="41">
          <cell r="A41" t="str">
            <v>Asset sales &lt; 150K€</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ASTOS ENERO"/>
      <sheetName val="RESUMEN GASTOS"/>
      <sheetName val="19.AnalisiScost OUTLOOK"/>
    </sheetNames>
    <sheetDataSet>
      <sheetData sheetId="0" refreshError="1">
        <row r="1">
          <cell r="B1" t="str">
            <v>Fecha asiento</v>
          </cell>
          <cell r="C1" t="str">
            <v>Cuenta contable</v>
          </cell>
          <cell r="D1" t="str">
            <v>importe</v>
          </cell>
        </row>
        <row r="2">
          <cell r="B2">
            <v>35809</v>
          </cell>
          <cell r="C2" t="str">
            <v>135000</v>
          </cell>
          <cell r="D2">
            <v>721.68</v>
          </cell>
        </row>
        <row r="3">
          <cell r="B3">
            <v>35816</v>
          </cell>
          <cell r="C3" t="str">
            <v>135000</v>
          </cell>
          <cell r="D3">
            <v>78</v>
          </cell>
        </row>
        <row r="4">
          <cell r="B4">
            <v>35821</v>
          </cell>
          <cell r="C4" t="str">
            <v>135000</v>
          </cell>
          <cell r="D4">
            <v>65</v>
          </cell>
        </row>
        <row r="5">
          <cell r="B5">
            <v>35821</v>
          </cell>
          <cell r="C5" t="str">
            <v>139200</v>
          </cell>
          <cell r="D5">
            <v>5400.43</v>
          </cell>
        </row>
        <row r="6">
          <cell r="B6">
            <v>35809</v>
          </cell>
          <cell r="C6" t="str">
            <v>811212</v>
          </cell>
          <cell r="D6">
            <v>12787.51</v>
          </cell>
        </row>
        <row r="7">
          <cell r="B7">
            <v>35810</v>
          </cell>
          <cell r="C7" t="str">
            <v>811212</v>
          </cell>
          <cell r="D7">
            <v>1464.34</v>
          </cell>
        </row>
        <row r="8">
          <cell r="B8">
            <v>35815</v>
          </cell>
          <cell r="C8" t="str">
            <v>811212</v>
          </cell>
          <cell r="D8">
            <v>266.5</v>
          </cell>
        </row>
        <row r="9">
          <cell r="B9">
            <v>35821</v>
          </cell>
          <cell r="C9" t="str">
            <v>811212</v>
          </cell>
          <cell r="D9">
            <v>101.6</v>
          </cell>
        </row>
        <row r="10">
          <cell r="B10">
            <v>35808</v>
          </cell>
          <cell r="C10" t="str">
            <v>811216</v>
          </cell>
          <cell r="D10">
            <v>9</v>
          </cell>
        </row>
        <row r="11">
          <cell r="B11">
            <v>35809</v>
          </cell>
          <cell r="C11" t="str">
            <v>811216</v>
          </cell>
          <cell r="D11">
            <v>900</v>
          </cell>
        </row>
        <row r="12">
          <cell r="B12">
            <v>35815</v>
          </cell>
          <cell r="C12" t="str">
            <v>811216</v>
          </cell>
          <cell r="D12">
            <v>554.62</v>
          </cell>
        </row>
        <row r="13">
          <cell r="B13">
            <v>35816</v>
          </cell>
          <cell r="C13" t="str">
            <v>811216</v>
          </cell>
          <cell r="D13">
            <v>9.1999999999999993</v>
          </cell>
        </row>
        <row r="14">
          <cell r="B14">
            <v>35822</v>
          </cell>
          <cell r="C14" t="str">
            <v>811216</v>
          </cell>
          <cell r="D14">
            <v>21.19</v>
          </cell>
        </row>
        <row r="15">
          <cell r="B15">
            <v>35815</v>
          </cell>
          <cell r="C15" t="str">
            <v>811220</v>
          </cell>
          <cell r="D15">
            <v>423</v>
          </cell>
        </row>
        <row r="16">
          <cell r="B16">
            <v>35816</v>
          </cell>
          <cell r="C16" t="str">
            <v>811220</v>
          </cell>
          <cell r="D16">
            <v>53.22</v>
          </cell>
        </row>
        <row r="17">
          <cell r="B17">
            <v>35809</v>
          </cell>
          <cell r="C17" t="str">
            <v>811222</v>
          </cell>
          <cell r="D17">
            <v>85</v>
          </cell>
        </row>
        <row r="18">
          <cell r="B18">
            <v>35809</v>
          </cell>
          <cell r="C18" t="str">
            <v>811412</v>
          </cell>
          <cell r="D18">
            <v>734.49</v>
          </cell>
        </row>
        <row r="19">
          <cell r="B19">
            <v>35821</v>
          </cell>
          <cell r="C19" t="str">
            <v>811412</v>
          </cell>
          <cell r="D19">
            <v>96.05</v>
          </cell>
        </row>
        <row r="20">
          <cell r="B20">
            <v>35815</v>
          </cell>
          <cell r="C20" t="str">
            <v>811419</v>
          </cell>
          <cell r="D20">
            <v>30</v>
          </cell>
        </row>
        <row r="21">
          <cell r="B21">
            <v>35809</v>
          </cell>
          <cell r="C21" t="str">
            <v>811422</v>
          </cell>
          <cell r="D21">
            <v>1723</v>
          </cell>
        </row>
        <row r="22">
          <cell r="B22">
            <v>35815</v>
          </cell>
          <cell r="C22" t="str">
            <v>811619</v>
          </cell>
          <cell r="D22">
            <v>30</v>
          </cell>
        </row>
        <row r="23">
          <cell r="B23">
            <v>35825</v>
          </cell>
          <cell r="C23" t="str">
            <v>811712</v>
          </cell>
          <cell r="D23">
            <v>144.38999999999999</v>
          </cell>
        </row>
        <row r="24">
          <cell r="B24">
            <v>35810</v>
          </cell>
          <cell r="C24" t="str">
            <v>811715</v>
          </cell>
          <cell r="D24">
            <v>1280</v>
          </cell>
        </row>
        <row r="25">
          <cell r="B25">
            <v>35810</v>
          </cell>
          <cell r="C25" t="str">
            <v>811716</v>
          </cell>
          <cell r="D25">
            <v>152.05000000000001</v>
          </cell>
        </row>
        <row r="26">
          <cell r="B26">
            <v>35808</v>
          </cell>
          <cell r="C26" t="str">
            <v>811717</v>
          </cell>
          <cell r="D26">
            <v>84</v>
          </cell>
        </row>
        <row r="27">
          <cell r="B27">
            <v>35810</v>
          </cell>
          <cell r="C27" t="str">
            <v>811717</v>
          </cell>
          <cell r="D27">
            <v>86.8</v>
          </cell>
        </row>
        <row r="28">
          <cell r="B28">
            <v>35808</v>
          </cell>
          <cell r="C28" t="str">
            <v>811721</v>
          </cell>
          <cell r="D28">
            <v>19</v>
          </cell>
        </row>
        <row r="29">
          <cell r="B29">
            <v>35815</v>
          </cell>
          <cell r="C29" t="str">
            <v>811723</v>
          </cell>
          <cell r="D29">
            <v>121</v>
          </cell>
        </row>
        <row r="30">
          <cell r="B30">
            <v>35821</v>
          </cell>
          <cell r="C30" t="str">
            <v>811727</v>
          </cell>
          <cell r="D30">
            <v>75</v>
          </cell>
        </row>
        <row r="31">
          <cell r="B31">
            <v>35815</v>
          </cell>
          <cell r="C31" t="str">
            <v>811729</v>
          </cell>
          <cell r="D31">
            <v>190</v>
          </cell>
        </row>
        <row r="32">
          <cell r="B32">
            <v>35822</v>
          </cell>
          <cell r="C32" t="str">
            <v>811729</v>
          </cell>
          <cell r="D32">
            <v>250</v>
          </cell>
        </row>
        <row r="33">
          <cell r="B33">
            <v>35811</v>
          </cell>
          <cell r="C33" t="str">
            <v>811812</v>
          </cell>
          <cell r="D33">
            <v>78.14</v>
          </cell>
        </row>
        <row r="34">
          <cell r="B34">
            <v>35822</v>
          </cell>
          <cell r="C34" t="str">
            <v>811815</v>
          </cell>
          <cell r="D34">
            <v>13.2</v>
          </cell>
        </row>
        <row r="35">
          <cell r="B35">
            <v>35809</v>
          </cell>
          <cell r="C35" t="str">
            <v>811816</v>
          </cell>
          <cell r="D35">
            <v>326.70999999999998</v>
          </cell>
        </row>
        <row r="36">
          <cell r="B36">
            <v>35810</v>
          </cell>
          <cell r="C36" t="str">
            <v>811816</v>
          </cell>
          <cell r="D36">
            <v>152.05000000000001</v>
          </cell>
        </row>
        <row r="37">
          <cell r="B37">
            <v>35810</v>
          </cell>
          <cell r="C37" t="str">
            <v>811817</v>
          </cell>
          <cell r="D37">
            <v>50.31</v>
          </cell>
        </row>
        <row r="38">
          <cell r="B38">
            <v>35811</v>
          </cell>
          <cell r="C38" t="str">
            <v>811817</v>
          </cell>
          <cell r="D38">
            <v>150.72</v>
          </cell>
        </row>
        <row r="39">
          <cell r="B39">
            <v>35808</v>
          </cell>
          <cell r="C39" t="str">
            <v>812114</v>
          </cell>
          <cell r="D39">
            <v>467.9</v>
          </cell>
        </row>
        <row r="40">
          <cell r="B40">
            <v>35808</v>
          </cell>
          <cell r="C40" t="str">
            <v>812123</v>
          </cell>
          <cell r="D40">
            <v>35.549999999999997</v>
          </cell>
        </row>
        <row r="41">
          <cell r="B41">
            <v>35808</v>
          </cell>
          <cell r="C41" t="str">
            <v>812124</v>
          </cell>
          <cell r="D41">
            <v>84</v>
          </cell>
        </row>
        <row r="42">
          <cell r="B42">
            <v>35818</v>
          </cell>
          <cell r="C42" t="str">
            <v>812124</v>
          </cell>
          <cell r="D42">
            <v>286.82</v>
          </cell>
        </row>
        <row r="43">
          <cell r="B43">
            <v>35822</v>
          </cell>
          <cell r="C43" t="str">
            <v>812126</v>
          </cell>
          <cell r="D43">
            <v>98.27</v>
          </cell>
        </row>
        <row r="44">
          <cell r="B44">
            <v>35808</v>
          </cell>
          <cell r="C44" t="str">
            <v>812128</v>
          </cell>
          <cell r="D44">
            <v>3897.62</v>
          </cell>
        </row>
        <row r="45">
          <cell r="B45">
            <v>35810</v>
          </cell>
          <cell r="C45" t="str">
            <v>812129</v>
          </cell>
          <cell r="D45">
            <v>1112.6199999999999</v>
          </cell>
        </row>
        <row r="46">
          <cell r="B46">
            <v>35808</v>
          </cell>
          <cell r="C46" t="str">
            <v>812215</v>
          </cell>
          <cell r="D46">
            <v>302.44</v>
          </cell>
        </row>
        <row r="47">
          <cell r="B47">
            <v>35825</v>
          </cell>
          <cell r="C47" t="str">
            <v>812223</v>
          </cell>
          <cell r="D47">
            <v>133.96</v>
          </cell>
        </row>
        <row r="48">
          <cell r="B48">
            <v>35822</v>
          </cell>
          <cell r="C48" t="str">
            <v>812313</v>
          </cell>
          <cell r="D48">
            <v>692.57</v>
          </cell>
        </row>
        <row r="49">
          <cell r="B49">
            <v>35811</v>
          </cell>
          <cell r="C49" t="str">
            <v>812314</v>
          </cell>
          <cell r="D49">
            <v>135.38</v>
          </cell>
        </row>
        <row r="50">
          <cell r="B50">
            <v>35808</v>
          </cell>
          <cell r="C50" t="str">
            <v>812325</v>
          </cell>
          <cell r="D50">
            <v>84</v>
          </cell>
        </row>
        <row r="51">
          <cell r="B51">
            <v>35814</v>
          </cell>
          <cell r="C51" t="str">
            <v>812329</v>
          </cell>
          <cell r="D51">
            <v>1474.22</v>
          </cell>
        </row>
        <row r="52">
          <cell r="B52">
            <v>35824</v>
          </cell>
          <cell r="C52" t="str">
            <v>812329</v>
          </cell>
          <cell r="D52">
            <v>1203.1400000000001</v>
          </cell>
        </row>
        <row r="53">
          <cell r="B53">
            <v>35809</v>
          </cell>
          <cell r="C53" t="str">
            <v>812413</v>
          </cell>
          <cell r="D53">
            <v>6163.18</v>
          </cell>
        </row>
        <row r="54">
          <cell r="B54">
            <v>35808</v>
          </cell>
          <cell r="C54" t="str">
            <v>812415</v>
          </cell>
          <cell r="D54">
            <v>753.29</v>
          </cell>
        </row>
        <row r="55">
          <cell r="B55">
            <v>35824</v>
          </cell>
          <cell r="C55" t="str">
            <v>812415</v>
          </cell>
          <cell r="D55">
            <v>1520.05</v>
          </cell>
        </row>
        <row r="56">
          <cell r="B56">
            <v>35808</v>
          </cell>
          <cell r="C56" t="str">
            <v>812420</v>
          </cell>
          <cell r="D56">
            <v>2046</v>
          </cell>
        </row>
        <row r="57">
          <cell r="B57">
            <v>35816</v>
          </cell>
          <cell r="C57" t="str">
            <v>812423</v>
          </cell>
          <cell r="D57">
            <v>143.41</v>
          </cell>
        </row>
        <row r="58">
          <cell r="B58">
            <v>35818</v>
          </cell>
          <cell r="C58" t="str">
            <v>812423</v>
          </cell>
          <cell r="D58">
            <v>566.17999999999995</v>
          </cell>
        </row>
        <row r="59">
          <cell r="B59">
            <v>35807</v>
          </cell>
          <cell r="C59" t="str">
            <v>812425</v>
          </cell>
          <cell r="D59">
            <v>31.95</v>
          </cell>
        </row>
        <row r="60">
          <cell r="B60">
            <v>35808</v>
          </cell>
          <cell r="C60" t="str">
            <v>812425</v>
          </cell>
          <cell r="D60">
            <v>138</v>
          </cell>
        </row>
        <row r="61">
          <cell r="B61">
            <v>35810</v>
          </cell>
          <cell r="C61" t="str">
            <v>812427</v>
          </cell>
          <cell r="D61">
            <v>1584</v>
          </cell>
        </row>
        <row r="62">
          <cell r="B62">
            <v>35810</v>
          </cell>
          <cell r="C62" t="str">
            <v>812429</v>
          </cell>
          <cell r="D62">
            <v>5550</v>
          </cell>
        </row>
        <row r="63">
          <cell r="B63">
            <v>35830</v>
          </cell>
          <cell r="C63" t="str">
            <v>812429</v>
          </cell>
          <cell r="D63">
            <v>9742.2999999999993</v>
          </cell>
        </row>
        <row r="64">
          <cell r="B64">
            <v>35808</v>
          </cell>
          <cell r="C64" t="str">
            <v>812511</v>
          </cell>
          <cell r="D64">
            <v>419.4</v>
          </cell>
        </row>
        <row r="65">
          <cell r="B65">
            <v>35809</v>
          </cell>
          <cell r="C65" t="str">
            <v>812511</v>
          </cell>
          <cell r="D65">
            <v>3269.4</v>
          </cell>
        </row>
        <row r="66">
          <cell r="B66">
            <v>35810</v>
          </cell>
          <cell r="C66" t="str">
            <v>812511</v>
          </cell>
          <cell r="D66">
            <v>1460.11</v>
          </cell>
        </row>
        <row r="67">
          <cell r="B67">
            <v>35811</v>
          </cell>
          <cell r="C67" t="str">
            <v>812511</v>
          </cell>
          <cell r="D67">
            <v>3033.75</v>
          </cell>
        </row>
        <row r="68">
          <cell r="B68">
            <v>35823</v>
          </cell>
          <cell r="C68" t="str">
            <v>812511</v>
          </cell>
          <cell r="D68">
            <v>720.84</v>
          </cell>
        </row>
        <row r="69">
          <cell r="B69">
            <v>35807</v>
          </cell>
          <cell r="C69" t="str">
            <v>812513</v>
          </cell>
          <cell r="D69">
            <v>1432.65</v>
          </cell>
        </row>
        <row r="70">
          <cell r="B70">
            <v>35810</v>
          </cell>
          <cell r="C70" t="str">
            <v>812513</v>
          </cell>
          <cell r="D70">
            <v>3634.38</v>
          </cell>
        </row>
        <row r="71">
          <cell r="B71">
            <v>35821</v>
          </cell>
          <cell r="C71" t="str">
            <v>812513</v>
          </cell>
          <cell r="D71">
            <v>65</v>
          </cell>
        </row>
        <row r="72">
          <cell r="B72">
            <v>35822</v>
          </cell>
          <cell r="C72" t="str">
            <v>812513</v>
          </cell>
          <cell r="D72">
            <v>2360.61</v>
          </cell>
        </row>
        <row r="73">
          <cell r="B73">
            <v>35810</v>
          </cell>
          <cell r="C73" t="str">
            <v>812514</v>
          </cell>
          <cell r="D73">
            <v>4214.62</v>
          </cell>
        </row>
        <row r="74">
          <cell r="B74">
            <v>35822</v>
          </cell>
          <cell r="C74" t="str">
            <v>812514</v>
          </cell>
          <cell r="D74">
            <v>499.86</v>
          </cell>
        </row>
        <row r="75">
          <cell r="B75">
            <v>35811</v>
          </cell>
          <cell r="C75" t="str">
            <v>812515</v>
          </cell>
          <cell r="D75">
            <v>201.3</v>
          </cell>
        </row>
        <row r="76">
          <cell r="B76">
            <v>35808</v>
          </cell>
          <cell r="C76" t="str">
            <v>812525</v>
          </cell>
          <cell r="D76">
            <v>84</v>
          </cell>
        </row>
        <row r="77">
          <cell r="B77">
            <v>35809</v>
          </cell>
          <cell r="C77" t="str">
            <v>812525</v>
          </cell>
          <cell r="D77">
            <v>100</v>
          </cell>
        </row>
        <row r="78">
          <cell r="B78">
            <v>35810</v>
          </cell>
          <cell r="C78" t="str">
            <v>812525</v>
          </cell>
          <cell r="D78">
            <v>33</v>
          </cell>
        </row>
        <row r="79">
          <cell r="B79">
            <v>35825</v>
          </cell>
          <cell r="C79" t="str">
            <v>812525</v>
          </cell>
          <cell r="D79">
            <v>61.15</v>
          </cell>
        </row>
        <row r="80">
          <cell r="B80">
            <v>35808</v>
          </cell>
          <cell r="C80" t="str">
            <v>812528</v>
          </cell>
          <cell r="D80">
            <v>2671.21</v>
          </cell>
        </row>
        <row r="81">
          <cell r="B81">
            <v>35808</v>
          </cell>
          <cell r="C81" t="str">
            <v>812529</v>
          </cell>
          <cell r="D81">
            <v>5748.88</v>
          </cell>
        </row>
        <row r="82">
          <cell r="B82">
            <v>35809</v>
          </cell>
          <cell r="C82" t="str">
            <v>812529</v>
          </cell>
          <cell r="D82">
            <v>2807.38</v>
          </cell>
        </row>
        <row r="83">
          <cell r="B83">
            <v>35816</v>
          </cell>
          <cell r="C83" t="str">
            <v>812529</v>
          </cell>
          <cell r="D83">
            <v>3022.9</v>
          </cell>
        </row>
        <row r="84">
          <cell r="B84">
            <v>35808</v>
          </cell>
          <cell r="C84" t="str">
            <v>812713</v>
          </cell>
          <cell r="D84">
            <v>12</v>
          </cell>
        </row>
        <row r="85">
          <cell r="B85">
            <v>35808</v>
          </cell>
          <cell r="C85" t="str">
            <v>814111</v>
          </cell>
          <cell r="D85">
            <v>3.17</v>
          </cell>
        </row>
        <row r="86">
          <cell r="B86">
            <v>35809</v>
          </cell>
          <cell r="C86" t="str">
            <v>814111</v>
          </cell>
          <cell r="D86">
            <v>71.069999999999993</v>
          </cell>
        </row>
        <row r="87">
          <cell r="B87">
            <v>35830</v>
          </cell>
          <cell r="C87" t="str">
            <v>814111</v>
          </cell>
          <cell r="D87">
            <v>20.399999999999999</v>
          </cell>
        </row>
        <row r="88">
          <cell r="B88">
            <v>35808</v>
          </cell>
          <cell r="C88" t="str">
            <v>814112</v>
          </cell>
          <cell r="D88">
            <v>1.06</v>
          </cell>
        </row>
        <row r="89">
          <cell r="B89">
            <v>35821</v>
          </cell>
          <cell r="C89" t="str">
            <v>816003</v>
          </cell>
          <cell r="D89">
            <v>26.8</v>
          </cell>
        </row>
        <row r="90">
          <cell r="B90">
            <v>35810</v>
          </cell>
          <cell r="C90" t="str">
            <v>816006</v>
          </cell>
          <cell r="D90">
            <v>210.8</v>
          </cell>
        </row>
        <row r="91">
          <cell r="B91">
            <v>35816</v>
          </cell>
          <cell r="C91" t="str">
            <v>816101</v>
          </cell>
          <cell r="D91">
            <v>750</v>
          </cell>
        </row>
        <row r="92">
          <cell r="B92">
            <v>35810</v>
          </cell>
          <cell r="C92" t="str">
            <v>816104</v>
          </cell>
          <cell r="D92">
            <v>13450</v>
          </cell>
        </row>
      </sheetData>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EVISION 311297"/>
      <sheetName val="PREVISION 300998"/>
      <sheetName val="AREA"/>
      <sheetName val="Hoja1"/>
      <sheetName val="DEUDORES EN GESTION"/>
      <sheetName val="COBRANZA"/>
      <sheetName val="DEUD. A PREVISIONAR '98"/>
      <sheetName val="CONSULTAS"/>
      <sheetName val="INFORME A SUCURSALES"/>
      <sheetName val="INFORME ABOGADO"/>
      <sheetName val="INFORME DE INCOBRABLES"/>
      <sheetName val="DEUDORES A PREVISIONAR '98 (2)"/>
      <sheetName val="GASTOS ENERO"/>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oanda.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oleObject" Target="../embeddings/oleObject2.bin"/><Relationship Id="rId2" Type="http://schemas.openxmlformats.org/officeDocument/2006/relationships/hyperlink" Target="mailto:jean-nicolas.theobald@gefco.fr" TargetMode="External"/><Relationship Id="rId1" Type="http://schemas.openxmlformats.org/officeDocument/2006/relationships/hyperlink" Target="mailto:tiphaine.tatibouet@gefco.fr" TargetMode="External"/><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3.v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4.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tabColor rgb="FFCCECFF"/>
    <pageSetUpPr fitToPage="1"/>
  </sheetPr>
  <dimension ref="A1:V76"/>
  <sheetViews>
    <sheetView topLeftCell="B1" workbookViewId="0">
      <selection activeCell="D16" sqref="D16"/>
    </sheetView>
  </sheetViews>
  <sheetFormatPr baseColWidth="10" defaultColWidth="11.42578125" defaultRowHeight="12.75"/>
  <cols>
    <col min="1" max="1" width="0" style="17" hidden="1" customWidth="1"/>
    <col min="2" max="2" width="14.85546875" style="17" customWidth="1"/>
    <col min="3" max="3" width="6.5703125" style="17" bestFit="1" customWidth="1"/>
    <col min="4" max="9" width="15" style="17" customWidth="1"/>
    <col min="10" max="10" width="11.42578125" style="17" customWidth="1"/>
    <col min="11" max="11" width="55.28515625" style="17" hidden="1" customWidth="1"/>
    <col min="12" max="12" width="1.5703125" style="17" hidden="1" customWidth="1"/>
    <col min="13" max="13" width="38.85546875" style="1553" hidden="1" customWidth="1"/>
    <col min="14" max="19" width="7" style="17" hidden="1" customWidth="1"/>
    <col min="20" max="20" width="11.42578125" style="17" hidden="1" customWidth="1"/>
    <col min="21" max="21" width="96.140625" style="17" customWidth="1"/>
    <col min="22" max="22" width="92.85546875" style="17" bestFit="1" customWidth="1"/>
    <col min="23" max="16384" width="11.42578125" style="17"/>
  </cols>
  <sheetData>
    <row r="1" spans="1:22" customFormat="1" ht="26.25">
      <c r="D1" s="17"/>
      <c r="E1" s="73" t="str">
        <f>IF('Mode Opératoire'!$I$1="Français",+'Cpte exploitation ARG'!K1,'Cpte exploitation ARG'!M1)</f>
        <v>Compte d'Exploitation Total</v>
      </c>
      <c r="F1" s="17"/>
      <c r="K1" s="73" t="s">
        <v>190</v>
      </c>
      <c r="M1" s="1552" t="s">
        <v>740</v>
      </c>
    </row>
    <row r="2" spans="1:22" customFormat="1">
      <c r="M2" s="1553"/>
    </row>
    <row r="3" spans="1:22" customFormat="1">
      <c r="J3" s="3"/>
      <c r="M3" s="1553"/>
    </row>
    <row r="4" spans="1:22" ht="26.25">
      <c r="B4" s="78" t="str">
        <f>+'Synthèse projet'!A3</f>
        <v>Nom projet / Project Name :</v>
      </c>
      <c r="C4" s="953"/>
      <c r="D4" s="78"/>
      <c r="E4" s="953" t="s">
        <v>1374</v>
      </c>
      <c r="F4" s="16"/>
      <c r="G4" s="16"/>
      <c r="H4" s="16"/>
      <c r="I4" s="16"/>
      <c r="K4" s="1217"/>
      <c r="L4" s="834"/>
      <c r="M4" s="1554"/>
      <c r="U4" s="1706" t="s">
        <v>988</v>
      </c>
      <c r="V4" s="1711" t="s">
        <v>989</v>
      </c>
    </row>
    <row r="5" spans="1:22" s="15" customFormat="1" ht="6" customHeight="1">
      <c r="B5" s="64"/>
      <c r="C5" s="64"/>
      <c r="D5" s="18"/>
      <c r="E5" s="18"/>
      <c r="F5" s="18"/>
      <c r="G5" s="18"/>
      <c r="H5" s="18"/>
      <c r="I5" s="18"/>
      <c r="K5" s="838"/>
      <c r="L5" s="838"/>
      <c r="M5" s="1555"/>
      <c r="U5" s="1707"/>
      <c r="V5" s="1712"/>
    </row>
    <row r="6" spans="1:22" s="28" customFormat="1" ht="23.25">
      <c r="B6" s="146" t="str">
        <f>+'Synthèse projet'!A5</f>
        <v>Rédacteur / Writer  :</v>
      </c>
      <c r="C6" s="146"/>
      <c r="D6" s="146"/>
      <c r="E6" s="148" t="s">
        <v>1065</v>
      </c>
      <c r="F6" s="33"/>
      <c r="G6" s="154" t="s">
        <v>98</v>
      </c>
      <c r="H6" s="149" t="s">
        <v>741</v>
      </c>
      <c r="J6" s="27"/>
      <c r="K6" s="842"/>
      <c r="L6" s="842"/>
      <c r="M6" s="1487"/>
      <c r="U6" s="1708" t="s">
        <v>985</v>
      </c>
      <c r="V6" s="1713" t="s">
        <v>991</v>
      </c>
    </row>
    <row r="7" spans="1:22" s="29" customFormat="1" ht="15.75">
      <c r="B7" s="147" t="str">
        <f>+'Synthèse projet'!A6</f>
        <v>Version / Date :</v>
      </c>
      <c r="C7" s="147"/>
      <c r="D7" s="147"/>
      <c r="E7" s="921" t="s">
        <v>1065</v>
      </c>
      <c r="F7" s="30"/>
      <c r="G7" s="30"/>
      <c r="H7" s="30"/>
      <c r="I7" s="30"/>
      <c r="J7" s="27"/>
      <c r="K7" s="1220"/>
      <c r="L7" s="1220"/>
      <c r="M7" s="1556"/>
      <c r="U7" s="1708"/>
      <c r="V7" s="1713"/>
    </row>
    <row r="8" spans="1:22" s="15" customFormat="1" ht="26.25" customHeight="1">
      <c r="B8" s="19"/>
      <c r="C8" s="19"/>
      <c r="D8" s="257"/>
      <c r="E8" s="238"/>
      <c r="F8" s="238"/>
      <c r="G8" s="238"/>
      <c r="H8" s="238"/>
      <c r="I8" s="238"/>
      <c r="K8" s="19"/>
      <c r="L8" s="19"/>
      <c r="M8" s="1555"/>
      <c r="U8" s="1707"/>
      <c r="V8" s="1712"/>
    </row>
    <row r="9" spans="1:22" s="15" customFormat="1" ht="15">
      <c r="B9" s="19"/>
      <c r="C9" s="19"/>
      <c r="D9" s="902"/>
      <c r="E9" s="903"/>
      <c r="F9" s="902"/>
      <c r="G9" s="903"/>
      <c r="H9" s="902"/>
      <c r="I9" s="903"/>
      <c r="K9" s="19"/>
      <c r="L9" s="19"/>
      <c r="M9" s="1555"/>
      <c r="U9" s="1707"/>
      <c r="V9" s="1712"/>
    </row>
    <row r="10" spans="1:22" s="15" customFormat="1" ht="15">
      <c r="B10" s="19"/>
      <c r="C10" s="19"/>
      <c r="K10" s="19"/>
      <c r="L10" s="19"/>
      <c r="M10" s="1555"/>
      <c r="N10" s="174" t="s">
        <v>38</v>
      </c>
      <c r="O10" s="174" t="s">
        <v>39</v>
      </c>
      <c r="P10" s="174" t="s">
        <v>40</v>
      </c>
      <c r="Q10" s="174" t="s">
        <v>41</v>
      </c>
      <c r="R10" s="174" t="s">
        <v>42</v>
      </c>
      <c r="S10" s="177" t="s">
        <v>78</v>
      </c>
      <c r="U10" s="1707"/>
      <c r="V10" s="1712"/>
    </row>
    <row r="11" spans="1:22" ht="6" customHeight="1">
      <c r="B11" s="167"/>
      <c r="C11" s="170"/>
      <c r="D11" s="173"/>
      <c r="E11" s="173"/>
      <c r="F11" s="173"/>
      <c r="G11" s="173"/>
      <c r="H11" s="173"/>
      <c r="I11" s="176"/>
      <c r="K11" s="167"/>
      <c r="L11" s="170"/>
      <c r="U11" s="1708"/>
      <c r="V11" s="1713"/>
    </row>
    <row r="12" spans="1:22" s="20" customFormat="1" ht="13.5" thickBot="1">
      <c r="B12" s="180" t="s">
        <v>1387</v>
      </c>
      <c r="C12" s="171"/>
      <c r="D12" s="174" t="str">
        <f>IF('Mode Opératoire'!$I$1="Français",+'Cpte exploitation ARG'!N10,'Cpte exploitation ARG'!N13)</f>
        <v>Année 1</v>
      </c>
      <c r="E12" s="174" t="str">
        <f>IF('Mode Opératoire'!$I$1="Français",+'Cpte exploitation ARG'!O10,'Cpte exploitation ARG'!O13)</f>
        <v>Année 2</v>
      </c>
      <c r="F12" s="174" t="str">
        <f>IF('Mode Opératoire'!$I$1="Français",+'Cpte exploitation ARG'!P10,'Cpte exploitation ARG'!P13)</f>
        <v>Année 3</v>
      </c>
      <c r="G12" s="174" t="str">
        <f>IF('Mode Opératoire'!$I$1="Français",+'Cpte exploitation ARG'!Q10,'Cpte exploitation ARG'!Q13)</f>
        <v>Année 4</v>
      </c>
      <c r="H12" s="174" t="str">
        <f>IF('Mode Opératoire'!$I$1="Français",+'Cpte exploitation ARG'!R10,'Cpte exploitation ARG'!R13)</f>
        <v>Année 5</v>
      </c>
      <c r="I12" s="174" t="str">
        <f>IF('Mode Opératoire'!$I$1="Français",+'Cpte exploitation ARG'!S10,'Cpte exploitation ARG'!S13)</f>
        <v>Année 6</v>
      </c>
      <c r="K12" s="168" t="s">
        <v>137</v>
      </c>
      <c r="L12" s="171"/>
      <c r="M12" s="1557" t="s">
        <v>836</v>
      </c>
      <c r="U12" s="1708"/>
      <c r="V12" s="1713"/>
    </row>
    <row r="13" spans="1:22" ht="14.25" thickTop="1" thickBot="1">
      <c r="B13" s="169"/>
      <c r="C13" s="172"/>
      <c r="D13" s="1705">
        <v>2014</v>
      </c>
      <c r="E13" s="178">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U13" s="1708" t="s">
        <v>990</v>
      </c>
      <c r="V13" s="1713" t="s">
        <v>974</v>
      </c>
    </row>
    <row r="14" spans="1:22" ht="13.5" thickTop="1">
      <c r="A14" s="17" t="str">
        <f>+$H$6</f>
        <v>All</v>
      </c>
      <c r="B14" s="179" t="str">
        <f>IF('Mode Opératoire'!$I$1="Français",+'Cpte exploitation ARG'!K14,'Cpte exploitation ARG'!M14)</f>
        <v>Ventes PSA</v>
      </c>
      <c r="C14" s="182"/>
      <c r="D14" s="2572">
        <f>SUM('Cuadro de Resultados:Cta explotacion OVS'!D14)</f>
        <v>151289.83358005621</v>
      </c>
      <c r="E14" s="2573">
        <f>SUM('Cuadro de Resultados:Cta explotacion OVS'!E14)</f>
        <v>498635.4376001124</v>
      </c>
      <c r="F14" s="2573">
        <f>SUM('Cuadro de Resultados:Cta explotacion OVS'!F14)</f>
        <v>955302.14559595252</v>
      </c>
      <c r="G14" s="2573">
        <f>SUM('Cuadro de Resultados:Cta explotacion OVS'!G14)</f>
        <v>1140752.1737371432</v>
      </c>
      <c r="H14" s="2573">
        <f>SUM('Cuadro de Resultados:Cta explotacion OVS'!H14)</f>
        <v>1140752.1737371432</v>
      </c>
      <c r="I14" s="2573">
        <f>SUM('Cuadro de Resultados:Cta explotacion OVS'!I14)</f>
        <v>0</v>
      </c>
      <c r="K14" s="179" t="s">
        <v>17</v>
      </c>
      <c r="L14" s="182"/>
      <c r="M14" s="1558" t="s">
        <v>79</v>
      </c>
      <c r="U14" s="1708"/>
      <c r="V14" s="1713"/>
    </row>
    <row r="15" spans="1:22">
      <c r="A15" s="17" t="str">
        <f t="shared" ref="A15:A65" si="0">+$H$6</f>
        <v>All</v>
      </c>
      <c r="B15" s="180" t="str">
        <f>IF('Mode Opératoire'!$I$1="Français",+'Cpte exploitation ARG'!K15,'Cpte exploitation ARG'!M15)</f>
        <v>Ventes Hors Groupe</v>
      </c>
      <c r="C15" s="183"/>
      <c r="D15" s="2573">
        <f>SUM('Cuadro de Resultados:Cta explotacion OVS'!D15)</f>
        <v>-39222.713980125001</v>
      </c>
      <c r="E15" s="2573">
        <f>SUM('Cuadro de Resultados:Cta explotacion OVS'!E15)</f>
        <v>-130143.84921362935</v>
      </c>
      <c r="F15" s="2573">
        <f>SUM('Cuadro de Resultados:Cta explotacion OVS'!F15)</f>
        <v>-249333.86000054359</v>
      </c>
      <c r="G15" s="2573">
        <f>SUM('Cuadro de Resultados:Cta explotacion OVS'!G15)</f>
        <v>-297736.31734539435</v>
      </c>
      <c r="H15" s="2573">
        <f>SUM('Cuadro de Resultados:Cta explotacion OVS'!H15)</f>
        <v>-297736.31734539435</v>
      </c>
      <c r="I15" s="2573">
        <f>SUM('Cuadro de Resultados:Cta explotacion OVS'!I15)</f>
        <v>0</v>
      </c>
      <c r="J15" s="451"/>
      <c r="K15" s="180" t="s">
        <v>19</v>
      </c>
      <c r="L15" s="183"/>
      <c r="M15" s="1559" t="s">
        <v>80</v>
      </c>
      <c r="U15" s="1708"/>
      <c r="V15" s="1713"/>
    </row>
    <row r="16" spans="1:22">
      <c r="B16" s="180" t="str">
        <f>IF('Mode Opératoire'!$I$1="Français",+'Cpte exploitation ARG'!K16,'Cpte exploitation ARG'!M16)</f>
        <v>Ventes GM</v>
      </c>
      <c r="C16" s="183"/>
      <c r="D16" s="2573">
        <f>SUM('Cuadro de Resultados:Cta explotacion OVS'!D16)</f>
        <v>-54586.472350662138</v>
      </c>
      <c r="E16" s="2573">
        <f>SUM('Cuadro de Resultados:Cta explotacion OVS'!E16)</f>
        <v>-179910.25727178977</v>
      </c>
      <c r="F16" s="2573">
        <f>SUM('Cuadro de Resultados:Cta explotacion OVS'!F16)</f>
        <v>-344678.01577913237</v>
      </c>
      <c r="G16" s="2573">
        <f>SUM('Cuadro de Resultados:Cta explotacion OVS'!G16)</f>
        <v>-411589.3568878806</v>
      </c>
      <c r="H16" s="2573">
        <f>SUM('Cuadro de Resultados:Cta explotacion OVS'!H16)</f>
        <v>-411589.3568878806</v>
      </c>
      <c r="I16" s="2573">
        <f>SUM('Cuadro de Resultados:Cta explotacion OVS'!I16)</f>
        <v>0</v>
      </c>
      <c r="J16" s="451"/>
      <c r="K16" s="180" t="s">
        <v>948</v>
      </c>
      <c r="L16" s="183"/>
      <c r="M16" s="1559" t="s">
        <v>952</v>
      </c>
      <c r="U16" s="1708"/>
      <c r="V16" s="1713"/>
    </row>
    <row r="17" spans="1:22">
      <c r="B17" s="180" t="str">
        <f>IF('Mode Opératoire'!$I$1="Français",+'Cpte exploitation ARG'!K17,'Cpte exploitation ARG'!M17)</f>
        <v>Ventes RZD</v>
      </c>
      <c r="C17" s="183"/>
      <c r="D17" s="2573">
        <f>SUM('Cuadro de Resultados:Cta explotacion OVS'!D17)</f>
        <v>-93809.186330787139</v>
      </c>
      <c r="E17" s="2573">
        <f>SUM('Cuadro de Resultados:Cta explotacion OVS'!E17)</f>
        <v>-310054.10648541909</v>
      </c>
      <c r="F17" s="2573">
        <f>SUM('Cuadro de Resultados:Cta explotacion OVS'!F17)</f>
        <v>-594011.87577967602</v>
      </c>
      <c r="G17" s="2573">
        <f>SUM('Cuadro de Resultados:Cta explotacion OVS'!G17)</f>
        <v>-709325.674233275</v>
      </c>
      <c r="H17" s="2573">
        <f>SUM('Cuadro de Resultados:Cta explotacion OVS'!H17)</f>
        <v>-709325.674233275</v>
      </c>
      <c r="I17" s="2573">
        <f>SUM('Cuadro de Resultados:Cta explotacion OVS'!I17)</f>
        <v>0</v>
      </c>
      <c r="J17" s="451"/>
      <c r="K17" s="180" t="s">
        <v>950</v>
      </c>
      <c r="L17" s="183"/>
      <c r="M17" s="1559" t="s">
        <v>951</v>
      </c>
      <c r="U17" s="1708"/>
      <c r="V17" s="1713"/>
    </row>
    <row r="18" spans="1:22">
      <c r="A18" s="17" t="str">
        <f t="shared" si="0"/>
        <v>All</v>
      </c>
      <c r="B18" s="180" t="str">
        <f>IF('Mode Opératoire'!$I$1="Français",+'Cpte exploitation ARG'!K18,'Cpte exploitation ARG'!M18)</f>
        <v>Ventes Gefco</v>
      </c>
      <c r="C18" s="183"/>
      <c r="D18" s="2573">
        <f>SUM('Cuadro de Resultados:Cta explotacion OVS'!D18)</f>
        <v>57480.647249269066</v>
      </c>
      <c r="E18" s="2573">
        <f>SUM('Cuadro de Resultados:Cta explotacion OVS'!E18)</f>
        <v>188581.33111469331</v>
      </c>
      <c r="F18" s="2573">
        <f>SUM('Cuadro de Resultados:Cta explotacion OVS'!F18)</f>
        <v>361290.2698162765</v>
      </c>
      <c r="G18" s="2573">
        <f>SUM('Cuadro de Resultados:Cta explotacion OVS'!G18)</f>
        <v>431426.49950386817</v>
      </c>
      <c r="H18" s="2573">
        <f>SUM('Cuadro de Resultados:Cta explotacion OVS'!H18)</f>
        <v>431426.49950386817</v>
      </c>
      <c r="I18" s="2573">
        <f>SUM('Cuadro de Resultados:Cta explotacion OVS'!I18)</f>
        <v>0</v>
      </c>
      <c r="J18" s="451"/>
      <c r="K18" s="180" t="s">
        <v>45</v>
      </c>
      <c r="L18" s="183"/>
      <c r="M18" s="1559" t="s">
        <v>81</v>
      </c>
      <c r="U18" s="1708"/>
      <c r="V18" s="1713"/>
    </row>
    <row r="19" spans="1:22">
      <c r="A19" s="17" t="str">
        <f t="shared" si="0"/>
        <v>All</v>
      </c>
      <c r="B19" s="181" t="str">
        <f>IF('Mode Opératoire'!$I$1="Français",+'Cpte exploitation ARG'!K19,'Cpte exploitation ARG'!M19)</f>
        <v>Total ventes externes</v>
      </c>
      <c r="C19" s="184"/>
      <c r="D19" s="1062">
        <f t="shared" ref="D19:I19" si="1">SUM(D14:D18)</f>
        <v>21152.108167750994</v>
      </c>
      <c r="E19" s="1062">
        <f t="shared" si="1"/>
        <v>67108.555743967474</v>
      </c>
      <c r="F19" s="1062">
        <f t="shared" si="1"/>
        <v>128568.66385287698</v>
      </c>
      <c r="G19" s="1062">
        <f t="shared" si="1"/>
        <v>153527.32477446145</v>
      </c>
      <c r="H19" s="1062">
        <f t="shared" si="1"/>
        <v>153527.32477446145</v>
      </c>
      <c r="I19" s="1062">
        <f t="shared" si="1"/>
        <v>0</v>
      </c>
      <c r="K19" s="181" t="s">
        <v>149</v>
      </c>
      <c r="L19" s="184"/>
      <c r="M19" s="1560" t="s">
        <v>150</v>
      </c>
      <c r="U19" s="1708"/>
      <c r="V19" s="1713"/>
    </row>
    <row r="20" spans="1:22">
      <c r="A20" s="17" t="str">
        <f t="shared" si="0"/>
        <v>All</v>
      </c>
      <c r="B20" s="179" t="str">
        <f>IF('Mode Opératoire'!$I$1="Français",+'Cpte exploitation ARG'!K20,'Cpte exploitation ARG'!M20)</f>
        <v xml:space="preserve">Achats </v>
      </c>
      <c r="C20" s="182"/>
      <c r="D20" s="2573">
        <f>SUM('Cuadro de Resultados:Cta explotacion OVS'!D20)</f>
        <v>-95730.337078651675</v>
      </c>
      <c r="E20" s="2573">
        <f>SUM('Cuadro de Resultados:Cta explotacion OVS'!E20)</f>
        <v>-111910.11235955056</v>
      </c>
      <c r="F20" s="2573">
        <f>SUM('Cuadro de Resultados:Cta explotacion OVS'!F20)</f>
        <v>-138876.404494382</v>
      </c>
      <c r="G20" s="2573">
        <f>SUM('Cuadro de Resultados:Cta explotacion OVS'!G20)</f>
        <v>-138876.404494382</v>
      </c>
      <c r="H20" s="2573">
        <f>SUM('Cuadro de Resultados:Cta explotacion OVS'!H20)</f>
        <v>-138876.404494382</v>
      </c>
      <c r="I20" s="2573">
        <f>SUM('Cuadro de Resultados:Cta explotacion OVS'!I20)</f>
        <v>0</v>
      </c>
      <c r="K20" s="179" t="s">
        <v>44</v>
      </c>
      <c r="L20" s="182"/>
      <c r="M20" s="1561" t="s">
        <v>82</v>
      </c>
      <c r="U20" s="1708"/>
      <c r="V20" s="1713"/>
    </row>
    <row r="21" spans="1:22">
      <c r="A21" s="17" t="str">
        <f t="shared" si="0"/>
        <v>All</v>
      </c>
      <c r="B21" s="181" t="str">
        <f>IF('Mode Opératoire'!$I$1="Français",+'Cpte exploitation ARG'!K21,'Cpte exploitation ARG'!M21)</f>
        <v xml:space="preserve">Total achats </v>
      </c>
      <c r="C21" s="184"/>
      <c r="D21" s="1062">
        <f t="shared" ref="D21:I21" si="2">SUM(D20:D20)</f>
        <v>-95730.337078651675</v>
      </c>
      <c r="E21" s="1062">
        <f t="shared" si="2"/>
        <v>-111910.11235955056</v>
      </c>
      <c r="F21" s="1062">
        <f t="shared" si="2"/>
        <v>-138876.404494382</v>
      </c>
      <c r="G21" s="1062">
        <f t="shared" si="2"/>
        <v>-138876.404494382</v>
      </c>
      <c r="H21" s="1062">
        <f t="shared" si="2"/>
        <v>-138876.404494382</v>
      </c>
      <c r="I21" s="1062">
        <f t="shared" si="2"/>
        <v>0</v>
      </c>
      <c r="K21" s="181" t="s">
        <v>118</v>
      </c>
      <c r="L21" s="184"/>
      <c r="M21" s="1562" t="s">
        <v>82</v>
      </c>
      <c r="U21" s="1708"/>
      <c r="V21" s="1713"/>
    </row>
    <row r="22" spans="1:22">
      <c r="A22" s="17" t="str">
        <f t="shared" si="0"/>
        <v>All</v>
      </c>
      <c r="B22" s="190" t="str">
        <f>IF('Mode Opératoire'!$I$1="Français",+'Cpte exploitation ARG'!K22,'Cpte exploitation ARG'!M22)</f>
        <v>Marge commerciale</v>
      </c>
      <c r="C22" s="198"/>
      <c r="D22" s="193">
        <f t="shared" ref="D22:I22" si="3">+D19+D21</f>
        <v>-74578.228910900682</v>
      </c>
      <c r="E22" s="195">
        <f t="shared" si="3"/>
        <v>-44801.556615583089</v>
      </c>
      <c r="F22" s="193">
        <f t="shared" si="3"/>
        <v>-10307.740641505021</v>
      </c>
      <c r="G22" s="193">
        <f t="shared" si="3"/>
        <v>14650.920280079445</v>
      </c>
      <c r="H22" s="193">
        <f t="shared" si="3"/>
        <v>14650.920280079445</v>
      </c>
      <c r="I22" s="193">
        <f t="shared" si="3"/>
        <v>0</v>
      </c>
      <c r="K22" s="190" t="s">
        <v>21</v>
      </c>
      <c r="L22" s="198"/>
      <c r="M22" s="1563" t="s">
        <v>83</v>
      </c>
      <c r="U22" s="1708"/>
      <c r="V22" s="1713"/>
    </row>
    <row r="23" spans="1:22" s="124" customFormat="1" ht="13.5">
      <c r="A23" s="17" t="str">
        <f t="shared" si="0"/>
        <v>All</v>
      </c>
      <c r="B23" s="200" t="str">
        <f>IF('Mode Opératoire'!$I$1="Français",+'Cpte exploitation ARG'!K23,'Cpte exploitation ARG'!M23)</f>
        <v>% des ventes</v>
      </c>
      <c r="C23" s="201"/>
      <c r="D23" s="194">
        <f t="shared" ref="D23:I23" si="4">IF(D$19&lt;&gt;0,D22/D$19,0)</f>
        <v>-3.5258059536876054</v>
      </c>
      <c r="E23" s="196">
        <f t="shared" si="4"/>
        <v>-0.66759828339191152</v>
      </c>
      <c r="F23" s="194">
        <f t="shared" si="4"/>
        <v>-8.0173040090860084E-2</v>
      </c>
      <c r="G23" s="194">
        <f t="shared" si="4"/>
        <v>9.5428747303467357E-2</v>
      </c>
      <c r="H23" s="194">
        <f t="shared" si="4"/>
        <v>9.5428747303467357E-2</v>
      </c>
      <c r="I23" s="194">
        <f t="shared" si="4"/>
        <v>0</v>
      </c>
      <c r="K23" s="200" t="s">
        <v>68</v>
      </c>
      <c r="L23" s="201"/>
      <c r="M23" s="1564" t="s">
        <v>84</v>
      </c>
      <c r="U23" s="1709"/>
      <c r="V23" s="1714"/>
    </row>
    <row r="24" spans="1:22">
      <c r="A24" s="17" t="str">
        <f t="shared" si="0"/>
        <v>All</v>
      </c>
      <c r="B24" s="204" t="str">
        <f>IF('Mode Opératoire'!$I$1="Français",+'Cpte exploitation ARG'!K24,'Cpte exploitation ARG'!M24)</f>
        <v xml:space="preserve">Différence de change </v>
      </c>
      <c r="C24" s="206"/>
      <c r="D24" s="2573">
        <f>SUM('Cuadro de Resultados:Cta explotacion OVS'!D24)</f>
        <v>0</v>
      </c>
      <c r="E24" s="2573">
        <f>SUM('Cuadro de Resultados:Cta explotacion OVS'!E24)</f>
        <v>0</v>
      </c>
      <c r="F24" s="2573">
        <f>SUM('Cuadro de Resultados:Cta explotacion OVS'!F24)</f>
        <v>0</v>
      </c>
      <c r="G24" s="2573">
        <f>SUM('Cuadro de Resultados:Cta explotacion OVS'!G24)</f>
        <v>0</v>
      </c>
      <c r="H24" s="2573">
        <f>SUM('Cuadro de Resultados:Cta explotacion OVS'!H24)</f>
        <v>0</v>
      </c>
      <c r="I24" s="2573">
        <f>SUM('Cuadro de Resultados:Cta explotacion OVS'!I24)</f>
        <v>0</v>
      </c>
      <c r="K24" s="204" t="s">
        <v>189</v>
      </c>
      <c r="L24" s="206"/>
      <c r="M24" s="1565" t="s">
        <v>841</v>
      </c>
      <c r="U24" s="1708"/>
      <c r="V24" s="1713"/>
    </row>
    <row r="25" spans="1:22">
      <c r="A25" s="17" t="str">
        <f t="shared" si="0"/>
        <v>All</v>
      </c>
      <c r="B25" s="190" t="str">
        <f>IF('Mode Opératoire'!$I$1="Français",+'Cpte exploitation ARG'!K25,'Cpte exploitation ARG'!M25)</f>
        <v>Résultat brut Commercial</v>
      </c>
      <c r="C25" s="198"/>
      <c r="D25" s="193">
        <f t="shared" ref="D25:I25" si="5">+D22+D24</f>
        <v>-74578.228910900682</v>
      </c>
      <c r="E25" s="195">
        <f t="shared" si="5"/>
        <v>-44801.556615583089</v>
      </c>
      <c r="F25" s="193">
        <f t="shared" si="5"/>
        <v>-10307.740641505021</v>
      </c>
      <c r="G25" s="193">
        <f t="shared" si="5"/>
        <v>14650.920280079445</v>
      </c>
      <c r="H25" s="193">
        <f t="shared" si="5"/>
        <v>14650.920280079445</v>
      </c>
      <c r="I25" s="193">
        <f t="shared" si="5"/>
        <v>0</v>
      </c>
      <c r="K25" s="190" t="s">
        <v>186</v>
      </c>
      <c r="L25" s="198"/>
      <c r="M25" s="1566" t="s">
        <v>194</v>
      </c>
      <c r="U25" s="1708"/>
      <c r="V25" s="1713"/>
    </row>
    <row r="26" spans="1:22" s="124" customFormat="1" ht="13.5">
      <c r="A26" s="17" t="str">
        <f t="shared" si="0"/>
        <v>All</v>
      </c>
      <c r="B26" s="191" t="str">
        <f>IF('Mode Opératoire'!$I$1="Français",+'Cpte exploitation ARG'!K26,'Cpte exploitation ARG'!M26)</f>
        <v>% des ventes</v>
      </c>
      <c r="C26" s="199"/>
      <c r="D26" s="194">
        <f t="shared" ref="D26:I26" si="6">IF(D$19&lt;&gt;0,D25/D$19,0)</f>
        <v>-3.5258059536876054</v>
      </c>
      <c r="E26" s="196">
        <f t="shared" si="6"/>
        <v>-0.66759828339191152</v>
      </c>
      <c r="F26" s="194">
        <f t="shared" si="6"/>
        <v>-8.0173040090860084E-2</v>
      </c>
      <c r="G26" s="194">
        <f t="shared" si="6"/>
        <v>9.5428747303467357E-2</v>
      </c>
      <c r="H26" s="194">
        <f t="shared" si="6"/>
        <v>9.5428747303467357E-2</v>
      </c>
      <c r="I26" s="194">
        <f t="shared" si="6"/>
        <v>0</v>
      </c>
      <c r="K26" s="191" t="s">
        <v>68</v>
      </c>
      <c r="L26" s="199"/>
      <c r="M26" s="1567" t="s">
        <v>84</v>
      </c>
      <c r="U26" s="1709"/>
      <c r="V26" s="1714"/>
    </row>
    <row r="27" spans="1:22">
      <c r="A27" s="17" t="str">
        <f t="shared" si="0"/>
        <v>All</v>
      </c>
      <c r="B27" s="208" t="str">
        <f>IF('Mode Opératoire'!$I$1="Français",+'Cpte exploitation ARG'!K27,'Cpte exploitation ARG'!M27)</f>
        <v>Salaires et Charges</v>
      </c>
      <c r="C27" s="2825"/>
      <c r="D27" s="2573">
        <f>SUM('Cuadro de Resultados:Cta explotacion OVS'!D27)</f>
        <v>-6051.5933432022493</v>
      </c>
      <c r="E27" s="2573">
        <f>SUM('Cuadro de Resultados:Cta explotacion OVS'!E27)</f>
        <v>-19945.417504004501</v>
      </c>
      <c r="F27" s="2573">
        <f>SUM('Cuadro de Resultados:Cta explotacion OVS'!F27)</f>
        <v>-38212.085823838104</v>
      </c>
      <c r="G27" s="2573">
        <f>SUM('Cuadro de Resultados:Cta explotacion OVS'!G27)</f>
        <v>-45630.086949485725</v>
      </c>
      <c r="H27" s="2573">
        <f>SUM('Cuadro de Resultados:Cta explotacion OVS'!H27)</f>
        <v>-45630.086949485725</v>
      </c>
      <c r="I27" s="2573">
        <f>SUM('Cuadro de Resultados:Cta explotacion OVS'!I27)</f>
        <v>0</v>
      </c>
      <c r="K27" s="208" t="s">
        <v>43</v>
      </c>
      <c r="L27" s="2825"/>
      <c r="M27" s="1559" t="s">
        <v>842</v>
      </c>
      <c r="U27" s="1708"/>
      <c r="V27" s="1713"/>
    </row>
    <row r="28" spans="1:22">
      <c r="A28" s="17" t="str">
        <f t="shared" si="0"/>
        <v>All</v>
      </c>
      <c r="B28" s="208" t="str">
        <f>IF('Mode Opératoire'!$I$1="Français",+'Cpte exploitation ARG'!K28,'Cpte exploitation ARG'!M28)</f>
        <v>Provisions pour primes</v>
      </c>
      <c r="C28" s="2826"/>
      <c r="D28" s="2573">
        <f>SUM('Cuadro de Resultados:Cta explotacion OVS'!D28)</f>
        <v>-2224.7191011235955</v>
      </c>
      <c r="E28" s="2573">
        <f>SUM('Cuadro de Resultados:Cta explotacion OVS'!E28)</f>
        <v>-5662.9213483146068</v>
      </c>
      <c r="F28" s="2573">
        <f>SUM('Cuadro de Resultados:Cta explotacion OVS'!F28)</f>
        <v>-7280.8988764044943</v>
      </c>
      <c r="G28" s="2573">
        <f>SUM('Cuadro de Resultados:Cta explotacion OVS'!G28)</f>
        <v>-7280.8988764044943</v>
      </c>
      <c r="H28" s="2573">
        <f>SUM('Cuadro de Resultados:Cta explotacion OVS'!H28)</f>
        <v>-7280.8988764044943</v>
      </c>
      <c r="I28" s="2573">
        <f>SUM('Cuadro de Resultados:Cta explotacion OVS'!I28)</f>
        <v>0</v>
      </c>
      <c r="K28" s="208" t="s">
        <v>480</v>
      </c>
      <c r="L28" s="2826"/>
      <c r="M28" s="1559" t="s">
        <v>797</v>
      </c>
      <c r="U28" s="1708"/>
      <c r="V28" s="1713"/>
    </row>
    <row r="29" spans="1:22">
      <c r="A29" s="17" t="str">
        <f t="shared" si="0"/>
        <v>All</v>
      </c>
      <c r="B29" s="208" t="str">
        <f>IF('Mode Opératoire'!$I$1="Français",+'Cpte exploitation ARG'!K29,'Cpte exploitation ARG'!M29)</f>
        <v>Frais d'embauche</v>
      </c>
      <c r="C29" s="2826"/>
      <c r="D29" s="2573">
        <f>SUM('Cuadro de Resultados:Cta explotacion OVS'!D29)</f>
        <v>-1910.1820109147486</v>
      </c>
      <c r="E29" s="2573">
        <f>SUM('Cuadro de Resultados:Cta explotacion OVS'!E29)</f>
        <v>-5617.3262998789332</v>
      </c>
      <c r="F29" s="2573">
        <f>SUM('Cuadro de Resultados:Cta explotacion OVS'!F29)</f>
        <v>-10147.527448510684</v>
      </c>
      <c r="G29" s="2573">
        <f>SUM('Cuadro de Resultados:Cta explotacion OVS'!G29)</f>
        <v>-12117.437449828474</v>
      </c>
      <c r="H29" s="2573">
        <f>SUM('Cuadro de Resultados:Cta explotacion OVS'!H29)</f>
        <v>-12117.437449828474</v>
      </c>
      <c r="I29" s="2573">
        <f>SUM('Cuadro de Resultados:Cta explotacion OVS'!I29)</f>
        <v>0</v>
      </c>
      <c r="K29" s="208" t="s">
        <v>423</v>
      </c>
      <c r="L29" s="2826"/>
      <c r="M29" s="1559" t="s">
        <v>227</v>
      </c>
      <c r="U29" s="1708"/>
      <c r="V29" s="1713"/>
    </row>
    <row r="30" spans="1:22">
      <c r="A30" s="17" t="str">
        <f t="shared" si="0"/>
        <v>All</v>
      </c>
      <c r="B30" s="208" t="str">
        <f>IF('Mode Opératoire'!$I$1="Français",+'Cpte exploitation ARG'!K30,'Cpte exploitation ARG'!M30)</f>
        <v>Intérim</v>
      </c>
      <c r="C30" s="2826"/>
      <c r="D30" s="2573">
        <f>SUM('Cuadro de Resultados:Cta explotacion OVS'!D30)</f>
        <v>-20089.887640449437</v>
      </c>
      <c r="E30" s="2573">
        <f>SUM('Cuadro de Resultados:Cta explotacion OVS'!E30)</f>
        <v>-20089.887640449437</v>
      </c>
      <c r="F30" s="2573">
        <f>SUM('Cuadro de Resultados:Cta explotacion OVS'!F30)</f>
        <v>-20089.887640449437</v>
      </c>
      <c r="G30" s="2573">
        <f>SUM('Cuadro de Resultados:Cta explotacion OVS'!G30)</f>
        <v>-20089.887640449437</v>
      </c>
      <c r="H30" s="2573">
        <f>SUM('Cuadro de Resultados:Cta explotacion OVS'!H30)</f>
        <v>-20089.887640449437</v>
      </c>
      <c r="I30" s="2573">
        <f>SUM('Cuadro de Resultados:Cta explotacion OVS'!I30)</f>
        <v>0</v>
      </c>
      <c r="K30" s="208" t="s">
        <v>76</v>
      </c>
      <c r="L30" s="2826"/>
      <c r="M30" s="1559" t="s">
        <v>87</v>
      </c>
      <c r="U30" s="1708"/>
      <c r="V30" s="1713"/>
    </row>
    <row r="31" spans="1:22">
      <c r="A31" s="17" t="str">
        <f t="shared" si="0"/>
        <v>All</v>
      </c>
      <c r="B31" s="208" t="str">
        <f>IF('Mode Opératoire'!$I$1="Français",+'Cpte exploitation ARG'!K31,'Cpte exploitation ARG'!M31)</f>
        <v xml:space="preserve">Formation </v>
      </c>
      <c r="C31" s="2826"/>
      <c r="D31" s="2573">
        <f>SUM('Cuadro de Resultados:Cta explotacion OVS'!D31)</f>
        <v>-34276.382095690031</v>
      </c>
      <c r="E31" s="2573">
        <f>SUM('Cuadro de Resultados:Cta explotacion OVS'!E31)</f>
        <v>-55315.552792647482</v>
      </c>
      <c r="F31" s="2573">
        <f>SUM('Cuadro de Resultados:Cta explotacion OVS'!F31)</f>
        <v>-79730.399789202726</v>
      </c>
      <c r="G31" s="2573">
        <f>SUM('Cuadro de Resultados:Cta explotacion OVS'!G31)</f>
        <v>-89118.310916168135</v>
      </c>
      <c r="H31" s="2573">
        <f>SUM('Cuadro de Resultados:Cta explotacion OVS'!H31)</f>
        <v>-89118.310916168135</v>
      </c>
      <c r="I31" s="2573">
        <f>SUM('Cuadro de Resultados:Cta explotacion OVS'!I31)</f>
        <v>0</v>
      </c>
      <c r="K31" s="208" t="s">
        <v>86</v>
      </c>
      <c r="L31" s="2826"/>
      <c r="M31" s="1559" t="s">
        <v>88</v>
      </c>
      <c r="U31" s="1708"/>
      <c r="V31" s="1713"/>
    </row>
    <row r="32" spans="1:22">
      <c r="A32" s="17" t="str">
        <f t="shared" si="0"/>
        <v>All</v>
      </c>
      <c r="B32" s="208" t="str">
        <f>IF('Mode Opératoire'!$I$1="Français",+'Cpte exploitation ARG'!K32,'Cpte exploitation ARG'!M32)</f>
        <v>Cantine</v>
      </c>
      <c r="C32" s="2826"/>
      <c r="D32" s="2573">
        <f>SUM('Cuadro de Resultados:Cta explotacion OVS'!D32)</f>
        <v>-13483.14606741573</v>
      </c>
      <c r="E32" s="2573">
        <f>SUM('Cuadro de Resultados:Cta explotacion OVS'!E32)</f>
        <v>-26966.292134831459</v>
      </c>
      <c r="F32" s="2573">
        <f>SUM('Cuadro de Resultados:Cta explotacion OVS'!F32)</f>
        <v>-26966.292134831459</v>
      </c>
      <c r="G32" s="2573">
        <f>SUM('Cuadro de Resultados:Cta explotacion OVS'!G32)</f>
        <v>-26966.292134831459</v>
      </c>
      <c r="H32" s="2573">
        <f>SUM('Cuadro de Resultados:Cta explotacion OVS'!H32)</f>
        <v>-26966.292134831459</v>
      </c>
      <c r="I32" s="2573">
        <f>SUM('Cuadro de Resultados:Cta explotacion OVS'!I32)</f>
        <v>0</v>
      </c>
      <c r="K32" s="208" t="s">
        <v>376</v>
      </c>
      <c r="L32" s="2826"/>
      <c r="M32" s="1559" t="s">
        <v>376</v>
      </c>
      <c r="U32" s="1708"/>
      <c r="V32" s="1713"/>
    </row>
    <row r="33" spans="1:22">
      <c r="A33" s="17" t="str">
        <f t="shared" si="0"/>
        <v>All</v>
      </c>
      <c r="B33" s="208" t="str">
        <f>IF('Mode Opératoire'!$I$1="Français",+'Cpte exploitation ARG'!K33,'Cpte exploitation ARG'!M33)</f>
        <v>Autres frais de personnel</v>
      </c>
      <c r="C33" s="2827"/>
      <c r="D33" s="2573">
        <f>SUM('Cuadro de Resultados:Cta explotacion OVS'!D33)</f>
        <v>-6354.1730103623604</v>
      </c>
      <c r="E33" s="2573">
        <f>SUM('Cuadro de Resultados:Cta explotacion OVS'!E33)</f>
        <v>-20942.688379204719</v>
      </c>
      <c r="F33" s="2573">
        <f>SUM('Cuadro de Resultados:Cta explotacion OVS'!F33)</f>
        <v>-40122.690115030004</v>
      </c>
      <c r="G33" s="2573">
        <f>SUM('Cuadro de Resultados:Cta explotacion OVS'!G33)</f>
        <v>-47911.59129696001</v>
      </c>
      <c r="H33" s="2573">
        <f>SUM('Cuadro de Resultados:Cta explotacion OVS'!H33)</f>
        <v>-47911.59129696001</v>
      </c>
      <c r="I33" s="2573">
        <f>SUM('Cuadro de Resultados:Cta explotacion OVS'!I33)</f>
        <v>0</v>
      </c>
      <c r="K33" s="208" t="s">
        <v>46</v>
      </c>
      <c r="L33" s="2827"/>
      <c r="M33" s="1559" t="s">
        <v>103</v>
      </c>
      <c r="U33" s="1708"/>
      <c r="V33" s="1713"/>
    </row>
    <row r="34" spans="1:22">
      <c r="A34" s="17" t="str">
        <f t="shared" si="0"/>
        <v>All</v>
      </c>
      <c r="B34" s="233" t="str">
        <f>IF('Mode Opératoire'!$I$1="Français",+'Cpte exploitation ARG'!K34,'Cpte exploitation ARG'!M34)</f>
        <v>Frais de personnel</v>
      </c>
      <c r="C34" s="234"/>
      <c r="D34" s="1068">
        <f t="shared" ref="D34:I34" si="7">SUM(D27:D33)</f>
        <v>-84390.083269158145</v>
      </c>
      <c r="E34" s="1069">
        <f t="shared" si="7"/>
        <v>-154540.08609933112</v>
      </c>
      <c r="F34" s="1068">
        <f t="shared" si="7"/>
        <v>-222549.78182826692</v>
      </c>
      <c r="G34" s="1068">
        <f t="shared" si="7"/>
        <v>-249114.50526412771</v>
      </c>
      <c r="H34" s="1068">
        <f t="shared" si="7"/>
        <v>-249114.50526412771</v>
      </c>
      <c r="I34" s="1068">
        <f t="shared" si="7"/>
        <v>0</v>
      </c>
      <c r="K34" s="233" t="s">
        <v>117</v>
      </c>
      <c r="L34" s="234"/>
      <c r="M34" s="1568" t="s">
        <v>89</v>
      </c>
      <c r="U34" s="1708"/>
      <c r="V34" s="1713"/>
    </row>
    <row r="35" spans="1:22">
      <c r="A35" s="17" t="str">
        <f t="shared" si="0"/>
        <v>All</v>
      </c>
      <c r="B35" s="208" t="str">
        <f>IF('Mode Opératoire'!$I$1="Français",+'Cpte exploitation ARG'!K35,'Cpte exploitation ARG'!M35)</f>
        <v>Amortissements d'exploitation</v>
      </c>
      <c r="C35" s="222"/>
      <c r="D35" s="2573">
        <f>SUM('Cuadro de Resultados:Cta explotacion OVS'!D35)</f>
        <v>-23185.321021029169</v>
      </c>
      <c r="E35" s="2573">
        <f>SUM('Cuadro de Resultados:Cta explotacion OVS'!E35)</f>
        <v>-51256.982457287253</v>
      </c>
      <c r="F35" s="2573">
        <f>SUM('Cuadro de Resultados:Cta explotacion OVS'!F35)</f>
        <v>-70436.984193112541</v>
      </c>
      <c r="G35" s="2573">
        <f>SUM('Cuadro de Resultados:Cta explotacion OVS'!G35)</f>
        <v>-78225.885375042548</v>
      </c>
      <c r="H35" s="2573">
        <f>SUM('Cuadro de Resultados:Cta explotacion OVS'!H35)</f>
        <v>-78225.885375042548</v>
      </c>
      <c r="I35" s="2573">
        <f>SUM('Cuadro de Resultados:Cta explotacion OVS'!I35)</f>
        <v>0</v>
      </c>
      <c r="K35" s="208" t="s">
        <v>128</v>
      </c>
      <c r="L35" s="222"/>
      <c r="M35" s="1559" t="s">
        <v>104</v>
      </c>
      <c r="U35" s="1708"/>
      <c r="V35" s="1713"/>
    </row>
    <row r="36" spans="1:22" s="23" customFormat="1">
      <c r="A36" s="17" t="str">
        <f t="shared" si="0"/>
        <v>All</v>
      </c>
      <c r="B36" s="208" t="str">
        <f>IF('Mode Opératoire'!$I$1="Français",+'Cpte exploitation ARG'!K36,'Cpte exploitation ARG'!M36)</f>
        <v>Location d'engins</v>
      </c>
      <c r="C36" s="222"/>
      <c r="D36" s="2573">
        <f>SUM('Cuadro de Resultados:Cta explotacion OVS'!D36)</f>
        <v>-154149.34356615739</v>
      </c>
      <c r="E36" s="2573">
        <f>SUM('Cuadro de Resultados:Cta explotacion OVS'!E36)</f>
        <v>-219601.74873308081</v>
      </c>
      <c r="F36" s="2573">
        <f>SUM('Cuadro de Resultados:Cta explotacion OVS'!F36)</f>
        <v>-290432.55252164108</v>
      </c>
      <c r="G36" s="2573">
        <f>SUM('Cuadro de Resultados:Cta explotacion OVS'!G36)</f>
        <v>-307609.36483053654</v>
      </c>
      <c r="H36" s="2573">
        <f>SUM('Cuadro de Resultados:Cta explotacion OVS'!H36)</f>
        <v>-307609.36483053654</v>
      </c>
      <c r="I36" s="2573" t="e">
        <f>SUM('Cuadro de Resultados:Cta explotacion OVS'!I36)</f>
        <v>#REF!</v>
      </c>
      <c r="K36" s="208" t="s">
        <v>47</v>
      </c>
      <c r="L36" s="222"/>
      <c r="M36" s="1559" t="s">
        <v>105</v>
      </c>
      <c r="U36" s="1710"/>
      <c r="V36" s="1715"/>
    </row>
    <row r="37" spans="1:22">
      <c r="A37" s="17" t="str">
        <f t="shared" si="0"/>
        <v>All</v>
      </c>
      <c r="B37" s="208" t="str">
        <f>IF('Mode Opératoire'!$I$1="Français",+'Cpte exploitation ARG'!K37,'Cpte exploitation ARG'!M37)</f>
        <v>Achat de petits matériels</v>
      </c>
      <c r="C37" s="222"/>
      <c r="D37" s="2573">
        <f>SUM('Cuadro de Resultados:Cta explotacion OVS'!D37)</f>
        <v>-1.0189008733662732</v>
      </c>
      <c r="E37" s="2573">
        <f>SUM('Cuadro de Resultados:Cta explotacion OVS'!E37)</f>
        <v>-0.44040541881660938</v>
      </c>
      <c r="F37" s="2573">
        <f>SUM('Cuadro de Resultados:Cta explotacion OVS'!F37)</f>
        <v>-0.30402166880977599</v>
      </c>
      <c r="G37" s="2573">
        <f>SUM('Cuadro de Resultados:Cta explotacion OVS'!G37)</f>
        <v>-0.26965485748126844</v>
      </c>
      <c r="H37" s="2573">
        <f>SUM('Cuadro de Resultados:Cta explotacion OVS'!H37)</f>
        <v>-0.26965485748126844</v>
      </c>
      <c r="I37" s="2573">
        <f>SUM('Cuadro de Resultados:Cta explotacion OVS'!I37)</f>
        <v>0</v>
      </c>
      <c r="J37" s="35"/>
      <c r="K37" s="208" t="s">
        <v>48</v>
      </c>
      <c r="L37" s="222"/>
      <c r="M37" s="1559" t="s">
        <v>106</v>
      </c>
      <c r="U37" s="1708"/>
      <c r="V37" s="1713"/>
    </row>
    <row r="38" spans="1:22">
      <c r="A38" s="17" t="str">
        <f t="shared" si="0"/>
        <v>All</v>
      </c>
      <c r="B38" s="208" t="str">
        <f>IF('Mode Opératoire'!$I$1="Français",+'Cpte exploitation ARG'!K38,'Cpte exploitation ARG'!M38)</f>
        <v>Eau / EDF</v>
      </c>
      <c r="C38" s="222"/>
      <c r="D38" s="2573">
        <f>SUM('Cuadro de Resultados:Cta explotacion OVS'!D38)</f>
        <v>-96668.696316888323</v>
      </c>
      <c r="E38" s="2573">
        <f>SUM('Cuadro de Resultados:Cta explotacion OVS'!E38)</f>
        <v>-31020.417618387495</v>
      </c>
      <c r="F38" s="2573">
        <f>SUM('Cuadro de Resultados:Cta explotacion OVS'!F38)</f>
        <v>70857.717294635426</v>
      </c>
      <c r="G38" s="2573">
        <f>SUM('Cuadro de Resultados:Cta explotacion OVS'!G38)</f>
        <v>123817.13467333163</v>
      </c>
      <c r="H38" s="2573">
        <f>SUM('Cuadro de Resultados:Cta explotacion OVS'!H38)</f>
        <v>123817.13467333163</v>
      </c>
      <c r="I38" s="2573" t="e">
        <f>SUM('Cuadro de Resultados:Cta explotacion OVS'!I38)</f>
        <v>#REF!</v>
      </c>
      <c r="J38" s="35"/>
      <c r="K38" s="208" t="s">
        <v>364</v>
      </c>
      <c r="L38" s="222"/>
      <c r="M38" s="1559" t="s">
        <v>737</v>
      </c>
      <c r="U38" s="1708"/>
      <c r="V38" s="1713"/>
    </row>
    <row r="39" spans="1:22">
      <c r="A39" s="17" t="str">
        <f t="shared" si="0"/>
        <v>All</v>
      </c>
      <c r="B39" s="208" t="str">
        <f>IF('Mode Opératoire'!$I$1="Français",+'Cpte exploitation ARG'!K39,'Cpte exploitation ARG'!M39)</f>
        <v>Frais déplacement + frais annexes</v>
      </c>
      <c r="C39" s="862"/>
      <c r="D39" s="2573">
        <f>SUM('Cuadro de Resultados:Cta explotacion OVS'!D39)</f>
        <v>-0.6389635974167116</v>
      </c>
      <c r="E39" s="2573">
        <f>SUM('Cuadro de Resultados:Cta explotacion OVS'!E39)</f>
        <v>-6.2210615771085144E-2</v>
      </c>
      <c r="F39" s="2573">
        <f>SUM('Cuadro de Resultados:Cta explotacion OVS'!F39)</f>
        <v>7.4173095518833762E-2</v>
      </c>
      <c r="G39" s="2573">
        <f>SUM('Cuadro de Resultados:Cta explotacion OVS'!G39)</f>
        <v>0.10853990684734131</v>
      </c>
      <c r="H39" s="2573">
        <f>SUM('Cuadro de Resultados:Cta explotacion OVS'!H39)</f>
        <v>0.10853990684734131</v>
      </c>
      <c r="I39" s="2573">
        <f>SUM('Cuadro de Resultados:Cta explotacion OVS'!I39)</f>
        <v>0</v>
      </c>
      <c r="J39" s="35"/>
      <c r="K39" s="208" t="s">
        <v>481</v>
      </c>
      <c r="L39" s="862"/>
      <c r="M39" s="1559" t="s">
        <v>837</v>
      </c>
      <c r="U39" s="1708"/>
      <c r="V39" s="1713"/>
    </row>
    <row r="40" spans="1:22">
      <c r="A40" s="17" t="str">
        <f t="shared" si="0"/>
        <v>All</v>
      </c>
      <c r="B40" s="208" t="str">
        <f>IF('Mode Opératoire'!$I$1="Français",+'Cpte exploitation ARG'!K40,'Cpte exploitation ARG'!M40)</f>
        <v xml:space="preserve">Entretien et réparation </v>
      </c>
      <c r="C40" s="222"/>
      <c r="D40" s="2573">
        <f>SUM('Cuadro de Resultados:Cta explotacion OVS'!D40)</f>
        <v>0</v>
      </c>
      <c r="E40" s="2573">
        <f>SUM('Cuadro de Resultados:Cta explotacion OVS'!E40)</f>
        <v>0</v>
      </c>
      <c r="F40" s="2573">
        <f>SUM('Cuadro de Resultados:Cta explotacion OVS'!F40)</f>
        <v>0</v>
      </c>
      <c r="G40" s="2573">
        <f>SUM('Cuadro de Resultados:Cta explotacion OVS'!G40)</f>
        <v>0</v>
      </c>
      <c r="H40" s="2573">
        <f>SUM('Cuadro de Resultados:Cta explotacion OVS'!H40)</f>
        <v>0</v>
      </c>
      <c r="I40" s="2573">
        <f>SUM('Cuadro de Resultados:Cta explotacion OVS'!I40)</f>
        <v>0</v>
      </c>
      <c r="J40" s="35"/>
      <c r="K40" s="208" t="s">
        <v>49</v>
      </c>
      <c r="L40" s="222"/>
      <c r="M40" s="1559" t="s">
        <v>107</v>
      </c>
      <c r="U40" s="1708"/>
      <c r="V40" s="1713"/>
    </row>
    <row r="41" spans="1:22">
      <c r="A41" s="17" t="str">
        <f t="shared" si="0"/>
        <v>All</v>
      </c>
      <c r="B41" s="208" t="str">
        <f>IF('Mode Opératoire'!$I$1="Français",+'Cpte exploitation ARG'!K41,'Cpte exploitation ARG'!M41)</f>
        <v>Autres frais d'exploitation</v>
      </c>
      <c r="C41" s="222"/>
      <c r="D41" s="2573">
        <f>SUM('Cuadro de Resultados:Cta explotacion OVS'!D41)</f>
        <v>0</v>
      </c>
      <c r="E41" s="2573">
        <f>SUM('Cuadro de Resultados:Cta explotacion OVS'!E41)</f>
        <v>0</v>
      </c>
      <c r="F41" s="2573">
        <f>SUM('Cuadro de Resultados:Cta explotacion OVS'!F41)</f>
        <v>0</v>
      </c>
      <c r="G41" s="2573">
        <f>SUM('Cuadro de Resultados:Cta explotacion OVS'!G41)</f>
        <v>0</v>
      </c>
      <c r="H41" s="2573">
        <f>SUM('Cuadro de Resultados:Cta explotacion OVS'!H41)</f>
        <v>0</v>
      </c>
      <c r="I41" s="2573">
        <f>SUM('Cuadro de Resultados:Cta explotacion OVS'!I41)</f>
        <v>0</v>
      </c>
      <c r="K41" s="208" t="s">
        <v>50</v>
      </c>
      <c r="L41" s="222"/>
      <c r="M41" s="1559" t="s">
        <v>108</v>
      </c>
      <c r="U41" s="1708"/>
      <c r="V41" s="1713"/>
    </row>
    <row r="42" spans="1:22">
      <c r="A42" s="17" t="str">
        <f t="shared" si="0"/>
        <v>All</v>
      </c>
      <c r="B42" s="233" t="str">
        <f>IF('Mode Opératoire'!$I$1="Français",+'Cpte exploitation ARG'!K42,'Cpte exploitation ARG'!M42)</f>
        <v>Autres frais d'exploitation</v>
      </c>
      <c r="C42" s="234"/>
      <c r="D42" s="1068">
        <f t="shared" ref="D42:I42" si="8">SUM(D35:D41)</f>
        <v>-274005.01876854565</v>
      </c>
      <c r="E42" s="1069">
        <f t="shared" si="8"/>
        <v>-301879.65142479015</v>
      </c>
      <c r="F42" s="1068">
        <f t="shared" si="8"/>
        <v>-290012.04926869145</v>
      </c>
      <c r="G42" s="1068">
        <f t="shared" si="8"/>
        <v>-262018.27664719807</v>
      </c>
      <c r="H42" s="1068">
        <f t="shared" si="8"/>
        <v>-262018.27664719807</v>
      </c>
      <c r="I42" s="1068" t="e">
        <f t="shared" si="8"/>
        <v>#REF!</v>
      </c>
      <c r="K42" s="233" t="s">
        <v>50</v>
      </c>
      <c r="L42" s="234"/>
      <c r="M42" s="1568" t="s">
        <v>778</v>
      </c>
      <c r="U42" s="1708"/>
      <c r="V42" s="1713"/>
    </row>
    <row r="43" spans="1:22">
      <c r="A43" s="17" t="str">
        <f t="shared" si="0"/>
        <v>All</v>
      </c>
      <c r="B43" s="208" t="str">
        <f>IF('Mode Opératoire'!$I$1="Français",+'Cpte exploitation ARG'!K43,'Cpte exploitation ARG'!M43)</f>
        <v>Amortissements agence</v>
      </c>
      <c r="C43" s="222"/>
      <c r="D43" s="2573">
        <f>SUM('Cuadro de Resultados:Cta explotacion OVS'!D43)</f>
        <v>2.4000000000000004</v>
      </c>
      <c r="E43" s="2573">
        <f>SUM('Cuadro de Resultados:Cta explotacion OVS'!E43)</f>
        <v>3</v>
      </c>
      <c r="F43" s="2573">
        <f>SUM('Cuadro de Resultados:Cta explotacion OVS'!F43)</f>
        <v>3</v>
      </c>
      <c r="G43" s="2573">
        <f>SUM('Cuadro de Resultados:Cta explotacion OVS'!G43)</f>
        <v>3</v>
      </c>
      <c r="H43" s="2573">
        <f>SUM('Cuadro de Resultados:Cta explotacion OVS'!H43)</f>
        <v>3</v>
      </c>
      <c r="I43" s="2573" t="e">
        <f>SUM('Cuadro de Resultados:Cta explotacion OVS'!I43)</f>
        <v>#REF!</v>
      </c>
      <c r="J43" s="35"/>
      <c r="K43" s="208" t="s">
        <v>129</v>
      </c>
      <c r="L43" s="222"/>
      <c r="M43" s="1559" t="s">
        <v>109</v>
      </c>
      <c r="U43" s="1708"/>
      <c r="V43" s="1713"/>
    </row>
    <row r="44" spans="1:22">
      <c r="A44" s="17" t="str">
        <f t="shared" si="0"/>
        <v>All</v>
      </c>
      <c r="B44" s="208" t="str">
        <f>IF('Mode Opératoire'!$I$1="Français",+'Cpte exploitation ARG'!K44,'Cpte exploitation ARG'!M44)</f>
        <v>Entretien Batiments</v>
      </c>
      <c r="C44" s="222"/>
      <c r="D44" s="2573">
        <f>SUM('Cuadro de Resultados:Cta explotacion OVS'!D44)</f>
        <v>0</v>
      </c>
      <c r="E44" s="2573">
        <f>SUM('Cuadro de Resultados:Cta explotacion OVS'!E44)</f>
        <v>0</v>
      </c>
      <c r="F44" s="2573">
        <f>SUM('Cuadro de Resultados:Cta explotacion OVS'!F44)</f>
        <v>0</v>
      </c>
      <c r="G44" s="2573">
        <f>SUM('Cuadro de Resultados:Cta explotacion OVS'!G44)</f>
        <v>0</v>
      </c>
      <c r="H44" s="2573">
        <f>SUM('Cuadro de Resultados:Cta explotacion OVS'!H44)</f>
        <v>0</v>
      </c>
      <c r="I44" s="2573">
        <f>SUM('Cuadro de Resultados:Cta explotacion OVS'!I44)</f>
        <v>0</v>
      </c>
      <c r="K44" s="208" t="s">
        <v>51</v>
      </c>
      <c r="L44" s="222"/>
      <c r="M44" s="1559" t="s">
        <v>110</v>
      </c>
      <c r="U44" s="1708"/>
      <c r="V44" s="1713"/>
    </row>
    <row r="45" spans="1:22">
      <c r="A45" s="17" t="str">
        <f t="shared" si="0"/>
        <v>All</v>
      </c>
      <c r="B45" s="208" t="str">
        <f>IF('Mode Opératoire'!$I$1="Français",+'Cpte exploitation ARG'!K45,'Cpte exploitation ARG'!M45)</f>
        <v>Loyer</v>
      </c>
      <c r="C45" s="222"/>
      <c r="D45" s="2573">
        <f>SUM('Cuadro de Resultados:Cta explotacion OVS'!D45)</f>
        <v>0</v>
      </c>
      <c r="E45" s="2573">
        <f>SUM('Cuadro de Resultados:Cta explotacion OVS'!E45)</f>
        <v>0</v>
      </c>
      <c r="F45" s="2573">
        <f>SUM('Cuadro de Resultados:Cta explotacion OVS'!F45)</f>
        <v>0</v>
      </c>
      <c r="G45" s="2573">
        <f>SUM('Cuadro de Resultados:Cta explotacion OVS'!G45)</f>
        <v>0</v>
      </c>
      <c r="H45" s="2573">
        <f>SUM('Cuadro de Resultados:Cta explotacion OVS'!H45)</f>
        <v>0</v>
      </c>
      <c r="I45" s="2573">
        <f>SUM('Cuadro de Resultados:Cta explotacion OVS'!I45)</f>
        <v>0</v>
      </c>
      <c r="K45" s="208" t="s">
        <v>23</v>
      </c>
      <c r="L45" s="222"/>
      <c r="M45" s="1559" t="s">
        <v>111</v>
      </c>
      <c r="U45" s="1708"/>
      <c r="V45" s="1713"/>
    </row>
    <row r="46" spans="1:22">
      <c r="B46" s="208" t="str">
        <f>IF('Mode Opératoire'!$I$1="Français",+'Cpte exploitation ARG'!K46,'Cpte exploitation ARG'!M46)</f>
        <v>Coût de transfert</v>
      </c>
      <c r="C46" s="222"/>
      <c r="D46" s="2573">
        <f>SUM('Cuadro de Resultados:Cta explotacion OVS'!D46)</f>
        <v>0</v>
      </c>
      <c r="E46" s="2573">
        <f>SUM('Cuadro de Resultados:Cta explotacion OVS'!E46)</f>
        <v>0</v>
      </c>
      <c r="F46" s="2573">
        <f>SUM('Cuadro de Resultados:Cta explotacion OVS'!F46)</f>
        <v>0</v>
      </c>
      <c r="G46" s="2573">
        <f>SUM('Cuadro de Resultados:Cta explotacion OVS'!G46)</f>
        <v>0</v>
      </c>
      <c r="H46" s="2573">
        <f>SUM('Cuadro de Resultados:Cta explotacion OVS'!H46)</f>
        <v>0</v>
      </c>
      <c r="I46" s="2573">
        <f>SUM('Cuadro de Resultados:Cta explotacion OVS'!I46)</f>
        <v>0</v>
      </c>
      <c r="K46" s="208" t="s">
        <v>652</v>
      </c>
      <c r="L46" s="222"/>
      <c r="M46" s="1559" t="s">
        <v>735</v>
      </c>
      <c r="U46" s="1708"/>
      <c r="V46" s="1713"/>
    </row>
    <row r="47" spans="1:22">
      <c r="B47" s="208" t="str">
        <f>IF('Mode Opératoire'!$I$1="Français",+'Cpte exploitation ARG'!K47,'Cpte exploitation ARG'!M47)</f>
        <v>Locations diverses (hors immobilière)</v>
      </c>
      <c r="C47" s="222"/>
      <c r="D47" s="2573">
        <f>SUM('Cuadro de Resultados:Cta explotacion OVS'!D47)</f>
        <v>0</v>
      </c>
      <c r="E47" s="2573">
        <f>SUM('Cuadro de Resultados:Cta explotacion OVS'!E47)</f>
        <v>0</v>
      </c>
      <c r="F47" s="2573">
        <f>SUM('Cuadro de Resultados:Cta explotacion OVS'!F47)</f>
        <v>0</v>
      </c>
      <c r="G47" s="2573">
        <f>SUM('Cuadro de Resultados:Cta explotacion OVS'!G47)</f>
        <v>0</v>
      </c>
      <c r="H47" s="2573">
        <f>SUM('Cuadro de Resultados:Cta explotacion OVS'!H47)</f>
        <v>0</v>
      </c>
      <c r="I47" s="2573">
        <f>SUM('Cuadro de Resultados:Cta explotacion OVS'!I47)</f>
        <v>0</v>
      </c>
      <c r="K47" s="208" t="s">
        <v>641</v>
      </c>
      <c r="L47" s="222"/>
      <c r="M47" s="1559" t="s">
        <v>736</v>
      </c>
      <c r="U47" s="1708"/>
      <c r="V47" s="1713"/>
    </row>
    <row r="48" spans="1:22">
      <c r="A48" s="17" t="str">
        <f t="shared" si="0"/>
        <v>All</v>
      </c>
      <c r="B48" s="208" t="str">
        <f>IF('Mode Opératoire'!$I$1="Français",+'Cpte exploitation ARG'!K48,'Cpte exploitation ARG'!M48)</f>
        <v>Honoraires</v>
      </c>
      <c r="C48" s="222"/>
      <c r="D48" s="2573">
        <f>SUM('Cuadro de Resultados:Cta explotacion OVS'!D48)</f>
        <v>0</v>
      </c>
      <c r="E48" s="2573">
        <f>SUM('Cuadro de Resultados:Cta explotacion OVS'!E48)</f>
        <v>0</v>
      </c>
      <c r="F48" s="2573">
        <f>SUM('Cuadro de Resultados:Cta explotacion OVS'!F48)</f>
        <v>0</v>
      </c>
      <c r="G48" s="2573">
        <f>SUM('Cuadro de Resultados:Cta explotacion OVS'!G48)</f>
        <v>0</v>
      </c>
      <c r="H48" s="2573">
        <f>SUM('Cuadro de Resultados:Cta explotacion OVS'!H48)</f>
        <v>0</v>
      </c>
      <c r="I48" s="2573">
        <f>SUM('Cuadro de Resultados:Cta explotacion OVS'!I48)</f>
        <v>0</v>
      </c>
      <c r="K48" s="208" t="s">
        <v>77</v>
      </c>
      <c r="L48" s="222"/>
      <c r="M48" s="1559" t="s">
        <v>112</v>
      </c>
      <c r="U48" s="1708"/>
      <c r="V48" s="1713"/>
    </row>
    <row r="49" spans="1:22">
      <c r="A49" s="17" t="str">
        <f t="shared" si="0"/>
        <v>All</v>
      </c>
      <c r="B49" s="208" t="str">
        <f>IF('Mode Opératoire'!$I$1="Français",+'Cpte exploitation ARG'!K49,'Cpte exploitation ARG'!M49)</f>
        <v>Autres frais de structure</v>
      </c>
      <c r="C49" s="222"/>
      <c r="D49" s="2573">
        <f>SUM('Cuadro de Resultados:Cta explotacion OVS'!D49)</f>
        <v>0</v>
      </c>
      <c r="E49" s="2573">
        <f>SUM('Cuadro de Resultados:Cta explotacion OVS'!E49)</f>
        <v>0</v>
      </c>
      <c r="F49" s="2573">
        <f>SUM('Cuadro de Resultados:Cta explotacion OVS'!F49)</f>
        <v>0</v>
      </c>
      <c r="G49" s="2573">
        <f>SUM('Cuadro de Resultados:Cta explotacion OVS'!G49)</f>
        <v>0</v>
      </c>
      <c r="H49" s="2573">
        <f>SUM('Cuadro de Resultados:Cta explotacion OVS'!H49)</f>
        <v>0</v>
      </c>
      <c r="I49" s="2573">
        <f>SUM('Cuadro de Resultados:Cta explotacion OVS'!I49)</f>
        <v>0</v>
      </c>
      <c r="K49" s="208" t="s">
        <v>52</v>
      </c>
      <c r="L49" s="222"/>
      <c r="M49" s="1559" t="s">
        <v>838</v>
      </c>
      <c r="U49" s="1708"/>
      <c r="V49" s="1713"/>
    </row>
    <row r="50" spans="1:22">
      <c r="A50" s="17" t="str">
        <f t="shared" si="0"/>
        <v>All</v>
      </c>
      <c r="B50" s="233" t="str">
        <f>IF('Mode Opératoire'!$I$1="Français",+'Cpte exploitation ARG'!K50,'Cpte exploitation ARG'!M50)</f>
        <v>Frais d'agence</v>
      </c>
      <c r="C50" s="234"/>
      <c r="D50" s="1068">
        <f t="shared" ref="D50:I50" si="9">SUM(D43:D49)</f>
        <v>2.4000000000000004</v>
      </c>
      <c r="E50" s="1069">
        <f t="shared" si="9"/>
        <v>3</v>
      </c>
      <c r="F50" s="1068">
        <f t="shared" si="9"/>
        <v>3</v>
      </c>
      <c r="G50" s="1068">
        <f t="shared" si="9"/>
        <v>3</v>
      </c>
      <c r="H50" s="1068">
        <f t="shared" si="9"/>
        <v>3</v>
      </c>
      <c r="I50" s="1068" t="e">
        <f t="shared" si="9"/>
        <v>#REF!</v>
      </c>
      <c r="K50" s="233" t="s">
        <v>119</v>
      </c>
      <c r="L50" s="234"/>
      <c r="M50" s="1568" t="s">
        <v>92</v>
      </c>
      <c r="U50" s="1708"/>
      <c r="V50" s="1713"/>
    </row>
    <row r="51" spans="1:22">
      <c r="A51" s="17" t="str">
        <f t="shared" si="0"/>
        <v>All</v>
      </c>
      <c r="B51" s="209" t="str">
        <f>IF('Mode Opératoire'!$I$1="Français",+'Cpte exploitation ARG'!K51,'Cpte exploitation ARG'!M51)</f>
        <v>Dépréciation de créances douteuses</v>
      </c>
      <c r="C51" s="223"/>
      <c r="D51" s="1583"/>
      <c r="E51" s="1583"/>
      <c r="F51" s="1583"/>
      <c r="G51" s="1583"/>
      <c r="H51" s="1583"/>
      <c r="I51" s="1583"/>
      <c r="K51" s="209" t="s">
        <v>188</v>
      </c>
      <c r="L51" s="223"/>
      <c r="M51" s="1569" t="s">
        <v>198</v>
      </c>
      <c r="U51" s="1708"/>
      <c r="V51" s="1713"/>
    </row>
    <row r="52" spans="1:22">
      <c r="A52" s="17" t="str">
        <f t="shared" si="0"/>
        <v>All</v>
      </c>
      <c r="B52" s="210" t="str">
        <f>IF('Mode Opératoire'!$I$1="Français",+'Cpte exploitation ARG'!K52,'Cpte exploitation ARG'!M52)</f>
        <v xml:space="preserve">Frais opérationnels </v>
      </c>
      <c r="C52" s="211"/>
      <c r="D52" s="1061">
        <f>SUM('Cuadro de Resultados:Cta explotacion OVS'!D52)</f>
        <v>0</v>
      </c>
      <c r="E52" s="1061">
        <f>SUM('Cuadro de Resultados:Cta explotacion OVS'!E52)</f>
        <v>0</v>
      </c>
      <c r="F52" s="1061">
        <f>SUM('Cuadro de Resultados:Cta explotacion OVS'!F52)</f>
        <v>0</v>
      </c>
      <c r="G52" s="1061">
        <f>SUM('Cuadro de Resultados:Cta explotacion OVS'!G52)</f>
        <v>0</v>
      </c>
      <c r="H52" s="1061">
        <f>SUM('Cuadro de Resultados:Cta explotacion OVS'!H52)</f>
        <v>0</v>
      </c>
      <c r="I52" s="1061">
        <f>SUM('Cuadro de Resultados:Cta explotacion OVS'!I52)</f>
        <v>0</v>
      </c>
      <c r="J52" s="451"/>
      <c r="K52" s="210" t="s">
        <v>135</v>
      </c>
      <c r="L52" s="211"/>
      <c r="M52" s="1570" t="s">
        <v>93</v>
      </c>
      <c r="U52" s="1708"/>
      <c r="V52" s="1713"/>
    </row>
    <row r="53" spans="1:22">
      <c r="A53" s="17" t="str">
        <f t="shared" si="0"/>
        <v>All</v>
      </c>
      <c r="B53" s="212" t="str">
        <f>IF('Mode Opératoire'!$I$1="Français",+'Cpte exploitation ARG'!K53,'Cpte exploitation ARG'!M53)</f>
        <v>% des ventes</v>
      </c>
      <c r="C53" s="213"/>
      <c r="D53" s="1066">
        <f t="shared" ref="D53:I53" si="10">IF(D19&lt;&gt;0,D52/D$19,0)</f>
        <v>0</v>
      </c>
      <c r="E53" s="1067">
        <f t="shared" si="10"/>
        <v>0</v>
      </c>
      <c r="F53" s="1066">
        <f t="shared" si="10"/>
        <v>0</v>
      </c>
      <c r="G53" s="1066">
        <f t="shared" si="10"/>
        <v>0</v>
      </c>
      <c r="H53" s="1066">
        <f t="shared" si="10"/>
        <v>0</v>
      </c>
      <c r="I53" s="1066">
        <f t="shared" si="10"/>
        <v>0</v>
      </c>
      <c r="K53" s="212" t="s">
        <v>68</v>
      </c>
      <c r="L53" s="213"/>
      <c r="M53" s="1571" t="s">
        <v>84</v>
      </c>
      <c r="U53" s="1708"/>
      <c r="V53" s="1713"/>
    </row>
    <row r="54" spans="1:22">
      <c r="A54" s="17" t="str">
        <f t="shared" si="0"/>
        <v>All</v>
      </c>
      <c r="B54" s="190" t="str">
        <f>IF('Mode Opératoire'!$I$1="Français",+'Cpte exploitation ARG'!K54,'Cpte exploitation ARG'!M54)</f>
        <v>Marge sur Coûts Directs</v>
      </c>
      <c r="C54" s="198"/>
      <c r="D54" s="226">
        <f>+D25+D52</f>
        <v>-74578.228910900682</v>
      </c>
      <c r="E54" s="227">
        <f t="shared" ref="E54:I54" si="11">+E25+E52</f>
        <v>-44801.556615583089</v>
      </c>
      <c r="F54" s="226">
        <f t="shared" si="11"/>
        <v>-10307.740641505021</v>
      </c>
      <c r="G54" s="226">
        <f t="shared" si="11"/>
        <v>14650.920280079445</v>
      </c>
      <c r="H54" s="226">
        <f t="shared" si="11"/>
        <v>14650.920280079445</v>
      </c>
      <c r="I54" s="226">
        <f t="shared" si="11"/>
        <v>0</v>
      </c>
      <c r="K54" s="190" t="s">
        <v>953</v>
      </c>
      <c r="L54" s="198"/>
      <c r="M54" s="1566" t="s">
        <v>954</v>
      </c>
      <c r="U54" s="1708"/>
      <c r="V54" s="1713"/>
    </row>
    <row r="55" spans="1:22">
      <c r="A55" s="17" t="str">
        <f t="shared" si="0"/>
        <v>All</v>
      </c>
      <c r="B55" s="214" t="str">
        <f>IF('Mode Opératoire'!$I$1="Français",+'Cpte exploitation ARG'!K55,'Cpte exploitation ARG'!M55)</f>
        <v>% des ventes</v>
      </c>
      <c r="C55" s="224"/>
      <c r="D55" s="221">
        <f t="shared" ref="D55:I55" si="12">IF(D$19&lt;&gt;0,D54/D$19,0)</f>
        <v>-3.5258059536876054</v>
      </c>
      <c r="E55" s="225">
        <f t="shared" si="12"/>
        <v>-0.66759828339191152</v>
      </c>
      <c r="F55" s="221">
        <f t="shared" si="12"/>
        <v>-8.0173040090860084E-2</v>
      </c>
      <c r="G55" s="221">
        <f t="shared" si="12"/>
        <v>9.5428747303467357E-2</v>
      </c>
      <c r="H55" s="221">
        <f t="shared" si="12"/>
        <v>9.5428747303467357E-2</v>
      </c>
      <c r="I55" s="221">
        <f t="shared" si="12"/>
        <v>0</v>
      </c>
      <c r="K55" s="214" t="s">
        <v>68</v>
      </c>
      <c r="L55" s="224"/>
      <c r="M55" s="1572" t="s">
        <v>84</v>
      </c>
      <c r="U55" s="1708"/>
      <c r="V55" s="1713"/>
    </row>
    <row r="56" spans="1:22" ht="30.75" customHeight="1">
      <c r="B56" s="215" t="str">
        <f>IF('Mode Opératoire'!$I$1="Français",+'Cpte exploitation ARG'!K56,'Cpte exploitation ARG'!M56)</f>
        <v>Frais de Siège opérationnel</v>
      </c>
      <c r="C56" s="237">
        <f>IF(SUM(D19:I19)=0,"-",AVERAGE((SUM(D56:I56)/SUM(D19:I19))))</f>
        <v>0</v>
      </c>
      <c r="D56" s="1811">
        <f>SUM('Cuadro de Resultados:Cta explotacion OVS'!D56)</f>
        <v>0</v>
      </c>
      <c r="E56" s="1812">
        <f>SUM('Cuadro de Resultados:Cta explotacion OVS'!E56)</f>
        <v>0</v>
      </c>
      <c r="F56" s="1811">
        <f>SUM('Cuadro de Resultados:Cta explotacion OVS'!F56)</f>
        <v>0</v>
      </c>
      <c r="G56" s="1811">
        <f>SUM('Cuadro de Resultados:Cta explotacion OVS'!G56)</f>
        <v>0</v>
      </c>
      <c r="H56" s="1811">
        <f>SUM('Cuadro de Resultados:Cta explotacion OVS'!H56)</f>
        <v>0</v>
      </c>
      <c r="I56" s="1811">
        <f>SUM('Cuadro de Resultados:Cta explotacion OVS'!I56)</f>
        <v>0</v>
      </c>
      <c r="K56" s="215" t="s">
        <v>955</v>
      </c>
      <c r="L56" s="237" t="str">
        <f>IF(SUM(M15:R15)=0,"-",AVERAGE((SUM(M56:R56)/SUM(M15:R15))))</f>
        <v>-</v>
      </c>
      <c r="M56" s="1696" t="s">
        <v>957</v>
      </c>
      <c r="U56" s="1838" t="s">
        <v>1062</v>
      </c>
      <c r="V56" s="1837" t="s">
        <v>1061</v>
      </c>
    </row>
    <row r="57" spans="1:22">
      <c r="B57" s="216" t="str">
        <f>IF('Mode Opératoire'!$I$1="Français",+'Cpte exploitation ARG'!K57,'Cpte exploitation ARG'!M57)</f>
        <v>% des ventes</v>
      </c>
      <c r="C57" s="217"/>
      <c r="D57" s="1694">
        <f>IF(D$19&lt;&gt;0,D56/D$19,0)</f>
        <v>0</v>
      </c>
      <c r="E57" s="1695">
        <f t="shared" ref="E57:I57" si="13">IF(E$19&lt;&gt;0,E56/E$19,0)</f>
        <v>0</v>
      </c>
      <c r="F57" s="1694">
        <f t="shared" si="13"/>
        <v>0</v>
      </c>
      <c r="G57" s="1694">
        <f t="shared" si="13"/>
        <v>0</v>
      </c>
      <c r="H57" s="1694">
        <f t="shared" si="13"/>
        <v>0</v>
      </c>
      <c r="I57" s="1694">
        <f t="shared" si="13"/>
        <v>0</v>
      </c>
      <c r="K57" s="216" t="s">
        <v>68</v>
      </c>
      <c r="L57" s="217"/>
      <c r="M57" s="1696"/>
      <c r="U57" s="1708"/>
      <c r="V57" s="1713"/>
    </row>
    <row r="58" spans="1:22">
      <c r="A58" s="17" t="str">
        <f t="shared" si="0"/>
        <v>All</v>
      </c>
      <c r="B58" s="190" t="str">
        <f>IF('Mode Opératoire'!$I$1="Français",+'Cpte exploitation ARG'!K58,'Cpte exploitation ARG'!M58)</f>
        <v>Résultat d'activité</v>
      </c>
      <c r="C58" s="198"/>
      <c r="D58" s="226">
        <f>+D54+D56</f>
        <v>-74578.228910900682</v>
      </c>
      <c r="E58" s="227">
        <f t="shared" ref="E58:I58" si="14">+E54+E56</f>
        <v>-44801.556615583089</v>
      </c>
      <c r="F58" s="226">
        <f t="shared" si="14"/>
        <v>-10307.740641505021</v>
      </c>
      <c r="G58" s="226">
        <f t="shared" si="14"/>
        <v>14650.920280079445</v>
      </c>
      <c r="H58" s="226">
        <f t="shared" si="14"/>
        <v>14650.920280079445</v>
      </c>
      <c r="I58" s="226">
        <f t="shared" si="14"/>
        <v>0</v>
      </c>
      <c r="K58" s="190" t="s">
        <v>187</v>
      </c>
      <c r="L58" s="198"/>
      <c r="M58" s="1566" t="s">
        <v>195</v>
      </c>
      <c r="U58" s="1708"/>
      <c r="V58" s="1713"/>
    </row>
    <row r="59" spans="1:22">
      <c r="A59" s="17" t="str">
        <f t="shared" si="0"/>
        <v>All</v>
      </c>
      <c r="B59" s="214" t="str">
        <f>IF('Mode Opératoire'!$I$1="Français",+'Cpte exploitation ARG'!K59,'Cpte exploitation ARG'!M59)</f>
        <v>% des ventes</v>
      </c>
      <c r="C59" s="224"/>
      <c r="D59" s="221">
        <f t="shared" ref="D59:I59" si="15">IF(D$19&lt;&gt;0,D58/D$19,0)</f>
        <v>-3.5258059536876054</v>
      </c>
      <c r="E59" s="225">
        <f t="shared" si="15"/>
        <v>-0.66759828339191152</v>
      </c>
      <c r="F59" s="221">
        <f t="shared" si="15"/>
        <v>-8.0173040090860084E-2</v>
      </c>
      <c r="G59" s="221">
        <f t="shared" si="15"/>
        <v>9.5428747303467357E-2</v>
      </c>
      <c r="H59" s="221">
        <f t="shared" si="15"/>
        <v>9.5428747303467357E-2</v>
      </c>
      <c r="I59" s="221">
        <f t="shared" si="15"/>
        <v>0</v>
      </c>
      <c r="K59" s="214" t="s">
        <v>68</v>
      </c>
      <c r="L59" s="224"/>
      <c r="M59" s="1572" t="s">
        <v>84</v>
      </c>
      <c r="U59" s="1708"/>
      <c r="V59" s="1713"/>
    </row>
    <row r="60" spans="1:22" s="20" customFormat="1" ht="24.75" customHeight="1">
      <c r="A60" s="17" t="str">
        <f t="shared" si="0"/>
        <v>All</v>
      </c>
      <c r="B60" s="215" t="str">
        <f>IF('Mode Opératoire'!$I$1="Français",+'Cpte exploitation ARG'!K60,'Cpte exploitation ARG'!M60)</f>
        <v>Frais Groupe</v>
      </c>
      <c r="C60" s="237">
        <f>IF(SUM(D19:I19)=0,"-",AVERAGE((SUM(D60:I60)/SUM(D19:I19))))</f>
        <v>0</v>
      </c>
      <c r="D60" s="1064">
        <f>SUM('Cuadro de Resultados:Cta explotacion OVS'!D60)</f>
        <v>0</v>
      </c>
      <c r="E60" s="1065">
        <f>SUM('Cuadro de Resultados:Cta explotacion OVS'!E60)</f>
        <v>0</v>
      </c>
      <c r="F60" s="1064">
        <f>SUM('Cuadro de Resultados:Cta explotacion OVS'!F60)</f>
        <v>0</v>
      </c>
      <c r="G60" s="1064">
        <f>SUM('Cuadro de Resultados:Cta explotacion OVS'!G60)</f>
        <v>0</v>
      </c>
      <c r="H60" s="1064">
        <f>SUM('Cuadro de Resultados:Cta explotacion OVS'!H60)</f>
        <v>0</v>
      </c>
      <c r="I60" s="1064">
        <f>SUM('Cuadro de Resultados:Cta explotacion OVS'!I60)</f>
        <v>0</v>
      </c>
      <c r="K60" s="215" t="s">
        <v>956</v>
      </c>
      <c r="L60" s="237" t="str">
        <f>IF(SUM(M19:R19)=0,"-",AVERAGE((SUM(M60:R60)/SUM(M19:R19))))</f>
        <v>-</v>
      </c>
      <c r="M60" s="1573" t="s">
        <v>958</v>
      </c>
      <c r="U60" s="1836" t="s">
        <v>1063</v>
      </c>
      <c r="V60" s="1837" t="s">
        <v>1064</v>
      </c>
    </row>
    <row r="61" spans="1:22" s="20" customFormat="1">
      <c r="A61" s="17" t="str">
        <f t="shared" si="0"/>
        <v>All</v>
      </c>
      <c r="B61" s="216" t="str">
        <f>IF('Mode Opératoire'!$I$1="Français",+'Cpte exploitation ARG'!K61,'Cpte exploitation ARG'!M61)</f>
        <v>% des ventes</v>
      </c>
      <c r="C61" s="217"/>
      <c r="D61" s="1067">
        <f>IF(D$19&lt;&gt;0,D60/D$19,0)</f>
        <v>0</v>
      </c>
      <c r="E61" s="1067">
        <f t="shared" ref="E61:I65" si="16">IF(E$19&lt;&gt;0,E60/E$19,0)</f>
        <v>0</v>
      </c>
      <c r="F61" s="1067">
        <f t="shared" si="16"/>
        <v>0</v>
      </c>
      <c r="G61" s="1067">
        <f t="shared" si="16"/>
        <v>0</v>
      </c>
      <c r="H61" s="1067">
        <f t="shared" si="16"/>
        <v>0</v>
      </c>
      <c r="I61" s="1067">
        <f t="shared" si="16"/>
        <v>0</v>
      </c>
      <c r="K61" s="216" t="s">
        <v>68</v>
      </c>
      <c r="L61" s="217"/>
      <c r="M61" s="1574" t="s">
        <v>84</v>
      </c>
      <c r="U61" s="1708"/>
      <c r="V61" s="1713"/>
    </row>
    <row r="62" spans="1:22" s="20" customFormat="1" ht="24.75" customHeight="1">
      <c r="A62" s="17" t="str">
        <f t="shared" si="0"/>
        <v>All</v>
      </c>
      <c r="B62" s="215" t="s">
        <v>1388</v>
      </c>
      <c r="C62" s="237">
        <f>IF(SUM(D21:I21)=0,"-",AVERAGE((SUM(D62:I62)/SUM(D19:I19))))</f>
        <v>0</v>
      </c>
      <c r="D62" s="1064">
        <f>SUM('Cuadro de Resultados:Cta explotacion OVS'!D62)</f>
        <v>0</v>
      </c>
      <c r="E62" s="1065">
        <f>SUM('Cuadro de Resultados:Cta explotacion OVS'!E62)</f>
        <v>0</v>
      </c>
      <c r="F62" s="1064">
        <f>SUM('Cuadro de Resultados:Cta explotacion OVS'!F62)</f>
        <v>0</v>
      </c>
      <c r="G62" s="1064">
        <f>SUM('Cuadro de Resultados:Cta explotacion OVS'!G62)</f>
        <v>0</v>
      </c>
      <c r="H62" s="1064">
        <f>SUM('Cuadro de Resultados:Cta explotacion OVS'!H62)</f>
        <v>0</v>
      </c>
      <c r="I62" s="1064">
        <f>SUM('Cuadro de Resultados:Cta explotacion OVS'!I62)</f>
        <v>0</v>
      </c>
      <c r="K62" s="215" t="s">
        <v>956</v>
      </c>
      <c r="L62" s="237" t="str">
        <f>IF(SUM(M21:R21)=0,"-",AVERAGE((SUM(M62:R62)/SUM(M21:R21))))</f>
        <v>-</v>
      </c>
      <c r="M62" s="1573" t="s">
        <v>958</v>
      </c>
      <c r="U62" s="1836" t="s">
        <v>1063</v>
      </c>
      <c r="V62" s="1837" t="s">
        <v>1064</v>
      </c>
    </row>
    <row r="63" spans="1:22" s="20" customFormat="1">
      <c r="A63" s="17" t="str">
        <f t="shared" si="0"/>
        <v>All</v>
      </c>
      <c r="B63" s="216" t="str">
        <f>IF('Mode Opératoire'!$I$1="Français",+'Cpte exploitation ARG'!K63,'Cpte exploitation ARG'!M63)</f>
        <v>% des ventes</v>
      </c>
      <c r="C63" s="217"/>
      <c r="D63" s="1067">
        <f>IF(D$19&lt;&gt;0,D62/D$19,0)</f>
        <v>0</v>
      </c>
      <c r="E63" s="1067">
        <f t="shared" ref="E63:I63" si="17">IF(E$19&lt;&gt;0,E62/E$19,0)</f>
        <v>0</v>
      </c>
      <c r="F63" s="1067">
        <f t="shared" si="17"/>
        <v>0</v>
      </c>
      <c r="G63" s="1067">
        <f t="shared" si="17"/>
        <v>0</v>
      </c>
      <c r="H63" s="1067">
        <f t="shared" si="17"/>
        <v>0</v>
      </c>
      <c r="I63" s="1067">
        <f t="shared" si="17"/>
        <v>0</v>
      </c>
      <c r="K63" s="216" t="s">
        <v>68</v>
      </c>
      <c r="L63" s="217"/>
      <c r="M63" s="1574" t="s">
        <v>84</v>
      </c>
      <c r="U63" s="1708"/>
      <c r="V63" s="1713"/>
    </row>
    <row r="64" spans="1:22">
      <c r="A64" s="17" t="str">
        <f t="shared" si="0"/>
        <v>All</v>
      </c>
      <c r="B64" s="190" t="str">
        <f>IF('Mode Opératoire'!$I$1="Français",+'Cpte exploitation ARG'!K64,'Cpte exploitation ARG'!M64)</f>
        <v>Résultat Opérationnel Courant</v>
      </c>
      <c r="C64" s="198"/>
      <c r="D64" s="226">
        <f>+D58+D60+D62</f>
        <v>-74578.228910900682</v>
      </c>
      <c r="E64" s="226">
        <f t="shared" ref="E64:I64" si="18">+E58+E60+E62</f>
        <v>-44801.556615583089</v>
      </c>
      <c r="F64" s="226">
        <f t="shared" si="18"/>
        <v>-10307.740641505021</v>
      </c>
      <c r="G64" s="226">
        <f t="shared" si="18"/>
        <v>14650.920280079445</v>
      </c>
      <c r="H64" s="226">
        <f t="shared" si="18"/>
        <v>14650.920280079445</v>
      </c>
      <c r="I64" s="226">
        <f t="shared" si="18"/>
        <v>0</v>
      </c>
      <c r="K64" s="190" t="s">
        <v>148</v>
      </c>
      <c r="L64" s="198"/>
      <c r="M64" s="1566" t="s">
        <v>94</v>
      </c>
      <c r="U64" s="1708"/>
      <c r="V64" s="1713"/>
    </row>
    <row r="65" spans="1:22">
      <c r="A65" s="17" t="str">
        <f t="shared" si="0"/>
        <v>All</v>
      </c>
      <c r="B65" s="214" t="str">
        <f>IF('Mode Opératoire'!$I$1="Français",+'Cpte exploitation ARG'!K65,'Cpte exploitation ARG'!M65)</f>
        <v>% des ventes</v>
      </c>
      <c r="C65" s="224"/>
      <c r="D65" s="221">
        <f>IF(D$19&lt;&gt;0,D64/D$19,0)</f>
        <v>-3.5258059536876054</v>
      </c>
      <c r="E65" s="225">
        <f t="shared" si="16"/>
        <v>-0.66759828339191152</v>
      </c>
      <c r="F65" s="221">
        <f t="shared" si="16"/>
        <v>-8.0173040090860084E-2</v>
      </c>
      <c r="G65" s="221">
        <f t="shared" si="16"/>
        <v>9.5428747303467357E-2</v>
      </c>
      <c r="H65" s="221">
        <f t="shared" si="16"/>
        <v>9.5428747303467357E-2</v>
      </c>
      <c r="I65" s="221">
        <f t="shared" si="16"/>
        <v>0</v>
      </c>
      <c r="K65" s="214" t="s">
        <v>68</v>
      </c>
      <c r="L65" s="224"/>
      <c r="M65" s="1572" t="s">
        <v>84</v>
      </c>
      <c r="U65" s="1708"/>
      <c r="V65" s="1713"/>
    </row>
    <row r="66" spans="1:22">
      <c r="B66" s="75"/>
      <c r="C66" s="75"/>
      <c r="D66" s="76"/>
      <c r="E66" s="76"/>
      <c r="F66" s="76"/>
      <c r="G66" s="76"/>
      <c r="H66" s="76"/>
      <c r="I66" s="76"/>
      <c r="K66" s="75"/>
      <c r="L66" s="75"/>
      <c r="M66" s="1575"/>
      <c r="U66" s="1708"/>
      <c r="V66" s="1713"/>
    </row>
    <row r="67" spans="1:22">
      <c r="B67" s="21"/>
      <c r="C67" s="21"/>
      <c r="D67" s="77"/>
      <c r="E67" s="77"/>
      <c r="F67" s="77"/>
      <c r="G67" s="77"/>
      <c r="H67" s="77"/>
      <c r="I67" s="77"/>
      <c r="K67" s="21"/>
      <c r="L67" s="21"/>
      <c r="M67" s="1499"/>
      <c r="U67" s="1708"/>
      <c r="V67" s="1713"/>
    </row>
    <row r="68" spans="1:22">
      <c r="B68" s="45" t="str">
        <f>IF('Mode Opératoire'!$I$1="Français",+'Cpte exploitation ARG'!K68,'Cpte exploitation ARG'!M68)</f>
        <v>Effectifs opérationnels fin d'année</v>
      </c>
      <c r="C68" s="140"/>
      <c r="D68" s="44"/>
      <c r="E68" s="44"/>
      <c r="F68" s="44"/>
      <c r="G68" s="44"/>
      <c r="H68" s="44"/>
      <c r="I68" s="44"/>
      <c r="K68" s="45" t="s">
        <v>121</v>
      </c>
      <c r="L68" s="140"/>
      <c r="M68" s="1576"/>
      <c r="U68" s="1708"/>
      <c r="V68" s="1713"/>
    </row>
    <row r="69" spans="1:22">
      <c r="A69" s="17" t="str">
        <f>+$H$6</f>
        <v>All</v>
      </c>
      <c r="B69" s="207" t="str">
        <f>IF('Mode Opératoire'!$I$1="Français",+'Cpte exploitation ARG'!K69,'Cpte exploitation ARG'!M69)</f>
        <v>Inscrits (ETP)</v>
      </c>
      <c r="C69" s="1891"/>
      <c r="D69" s="1584">
        <f>SUM('Cuadro de Resultados:Cta explotacion OVS'!D67)</f>
        <v>0</v>
      </c>
      <c r="E69" s="1584">
        <f>SUM('Cuadro de Resultados:Cta explotacion OVS'!E67)</f>
        <v>0</v>
      </c>
      <c r="F69" s="1584">
        <f>SUM('Cuadro de Resultados:Cta explotacion OVS'!F67)</f>
        <v>0</v>
      </c>
      <c r="G69" s="1584">
        <f>SUM('Cuadro de Resultados:Cta explotacion OVS'!G67)</f>
        <v>0</v>
      </c>
      <c r="H69" s="1584">
        <f>SUM('Cuadro de Resultados:Cta explotacion OVS'!H67)</f>
        <v>0</v>
      </c>
      <c r="I69" s="1070">
        <f>SUM('Cuadro de Resultados:Cta explotacion OVS'!I67)</f>
        <v>0</v>
      </c>
      <c r="J69" s="452"/>
      <c r="K69" s="207" t="s">
        <v>122</v>
      </c>
      <c r="L69" s="828"/>
      <c r="M69" s="1561" t="s">
        <v>102</v>
      </c>
      <c r="U69" s="1708"/>
      <c r="V69" s="1713" t="s">
        <v>973</v>
      </c>
    </row>
    <row r="70" spans="1:22">
      <c r="A70" s="17" t="str">
        <f>+$H$6</f>
        <v>All</v>
      </c>
      <c r="B70" s="244" t="str">
        <f>IF('Mode Opératoire'!$I$1="Français",+'Cpte exploitation ARG'!K70,'Cpte exploitation ARG'!M70)</f>
        <v xml:space="preserve"> Intérimaires</v>
      </c>
      <c r="C70" s="1892"/>
      <c r="D70" s="1585">
        <f>SUM('Cuadro de Resultados:Cta explotacion OVS'!D68)</f>
        <v>0</v>
      </c>
      <c r="E70" s="1585">
        <f>SUM('Cuadro de Resultados:Cta explotacion OVS'!E68)</f>
        <v>0</v>
      </c>
      <c r="F70" s="1585">
        <f>SUM('Cuadro de Resultados:Cta explotacion OVS'!F68)</f>
        <v>0</v>
      </c>
      <c r="G70" s="1585">
        <f>SUM('Cuadro de Resultados:Cta explotacion OVS'!G68)</f>
        <v>0</v>
      </c>
      <c r="H70" s="1585">
        <f>SUM('Cuadro de Resultados:Cta explotacion OVS'!H68)</f>
        <v>0</v>
      </c>
      <c r="I70" s="1071">
        <f>SUM('Cuadro de Resultados:Cta explotacion OVS'!I68)</f>
        <v>0</v>
      </c>
      <c r="K70" s="244" t="s">
        <v>53</v>
      </c>
      <c r="L70" s="829"/>
      <c r="M70" s="1577" t="s">
        <v>95</v>
      </c>
      <c r="U70" s="1708" t="s">
        <v>975</v>
      </c>
      <c r="V70" s="1713"/>
    </row>
    <row r="71" spans="1:22">
      <c r="B71" s="239" t="str">
        <f>IF('Mode Opératoire'!$I$1="Français",+'Cpte exploitation ARG'!K71,'Cpte exploitation ARG'!M71)</f>
        <v>Effectifs Opérationnels</v>
      </c>
      <c r="C71" s="240"/>
      <c r="D71" s="241">
        <f t="shared" ref="D71:I71" si="19">SUM(D69:D70)</f>
        <v>0</v>
      </c>
      <c r="E71" s="241">
        <f t="shared" si="19"/>
        <v>0</v>
      </c>
      <c r="F71" s="241">
        <f t="shared" si="19"/>
        <v>0</v>
      </c>
      <c r="G71" s="241">
        <f t="shared" si="19"/>
        <v>0</v>
      </c>
      <c r="H71" s="241">
        <f t="shared" si="19"/>
        <v>0</v>
      </c>
      <c r="I71" s="242">
        <f t="shared" si="19"/>
        <v>0</v>
      </c>
      <c r="K71" s="239" t="s">
        <v>120</v>
      </c>
      <c r="L71" s="240"/>
      <c r="M71" s="1578" t="s">
        <v>798</v>
      </c>
      <c r="U71" s="1708"/>
      <c r="V71" s="1713"/>
    </row>
    <row r="72" spans="1:22">
      <c r="B72" s="17">
        <f>IF('Mode Opératoire'!$I$1="Français",+'Cpte exploitation ARG'!K72,'Cpte exploitation ARG'!M72)</f>
        <v>0</v>
      </c>
      <c r="U72" s="1708"/>
      <c r="V72" s="1713"/>
    </row>
    <row r="73" spans="1:22" ht="18" customHeight="1">
      <c r="B73" s="247" t="str">
        <f>IF('Mode Opératoire'!$I$1="Français",+'Cpte exploitation ARG'!K73,'Cpte exploitation ARG'!M73)</f>
        <v xml:space="preserve">cout moyen/effectifs </v>
      </c>
      <c r="C73" s="248"/>
      <c r="D73" s="249" t="str">
        <f>IF(D71=0,"-",D34/D71)</f>
        <v>-</v>
      </c>
      <c r="E73" s="249" t="str">
        <f t="shared" ref="E73:I73" si="20">IF(E71=0,"-",E34/E71)</f>
        <v>-</v>
      </c>
      <c r="F73" s="249" t="str">
        <f t="shared" si="20"/>
        <v>-</v>
      </c>
      <c r="G73" s="249" t="str">
        <f t="shared" si="20"/>
        <v>-</v>
      </c>
      <c r="H73" s="249" t="str">
        <f t="shared" si="20"/>
        <v>-</v>
      </c>
      <c r="I73" s="250" t="str">
        <f t="shared" si="20"/>
        <v>-</v>
      </c>
      <c r="K73" s="247" t="s">
        <v>839</v>
      </c>
      <c r="L73" s="248"/>
      <c r="M73" s="1579" t="s">
        <v>840</v>
      </c>
      <c r="U73" s="1708"/>
      <c r="V73" s="1713"/>
    </row>
    <row r="74" spans="1:22" ht="18" customHeight="1">
      <c r="B74" s="251" t="str">
        <f>IF('Mode Opératoire'!$I$1="Français",+'Cpte exploitation ARG'!K74,'Cpte exploitation ARG'!M74)</f>
        <v>RAC/effectifs</v>
      </c>
      <c r="C74" s="252"/>
      <c r="D74" s="253" t="str">
        <f>IF(D71=0,"-",D58/D71)</f>
        <v>-</v>
      </c>
      <c r="E74" s="253" t="str">
        <f t="shared" ref="E74:I74" si="21">IF(E71=0,"-",E58/E71)</f>
        <v>-</v>
      </c>
      <c r="F74" s="253" t="str">
        <f t="shared" si="21"/>
        <v>-</v>
      </c>
      <c r="G74" s="253" t="str">
        <f t="shared" si="21"/>
        <v>-</v>
      </c>
      <c r="H74" s="253" t="str">
        <f t="shared" si="21"/>
        <v>-</v>
      </c>
      <c r="I74" s="253" t="str">
        <f t="shared" si="21"/>
        <v>-</v>
      </c>
      <c r="K74" s="251" t="s">
        <v>959</v>
      </c>
      <c r="L74" s="252"/>
      <c r="M74" s="1580" t="s">
        <v>961</v>
      </c>
      <c r="U74" s="1708"/>
      <c r="V74" s="1713"/>
    </row>
    <row r="75" spans="1:22" ht="18" customHeight="1">
      <c r="B75" s="251" t="str">
        <f>IF('Mode Opératoire'!$I$1="Français",+'Cpte exploitation ARG'!K75,'Cpte exploitation ARG'!M75)</f>
        <v>MCO/effectifs</v>
      </c>
      <c r="C75" s="1698"/>
      <c r="D75" s="253" t="str">
        <f>IF(D71=0,"-",D22/D71)</f>
        <v>-</v>
      </c>
      <c r="E75" s="1699" t="str">
        <f t="shared" ref="E75:I75" si="22">IF(E71=0,"-",E22/E71)</f>
        <v>-</v>
      </c>
      <c r="F75" s="1699" t="str">
        <f t="shared" si="22"/>
        <v>-</v>
      </c>
      <c r="G75" s="1699" t="str">
        <f t="shared" si="22"/>
        <v>-</v>
      </c>
      <c r="H75" s="1699" t="str">
        <f t="shared" si="22"/>
        <v>-</v>
      </c>
      <c r="I75" s="1699" t="str">
        <f t="shared" si="22"/>
        <v>-</v>
      </c>
      <c r="K75" s="251" t="s">
        <v>960</v>
      </c>
      <c r="L75" s="1698"/>
      <c r="M75" s="1700" t="s">
        <v>962</v>
      </c>
      <c r="U75" s="1708"/>
      <c r="V75" s="1713"/>
    </row>
    <row r="76" spans="1:22" ht="18" customHeight="1">
      <c r="B76" s="254" t="str">
        <f>IF('Mode Opératoire'!$I$1="Français",+'Cpte exploitation ARG'!K76,'Cpte exploitation ARG'!M76)</f>
        <v>Total Frais Indirect</v>
      </c>
      <c r="C76" s="255"/>
      <c r="D76" s="256" t="str">
        <f>IF(D71=0,"-",(D56+D60)/D71)</f>
        <v>-</v>
      </c>
      <c r="E76" s="256" t="str">
        <f t="shared" ref="E76:I76" si="23">IF(E71=0,"-",(E56+E60)/E71)</f>
        <v>-</v>
      </c>
      <c r="F76" s="256" t="str">
        <f t="shared" si="23"/>
        <v>-</v>
      </c>
      <c r="G76" s="256" t="str">
        <f t="shared" si="23"/>
        <v>-</v>
      </c>
      <c r="H76" s="256" t="str">
        <f t="shared" si="23"/>
        <v>-</v>
      </c>
      <c r="I76" s="256" t="str">
        <f t="shared" si="23"/>
        <v>-</v>
      </c>
      <c r="K76" s="254" t="s">
        <v>963</v>
      </c>
      <c r="L76" s="255"/>
      <c r="M76" s="1581" t="s">
        <v>964</v>
      </c>
      <c r="U76" s="1708"/>
      <c r="V76" s="1713"/>
    </row>
  </sheetData>
  <mergeCells count="2">
    <mergeCell ref="C27:C33"/>
    <mergeCell ref="L27:L33"/>
  </mergeCells>
  <dataValidations count="1">
    <dataValidation type="list" showInputMessage="1" showErrorMessage="1" sqref="H6">
      <formula1>"Toutes,All"</formula1>
    </dataValidation>
  </dataValidations>
  <pageMargins left="0.43307086614173229" right="0.27559055118110237" top="0.51181102362204722" bottom="0.82677165354330717" header="0.27559055118110237" footer="0.51181102362204722"/>
  <pageSetup paperSize="9" scale="73" orientation="portrait" r:id="rId1"/>
  <headerFooter alignWithMargins="0">
    <oddFooter>&amp;R6/9</oddFooter>
  </headerFooter>
  <drawing r:id="rId2"/>
</worksheet>
</file>

<file path=xl/worksheets/sheet10.xml><?xml version="1.0" encoding="utf-8"?>
<worksheet xmlns="http://schemas.openxmlformats.org/spreadsheetml/2006/main" xmlns:r="http://schemas.openxmlformats.org/officeDocument/2006/relationships">
  <dimension ref="A1:J60"/>
  <sheetViews>
    <sheetView topLeftCell="A8" workbookViewId="0">
      <selection activeCell="E33" sqref="E33"/>
    </sheetView>
  </sheetViews>
  <sheetFormatPr baseColWidth="10" defaultColWidth="9.140625" defaultRowHeight="12.75"/>
  <cols>
    <col min="1" max="1" width="32.7109375" customWidth="1"/>
    <col min="2" max="2" width="15" customWidth="1"/>
    <col min="3" max="3" width="14.5703125" customWidth="1"/>
    <col min="4" max="4" width="14.28515625" customWidth="1"/>
    <col min="5" max="5" width="12.5703125" customWidth="1"/>
    <col min="6" max="6" width="12.7109375" customWidth="1"/>
    <col min="7" max="7" width="14.140625" customWidth="1"/>
    <col min="8" max="8" width="16.28515625" customWidth="1"/>
    <col min="9" max="10" width="12.85546875" bestFit="1" customWidth="1"/>
  </cols>
  <sheetData>
    <row r="1" spans="1:7" ht="15">
      <c r="A1" s="2615" t="s">
        <v>1485</v>
      </c>
      <c r="B1" s="2616" t="s">
        <v>1478</v>
      </c>
    </row>
    <row r="2" spans="1:7" ht="15">
      <c r="A2" s="2610" t="s">
        <v>1479</v>
      </c>
      <c r="B2" s="2611">
        <v>0.49</v>
      </c>
    </row>
    <row r="3" spans="1:7" ht="15">
      <c r="A3" s="2610" t="s">
        <v>1480</v>
      </c>
      <c r="B3" s="2611">
        <v>0.28000000000000003</v>
      </c>
    </row>
    <row r="4" spans="1:7" ht="15">
      <c r="A4" s="2610" t="s">
        <v>1481</v>
      </c>
      <c r="B4" s="2611">
        <v>0.08</v>
      </c>
    </row>
    <row r="5" spans="1:7" ht="15">
      <c r="A5" s="2610" t="s">
        <v>1482</v>
      </c>
      <c r="B5" s="2611">
        <v>0.06</v>
      </c>
    </row>
    <row r="6" spans="1:7" ht="15">
      <c r="A6" s="2610" t="s">
        <v>1483</v>
      </c>
      <c r="B6" s="2611">
        <v>0.05</v>
      </c>
    </row>
    <row r="7" spans="1:7" ht="15">
      <c r="A7" s="2610" t="s">
        <v>1484</v>
      </c>
      <c r="B7" s="2612">
        <v>0.04</v>
      </c>
    </row>
    <row r="8" spans="1:7" ht="15.75" thickBot="1">
      <c r="A8" s="2613" t="s">
        <v>176</v>
      </c>
      <c r="B8" s="2614">
        <v>1</v>
      </c>
    </row>
    <row r="10" spans="1:7">
      <c r="A10" s="2609" t="s">
        <v>1539</v>
      </c>
    </row>
    <row r="11" spans="1:7">
      <c r="A11" s="2651" t="s">
        <v>1534</v>
      </c>
      <c r="B11" s="2652" t="s">
        <v>1486</v>
      </c>
      <c r="C11" s="2652" t="s">
        <v>1487</v>
      </c>
      <c r="D11" s="2652" t="s">
        <v>1488</v>
      </c>
      <c r="E11" s="2652" t="s">
        <v>1489</v>
      </c>
      <c r="F11" s="2652" t="s">
        <v>1490</v>
      </c>
      <c r="G11" s="2652" t="s">
        <v>1491</v>
      </c>
    </row>
    <row r="12" spans="1:7" ht="15">
      <c r="A12" s="2688" t="s">
        <v>1535</v>
      </c>
      <c r="B12" s="2689">
        <f>B18*'Insumos y MP'!$I$14</f>
        <v>3.6542656085312171</v>
      </c>
      <c r="C12" s="2689">
        <f>C18*'Insumos y MP'!$I$14</f>
        <v>3.6542656085312171</v>
      </c>
      <c r="D12" s="2689">
        <f>D18*'Insumos y MP'!$I$14</f>
        <v>30.076260152520309</v>
      </c>
      <c r="E12" s="2689">
        <f>E18*'Insumos y MP'!$I$14</f>
        <v>18.045756091512185</v>
      </c>
      <c r="F12" s="2689">
        <f>F18*'Insumos y MP'!$I$14</f>
        <v>11.278597557195114</v>
      </c>
      <c r="G12" s="2689">
        <f>G18*'Insumos y MP'!$I$14</f>
        <v>40.602951205902414</v>
      </c>
    </row>
    <row r="13" spans="1:7" ht="15">
      <c r="A13" s="2653" t="s">
        <v>1536</v>
      </c>
      <c r="B13" s="2643">
        <f>B12/$B$2</f>
        <v>7.457684915369831</v>
      </c>
      <c r="C13" s="2643">
        <f t="shared" ref="C13:G13" si="0">C12/$B$2</f>
        <v>7.457684915369831</v>
      </c>
      <c r="D13" s="2643">
        <f t="shared" si="0"/>
        <v>61.380122760245527</v>
      </c>
      <c r="E13" s="2643">
        <f t="shared" si="0"/>
        <v>36.828073656147318</v>
      </c>
      <c r="F13" s="2643">
        <f t="shared" si="0"/>
        <v>23.017546035092071</v>
      </c>
      <c r="G13" s="2643">
        <f t="shared" si="0"/>
        <v>82.863165726331459</v>
      </c>
    </row>
    <row r="14" spans="1:7">
      <c r="A14" s="2654" t="s">
        <v>1537</v>
      </c>
      <c r="B14" s="2643">
        <f>B13*0.15</f>
        <v>1.1186527373054747</v>
      </c>
      <c r="C14" s="2643">
        <f t="shared" ref="C14:G14" si="1">C13*0.15</f>
        <v>1.1186527373054747</v>
      </c>
      <c r="D14" s="2643">
        <f t="shared" si="1"/>
        <v>9.2070184140368294</v>
      </c>
      <c r="E14" s="2643">
        <f t="shared" si="1"/>
        <v>5.5242110484220976</v>
      </c>
      <c r="F14" s="2643">
        <f t="shared" si="1"/>
        <v>3.4526319052638104</v>
      </c>
      <c r="G14" s="2643">
        <f t="shared" si="1"/>
        <v>12.429474858949719</v>
      </c>
    </row>
    <row r="15" spans="1:7">
      <c r="A15" s="2655" t="s">
        <v>1538</v>
      </c>
      <c r="B15" s="2656">
        <f>B13+B14</f>
        <v>8.5763376526753063</v>
      </c>
      <c r="C15" s="2656">
        <f t="shared" ref="C15:G15" si="2">C13+C14</f>
        <v>8.5763376526753063</v>
      </c>
      <c r="D15" s="2656">
        <f t="shared" si="2"/>
        <v>70.587141174282351</v>
      </c>
      <c r="E15" s="2656">
        <f t="shared" si="2"/>
        <v>42.352284704569414</v>
      </c>
      <c r="F15" s="2656">
        <f t="shared" si="2"/>
        <v>26.470177940355882</v>
      </c>
      <c r="G15" s="2656">
        <f t="shared" si="2"/>
        <v>95.292640585281177</v>
      </c>
    </row>
    <row r="16" spans="1:7">
      <c r="A16" s="2609" t="s">
        <v>1493</v>
      </c>
      <c r="B16" s="2617">
        <f>0.09*0.09*0.09</f>
        <v>7.2899999999999994E-4</v>
      </c>
      <c r="C16" s="2617">
        <f>0.09*0.09*0.09</f>
        <v>7.2899999999999994E-4</v>
      </c>
      <c r="D16" s="2617">
        <f>0.5*0.4*0.03</f>
        <v>6.0000000000000001E-3</v>
      </c>
      <c r="E16" s="2617">
        <f>0.3*0.4*0.03</f>
        <v>3.5999999999999999E-3</v>
      </c>
      <c r="F16" s="2617">
        <f>0.5*0.15*0.03</f>
        <v>2.2499999999999998E-3</v>
      </c>
      <c r="G16" s="2617">
        <f>F16*4*0.5+E16</f>
        <v>8.0999999999999996E-3</v>
      </c>
    </row>
    <row r="17" spans="1:10">
      <c r="A17" s="2609" t="s">
        <v>1531</v>
      </c>
      <c r="B17" s="2617">
        <f>B16*10%</f>
        <v>7.2899999999999997E-5</v>
      </c>
      <c r="C17" s="2617">
        <f t="shared" ref="C17:G17" si="3">C16*10%</f>
        <v>7.2899999999999997E-5</v>
      </c>
      <c r="D17" s="2617">
        <f t="shared" si="3"/>
        <v>6.0000000000000006E-4</v>
      </c>
      <c r="E17" s="2617">
        <f t="shared" si="3"/>
        <v>3.6000000000000002E-4</v>
      </c>
      <c r="F17" s="2617">
        <f t="shared" si="3"/>
        <v>2.2499999999999999E-4</v>
      </c>
      <c r="G17" s="2617">
        <f t="shared" si="3"/>
        <v>8.0999999999999996E-4</v>
      </c>
    </row>
    <row r="18" spans="1:10">
      <c r="A18" s="2609" t="s">
        <v>1532</v>
      </c>
      <c r="B18" s="2617">
        <f>B16+B17</f>
        <v>8.0189999999999992E-4</v>
      </c>
      <c r="C18" s="2617">
        <f t="shared" ref="C18:G18" si="4">C16+C17</f>
        <v>8.0189999999999992E-4</v>
      </c>
      <c r="D18" s="2617">
        <f t="shared" si="4"/>
        <v>6.6E-3</v>
      </c>
      <c r="E18" s="2617">
        <f t="shared" si="4"/>
        <v>3.96E-3</v>
      </c>
      <c r="F18" s="2617">
        <f t="shared" si="4"/>
        <v>2.4749999999999998E-3</v>
      </c>
      <c r="G18" s="2617">
        <f t="shared" si="4"/>
        <v>8.9099999999999995E-3</v>
      </c>
    </row>
    <row r="20" spans="1:10">
      <c r="A20" s="2651" t="s">
        <v>1533</v>
      </c>
      <c r="B20" s="2652" t="s">
        <v>1486</v>
      </c>
      <c r="C20" s="2652" t="s">
        <v>1487</v>
      </c>
      <c r="D20" s="2652" t="s">
        <v>1488</v>
      </c>
      <c r="E20" s="2652" t="s">
        <v>1489</v>
      </c>
      <c r="F20" s="2652" t="s">
        <v>1490</v>
      </c>
      <c r="G20" s="2652" t="s">
        <v>1491</v>
      </c>
      <c r="H20" s="2652" t="s">
        <v>1493</v>
      </c>
      <c r="I20" s="2617"/>
      <c r="J20" s="2617"/>
    </row>
    <row r="21" spans="1:10">
      <c r="A21" s="2609" t="s">
        <v>1468</v>
      </c>
      <c r="B21" s="2618">
        <v>4</v>
      </c>
      <c r="C21" s="2618">
        <v>0</v>
      </c>
      <c r="D21" s="2618">
        <v>2</v>
      </c>
      <c r="E21" s="2618">
        <v>2</v>
      </c>
      <c r="F21" s="2618">
        <v>0</v>
      </c>
      <c r="G21" s="2618">
        <v>0</v>
      </c>
      <c r="H21" s="2617">
        <f t="shared" ref="H21:H28" si="5">SUMPRODUCT(B21:G21,$B$18:$G$18)</f>
        <v>2.4327600000000001E-2</v>
      </c>
      <c r="I21" s="2617"/>
      <c r="J21" s="2617"/>
    </row>
    <row r="22" spans="1:10">
      <c r="A22" s="2609" t="s">
        <v>1469</v>
      </c>
      <c r="B22" s="2618">
        <v>12</v>
      </c>
      <c r="C22" s="2618">
        <v>6</v>
      </c>
      <c r="D22" s="2618">
        <v>6</v>
      </c>
      <c r="E22" s="2618">
        <v>0</v>
      </c>
      <c r="F22" s="2618">
        <v>6</v>
      </c>
      <c r="G22" s="2618">
        <v>4</v>
      </c>
      <c r="H22" s="2617">
        <f t="shared" si="5"/>
        <v>0.10452419999999998</v>
      </c>
      <c r="I22" s="2617"/>
      <c r="J22" s="2617"/>
    </row>
    <row r="23" spans="1:10">
      <c r="A23" s="2609" t="s">
        <v>1470</v>
      </c>
      <c r="B23" s="2618">
        <v>0</v>
      </c>
      <c r="C23" s="2618">
        <v>0</v>
      </c>
      <c r="D23" s="2618">
        <v>6</v>
      </c>
      <c r="E23" s="2618">
        <v>0</v>
      </c>
      <c r="F23" s="2618">
        <v>30</v>
      </c>
      <c r="G23" s="2618">
        <v>0</v>
      </c>
      <c r="H23" s="2617">
        <f t="shared" si="5"/>
        <v>0.11384999999999999</v>
      </c>
      <c r="I23" s="2617"/>
      <c r="J23" s="2617"/>
    </row>
    <row r="24" spans="1:10">
      <c r="A24" s="2609" t="s">
        <v>1471</v>
      </c>
      <c r="B24" s="2618">
        <v>8</v>
      </c>
      <c r="C24" s="2618">
        <v>0</v>
      </c>
      <c r="D24" s="2618">
        <v>7</v>
      </c>
      <c r="E24" s="2618">
        <v>0</v>
      </c>
      <c r="F24" s="2618">
        <v>12</v>
      </c>
      <c r="G24" s="2618">
        <v>1</v>
      </c>
      <c r="H24" s="2617">
        <f t="shared" si="5"/>
        <v>9.1225200000000006E-2</v>
      </c>
      <c r="I24" s="2617"/>
      <c r="J24" s="2617"/>
    </row>
    <row r="25" spans="1:10">
      <c r="A25" s="2609" t="s">
        <v>1472</v>
      </c>
      <c r="B25" s="2618">
        <v>8</v>
      </c>
      <c r="C25" s="2618">
        <v>0</v>
      </c>
      <c r="D25" s="2618">
        <v>7</v>
      </c>
      <c r="E25" s="2618">
        <v>0</v>
      </c>
      <c r="F25" s="2618">
        <v>24</v>
      </c>
      <c r="G25" s="2618">
        <v>6</v>
      </c>
      <c r="H25" s="2617">
        <f t="shared" si="5"/>
        <v>0.16547519999999999</v>
      </c>
    </row>
    <row r="26" spans="1:10">
      <c r="A26" s="2609" t="s">
        <v>1473</v>
      </c>
      <c r="B26" s="2618">
        <v>16</v>
      </c>
      <c r="C26" s="2618">
        <v>0</v>
      </c>
      <c r="D26" s="2618">
        <v>0</v>
      </c>
      <c r="E26" s="2618">
        <v>4</v>
      </c>
      <c r="F26" s="2618">
        <v>9</v>
      </c>
      <c r="G26" s="2618">
        <v>3</v>
      </c>
      <c r="H26" s="2617">
        <f t="shared" si="5"/>
        <v>7.7675399999999992E-2</v>
      </c>
    </row>
    <row r="27" spans="1:10">
      <c r="A27" s="2609" t="s">
        <v>1474</v>
      </c>
      <c r="B27" s="2618">
        <v>20</v>
      </c>
      <c r="C27" s="2618">
        <v>32</v>
      </c>
      <c r="D27" s="2618">
        <v>26</v>
      </c>
      <c r="E27" s="2618">
        <v>44</v>
      </c>
      <c r="F27" s="2618">
        <v>6</v>
      </c>
      <c r="G27" s="2618">
        <v>4</v>
      </c>
      <c r="H27" s="2617">
        <f t="shared" si="5"/>
        <v>0.4380288</v>
      </c>
    </row>
    <row r="28" spans="1:10">
      <c r="A28" s="2609" t="s">
        <v>1492</v>
      </c>
      <c r="B28" s="2618">
        <v>36</v>
      </c>
      <c r="C28" s="2618">
        <v>19</v>
      </c>
      <c r="D28" s="2618">
        <v>0</v>
      </c>
      <c r="E28" s="2618">
        <v>36</v>
      </c>
      <c r="F28" s="2618">
        <v>0</v>
      </c>
      <c r="G28" s="2618">
        <v>0</v>
      </c>
      <c r="H28" s="2617">
        <f t="shared" si="5"/>
        <v>0.18666449999999998</v>
      </c>
    </row>
    <row r="29" spans="1:10">
      <c r="B29" s="2659"/>
      <c r="C29" s="2659"/>
      <c r="D29" s="2659"/>
    </row>
    <row r="30" spans="1:10">
      <c r="A30" s="2609" t="s">
        <v>1548</v>
      </c>
      <c r="B30" s="2658">
        <v>1.8</v>
      </c>
    </row>
    <row r="31" spans="1:10">
      <c r="A31" s="2609" t="s">
        <v>1557</v>
      </c>
    </row>
    <row r="32" spans="1:10">
      <c r="A32" s="2609"/>
      <c r="B32" s="2618"/>
      <c r="C32" s="2618"/>
      <c r="D32" s="2618"/>
      <c r="E32" s="2618"/>
      <c r="F32" s="2618"/>
      <c r="G32" s="2618"/>
      <c r="H32" s="2617"/>
    </row>
    <row r="33" spans="1:7">
      <c r="A33" s="2696"/>
      <c r="B33" s="2697" t="s">
        <v>1475</v>
      </c>
      <c r="C33" s="2697" t="s">
        <v>1476</v>
      </c>
      <c r="D33" s="2697" t="s">
        <v>1477</v>
      </c>
    </row>
    <row r="34" spans="1:7">
      <c r="A34" s="2690" t="s">
        <v>1468</v>
      </c>
      <c r="B34" s="2670">
        <v>6</v>
      </c>
      <c r="C34" s="2670">
        <v>8</v>
      </c>
      <c r="D34" s="2670">
        <v>10</v>
      </c>
    </row>
    <row r="35" spans="1:7">
      <c r="A35" s="2690" t="s">
        <v>1469</v>
      </c>
      <c r="B35" s="2670">
        <v>0</v>
      </c>
      <c r="C35" s="2670">
        <v>1</v>
      </c>
      <c r="D35" s="2670">
        <v>1</v>
      </c>
    </row>
    <row r="36" spans="1:7">
      <c r="A36" s="2690" t="s">
        <v>1470</v>
      </c>
      <c r="B36" s="2670">
        <v>1</v>
      </c>
      <c r="C36" s="2670">
        <v>1</v>
      </c>
      <c r="D36" s="2670">
        <v>1</v>
      </c>
    </row>
    <row r="37" spans="1:7">
      <c r="A37" s="2690" t="s">
        <v>1471</v>
      </c>
      <c r="B37" s="2670">
        <v>0</v>
      </c>
      <c r="C37" s="2670">
        <v>1</v>
      </c>
      <c r="D37" s="2670">
        <v>1</v>
      </c>
    </row>
    <row r="38" spans="1:7">
      <c r="A38" s="2690" t="s">
        <v>1472</v>
      </c>
      <c r="B38" s="2670">
        <v>1</v>
      </c>
      <c r="C38" s="2670">
        <v>1</v>
      </c>
      <c r="D38" s="2670">
        <v>2</v>
      </c>
    </row>
    <row r="39" spans="1:7">
      <c r="A39" s="2690" t="s">
        <v>1473</v>
      </c>
      <c r="B39" s="2670">
        <v>2</v>
      </c>
      <c r="C39" s="2670">
        <v>2</v>
      </c>
      <c r="D39" s="2670">
        <v>2</v>
      </c>
    </row>
    <row r="40" spans="1:7">
      <c r="A40" s="2690" t="s">
        <v>1474</v>
      </c>
      <c r="B40" s="2670">
        <v>1</v>
      </c>
      <c r="C40" s="2670">
        <v>1</v>
      </c>
      <c r="D40" s="2670">
        <v>1</v>
      </c>
    </row>
    <row r="41" spans="1:7">
      <c r="A41" s="2690" t="s">
        <v>1492</v>
      </c>
      <c r="B41" s="2670">
        <v>1</v>
      </c>
      <c r="C41" s="2670">
        <v>1</v>
      </c>
      <c r="D41" s="2670">
        <v>2</v>
      </c>
    </row>
    <row r="42" spans="1:7">
      <c r="A42" s="2690" t="s">
        <v>63</v>
      </c>
      <c r="B42" s="2691">
        <v>0.5</v>
      </c>
      <c r="C42" s="2691">
        <v>0.35</v>
      </c>
      <c r="D42" s="2691">
        <v>0.15</v>
      </c>
      <c r="E42" s="2609"/>
    </row>
    <row r="43" spans="1:7">
      <c r="A43" s="2690" t="s">
        <v>1500</v>
      </c>
      <c r="B43" s="2692">
        <f>SUMPRODUCT(B34:B41,$D$51:$D$58)</f>
        <v>14991.082537665074</v>
      </c>
      <c r="C43" s="2692">
        <f t="shared" ref="C43:D43" si="6">SUMPRODUCT(C34:C41,$D$51:$D$58)</f>
        <v>17804.994962489927</v>
      </c>
      <c r="D43" s="2692">
        <f t="shared" si="6"/>
        <v>23791.504991009981</v>
      </c>
      <c r="E43" s="2609"/>
      <c r="F43" s="2609" t="s">
        <v>1634</v>
      </c>
      <c r="G43" s="2645">
        <f>SUMPRODUCT(B42:D42,B43:D43)</f>
        <v>17296.015254355509</v>
      </c>
    </row>
    <row r="44" spans="1:7">
      <c r="A44" s="2690" t="s">
        <v>1547</v>
      </c>
      <c r="B44" s="2692">
        <f>SUMPRODUCT(B34:B41,$E$51:$E$58)</f>
        <v>41975.031105462207</v>
      </c>
      <c r="C44" s="2692">
        <f t="shared" ref="C44:D44" si="7">SUMPRODUCT(C34:C41,$E$51:$E$58)</f>
        <v>49853.985894971789</v>
      </c>
      <c r="D44" s="2692">
        <f t="shared" si="7"/>
        <v>66616.213974827944</v>
      </c>
      <c r="F44" s="2609" t="s">
        <v>1635</v>
      </c>
      <c r="G44" s="2645">
        <f>SUMPRODUCT(B42:D42,B44:D44)</f>
        <v>48428.842712195416</v>
      </c>
    </row>
    <row r="45" spans="1:7">
      <c r="A45" s="2690" t="s">
        <v>1386</v>
      </c>
      <c r="B45" s="2693">
        <f>1-B43/B44</f>
        <v>0.64285714285714279</v>
      </c>
      <c r="C45" s="2693">
        <f t="shared" ref="C45:D45" si="8">1-C43/C44</f>
        <v>0.64285714285714279</v>
      </c>
      <c r="D45" s="2693">
        <f t="shared" si="8"/>
        <v>0.64285714285714279</v>
      </c>
    </row>
    <row r="46" spans="1:7">
      <c r="A46" s="2690" t="s">
        <v>1386</v>
      </c>
      <c r="B46" s="2848">
        <f>SUMPRODUCT(B42:D42,B45:D45)</f>
        <v>0.64285714285714279</v>
      </c>
      <c r="C46" s="2848"/>
      <c r="D46" s="2848"/>
    </row>
    <row r="47" spans="1:7">
      <c r="A47" s="2690" t="s">
        <v>1553</v>
      </c>
      <c r="B47" s="2694">
        <f>SUMPRODUCT(B34:B41,$H$21:$H$28)</f>
        <v>1.2053349</v>
      </c>
      <c r="C47" s="2694">
        <f>SUMPRODUCT(C34:C41,$H$21:$H$28)</f>
        <v>1.4497395</v>
      </c>
      <c r="D47" s="2694">
        <f>SUMPRODUCT(D34:D41,$H$21:$H$28)</f>
        <v>1.8505343999999999</v>
      </c>
    </row>
    <row r="48" spans="1:7">
      <c r="A48" s="2609"/>
      <c r="B48" s="2695">
        <f>B47/(B44/1000)</f>
        <v>2.871552130531119E-2</v>
      </c>
      <c r="C48" s="2695">
        <f t="shared" ref="C48:D48" si="9">C47/(C44/1000)</f>
        <v>2.9079710959404328E-2</v>
      </c>
      <c r="D48" s="2695">
        <f t="shared" si="9"/>
        <v>2.7779038909345036E-2</v>
      </c>
    </row>
    <row r="49" spans="1:7">
      <c r="A49" s="2609"/>
    </row>
    <row r="50" spans="1:7">
      <c r="A50" s="2651" t="s">
        <v>1540</v>
      </c>
      <c r="B50" s="2651" t="s">
        <v>1541</v>
      </c>
      <c r="C50" s="2651" t="s">
        <v>1542</v>
      </c>
      <c r="D50" s="2651" t="s">
        <v>1538</v>
      </c>
      <c r="E50" s="2642" t="s">
        <v>1543</v>
      </c>
      <c r="F50" s="2651" t="s">
        <v>1545</v>
      </c>
      <c r="G50" s="2651" t="s">
        <v>1546</v>
      </c>
    </row>
    <row r="51" spans="1:7">
      <c r="A51" s="2609" t="s">
        <v>1468</v>
      </c>
      <c r="B51" s="2644">
        <f t="shared" ref="B51:B58" si="10">SUMPRODUCT(B21:G21,$B$15:$G$15)</f>
        <v>260.18420236840473</v>
      </c>
      <c r="C51" s="2644">
        <v>100</v>
      </c>
      <c r="D51" s="2644">
        <f>B51+C51</f>
        <v>360.18420236840473</v>
      </c>
      <c r="E51" s="2644">
        <f>D51*(1+$B$30)</f>
        <v>1008.5157666315332</v>
      </c>
      <c r="F51" s="2644">
        <v>1100</v>
      </c>
      <c r="G51" s="2657">
        <f>E51/F51-1</f>
        <v>-8.3167484880424358E-2</v>
      </c>
    </row>
    <row r="52" spans="1:7">
      <c r="A52" s="2609" t="s">
        <v>1469</v>
      </c>
      <c r="B52" s="2644">
        <f t="shared" si="10"/>
        <v>1117.8885547771097</v>
      </c>
      <c r="D52" s="2644">
        <f t="shared" ref="D52:D58" si="11">B52+C52</f>
        <v>1117.8885547771097</v>
      </c>
      <c r="E52" s="2644">
        <f t="shared" ref="E52:E58" si="12">D52*(1+$B$30)</f>
        <v>3130.0879533759071</v>
      </c>
      <c r="F52" s="2644">
        <v>3500</v>
      </c>
      <c r="G52" s="2657">
        <f t="shared" ref="G52:G58" si="13">E52/F52-1</f>
        <v>-0.1056891561783122</v>
      </c>
    </row>
    <row r="53" spans="1:7">
      <c r="A53" s="2609" t="s">
        <v>1470</v>
      </c>
      <c r="B53" s="2644">
        <f t="shared" si="10"/>
        <v>1217.6281852563707</v>
      </c>
      <c r="D53" s="2644">
        <f t="shared" si="11"/>
        <v>1217.6281852563707</v>
      </c>
      <c r="E53" s="2644">
        <f t="shared" si="12"/>
        <v>3409.3589187178377</v>
      </c>
      <c r="F53" s="2644">
        <v>4000</v>
      </c>
      <c r="G53" s="2657">
        <f t="shared" si="13"/>
        <v>-0.14766027032054052</v>
      </c>
    </row>
    <row r="54" spans="1:7">
      <c r="A54" s="2609" t="s">
        <v>1471</v>
      </c>
      <c r="B54" s="2644">
        <f t="shared" si="10"/>
        <v>975.65546531093071</v>
      </c>
      <c r="D54" s="2644">
        <f t="shared" si="11"/>
        <v>975.65546531093071</v>
      </c>
      <c r="E54" s="2644">
        <f t="shared" si="12"/>
        <v>2731.835302870606</v>
      </c>
      <c r="F54" s="2644">
        <v>3000</v>
      </c>
      <c r="G54" s="2657">
        <f t="shared" si="13"/>
        <v>-8.9388232376464649E-2</v>
      </c>
    </row>
    <row r="55" spans="1:7">
      <c r="A55" s="2609" t="s">
        <v>1472</v>
      </c>
      <c r="B55" s="2644">
        <f t="shared" si="10"/>
        <v>1769.7608035216072</v>
      </c>
      <c r="D55" s="2644">
        <f t="shared" si="11"/>
        <v>1769.7608035216072</v>
      </c>
      <c r="E55" s="2644">
        <f t="shared" si="12"/>
        <v>4955.3302498604999</v>
      </c>
      <c r="F55" s="2644">
        <v>6000</v>
      </c>
      <c r="G55" s="2657">
        <f t="shared" si="13"/>
        <v>-0.17411162502325006</v>
      </c>
    </row>
    <row r="56" spans="1:7">
      <c r="A56" s="2609" t="s">
        <v>1473</v>
      </c>
      <c r="B56" s="2644">
        <f t="shared" si="10"/>
        <v>830.74006448012904</v>
      </c>
      <c r="D56" s="2644">
        <f t="shared" si="11"/>
        <v>830.74006448012904</v>
      </c>
      <c r="E56" s="2644">
        <f t="shared" si="12"/>
        <v>2326.0721805443613</v>
      </c>
      <c r="F56" s="2644">
        <v>2500</v>
      </c>
      <c r="G56" s="2657">
        <f t="shared" si="13"/>
        <v>-6.9571127782255493E-2</v>
      </c>
    </row>
    <row r="57" spans="1:7">
      <c r="A57" s="2609" t="s">
        <v>1474</v>
      </c>
      <c r="B57" s="2644">
        <f t="shared" si="10"/>
        <v>4684.7273854547702</v>
      </c>
      <c r="D57" s="2644">
        <f t="shared" si="11"/>
        <v>4684.7273854547702</v>
      </c>
      <c r="E57" s="2644">
        <f t="shared" si="12"/>
        <v>13117.236679273356</v>
      </c>
      <c r="F57" s="2644">
        <v>15000</v>
      </c>
      <c r="G57" s="2657">
        <f t="shared" si="13"/>
        <v>-0.12551755471510961</v>
      </c>
    </row>
    <row r="58" spans="1:7">
      <c r="A58" s="2609" t="s">
        <v>1492</v>
      </c>
      <c r="B58" s="2644">
        <f t="shared" si="10"/>
        <v>1996.3808202616406</v>
      </c>
      <c r="C58" s="2645">
        <f>6*250</f>
        <v>1500</v>
      </c>
      <c r="D58" s="2644">
        <f t="shared" si="11"/>
        <v>3496.3808202616406</v>
      </c>
      <c r="E58" s="2644">
        <f t="shared" si="12"/>
        <v>9789.8662967325927</v>
      </c>
      <c r="F58" s="2644">
        <v>10000</v>
      </c>
      <c r="G58" s="2657">
        <f t="shared" si="13"/>
        <v>-2.1013370326740777E-2</v>
      </c>
    </row>
    <row r="60" spans="1:7">
      <c r="F60" s="2609" t="s">
        <v>1831</v>
      </c>
      <c r="G60" s="2658">
        <f>AVERAGE(G51:G58)</f>
        <v>-0.10201485270038721</v>
      </c>
    </row>
  </sheetData>
  <mergeCells count="1">
    <mergeCell ref="B46:D46"/>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indexed="43"/>
  </sheetPr>
  <dimension ref="B1:L127"/>
  <sheetViews>
    <sheetView showGridLines="0" zoomScale="85" workbookViewId="0">
      <selection activeCell="I14" sqref="I14"/>
    </sheetView>
  </sheetViews>
  <sheetFormatPr baseColWidth="10" defaultColWidth="11.42578125" defaultRowHeight="12.75"/>
  <cols>
    <col min="1" max="1" width="5.28515625" style="2481" customWidth="1"/>
    <col min="2" max="2" width="30.85546875" style="2481" customWidth="1"/>
    <col min="3" max="3" width="16.5703125" style="2481" customWidth="1"/>
    <col min="4" max="4" width="12.5703125" style="2481" customWidth="1"/>
    <col min="5" max="5" width="11.5703125" style="2481" customWidth="1"/>
    <col min="6" max="6" width="12.42578125" style="2481" customWidth="1"/>
    <col min="7" max="7" width="11.28515625" style="2481" customWidth="1" collapsed="1"/>
    <col min="8" max="8" width="13.7109375" style="2481" customWidth="1"/>
    <col min="9" max="9" width="13.85546875" style="2481" customWidth="1"/>
    <col min="10" max="10" width="18" style="2481" customWidth="1"/>
    <col min="11" max="11" width="42.42578125" style="2481" customWidth="1"/>
    <col min="12" max="256" width="11.42578125" style="2481"/>
    <col min="257" max="257" width="5.28515625" style="2481" customWidth="1"/>
    <col min="258" max="258" width="30.85546875" style="2481" customWidth="1"/>
    <col min="259" max="259" width="16.5703125" style="2481" customWidth="1"/>
    <col min="260" max="262" width="17.140625" style="2481" customWidth="1"/>
    <col min="263" max="264" width="15.28515625" style="2481" customWidth="1"/>
    <col min="265" max="266" width="18" style="2481" customWidth="1"/>
    <col min="267" max="267" width="42.42578125" style="2481" customWidth="1"/>
    <col min="268" max="512" width="11.42578125" style="2481"/>
    <col min="513" max="513" width="5.28515625" style="2481" customWidth="1"/>
    <col min="514" max="514" width="30.85546875" style="2481" customWidth="1"/>
    <col min="515" max="515" width="16.5703125" style="2481" customWidth="1"/>
    <col min="516" max="518" width="17.140625" style="2481" customWidth="1"/>
    <col min="519" max="520" width="15.28515625" style="2481" customWidth="1"/>
    <col min="521" max="522" width="18" style="2481" customWidth="1"/>
    <col min="523" max="523" width="42.42578125" style="2481" customWidth="1"/>
    <col min="524" max="768" width="11.42578125" style="2481"/>
    <col min="769" max="769" width="5.28515625" style="2481" customWidth="1"/>
    <col min="770" max="770" width="30.85546875" style="2481" customWidth="1"/>
    <col min="771" max="771" width="16.5703125" style="2481" customWidth="1"/>
    <col min="772" max="774" width="17.140625" style="2481" customWidth="1"/>
    <col min="775" max="776" width="15.28515625" style="2481" customWidth="1"/>
    <col min="777" max="778" width="18" style="2481" customWidth="1"/>
    <col min="779" max="779" width="42.42578125" style="2481" customWidth="1"/>
    <col min="780" max="1024" width="11.42578125" style="2481"/>
    <col min="1025" max="1025" width="5.28515625" style="2481" customWidth="1"/>
    <col min="1026" max="1026" width="30.85546875" style="2481" customWidth="1"/>
    <col min="1027" max="1027" width="16.5703125" style="2481" customWidth="1"/>
    <col min="1028" max="1030" width="17.140625" style="2481" customWidth="1"/>
    <col min="1031" max="1032" width="15.28515625" style="2481" customWidth="1"/>
    <col min="1033" max="1034" width="18" style="2481" customWidth="1"/>
    <col min="1035" max="1035" width="42.42578125" style="2481" customWidth="1"/>
    <col min="1036" max="1280" width="11.42578125" style="2481"/>
    <col min="1281" max="1281" width="5.28515625" style="2481" customWidth="1"/>
    <col min="1282" max="1282" width="30.85546875" style="2481" customWidth="1"/>
    <col min="1283" max="1283" width="16.5703125" style="2481" customWidth="1"/>
    <col min="1284" max="1286" width="17.140625" style="2481" customWidth="1"/>
    <col min="1287" max="1288" width="15.28515625" style="2481" customWidth="1"/>
    <col min="1289" max="1290" width="18" style="2481" customWidth="1"/>
    <col min="1291" max="1291" width="42.42578125" style="2481" customWidth="1"/>
    <col min="1292" max="1536" width="11.42578125" style="2481"/>
    <col min="1537" max="1537" width="5.28515625" style="2481" customWidth="1"/>
    <col min="1538" max="1538" width="30.85546875" style="2481" customWidth="1"/>
    <col min="1539" max="1539" width="16.5703125" style="2481" customWidth="1"/>
    <col min="1540" max="1542" width="17.140625" style="2481" customWidth="1"/>
    <col min="1543" max="1544" width="15.28515625" style="2481" customWidth="1"/>
    <col min="1545" max="1546" width="18" style="2481" customWidth="1"/>
    <col min="1547" max="1547" width="42.42578125" style="2481" customWidth="1"/>
    <col min="1548" max="1792" width="11.42578125" style="2481"/>
    <col min="1793" max="1793" width="5.28515625" style="2481" customWidth="1"/>
    <col min="1794" max="1794" width="30.85546875" style="2481" customWidth="1"/>
    <col min="1795" max="1795" width="16.5703125" style="2481" customWidth="1"/>
    <col min="1796" max="1798" width="17.140625" style="2481" customWidth="1"/>
    <col min="1799" max="1800" width="15.28515625" style="2481" customWidth="1"/>
    <col min="1801" max="1802" width="18" style="2481" customWidth="1"/>
    <col min="1803" max="1803" width="42.42578125" style="2481" customWidth="1"/>
    <col min="1804" max="2048" width="11.42578125" style="2481"/>
    <col min="2049" max="2049" width="5.28515625" style="2481" customWidth="1"/>
    <col min="2050" max="2050" width="30.85546875" style="2481" customWidth="1"/>
    <col min="2051" max="2051" width="16.5703125" style="2481" customWidth="1"/>
    <col min="2052" max="2054" width="17.140625" style="2481" customWidth="1"/>
    <col min="2055" max="2056" width="15.28515625" style="2481" customWidth="1"/>
    <col min="2057" max="2058" width="18" style="2481" customWidth="1"/>
    <col min="2059" max="2059" width="42.42578125" style="2481" customWidth="1"/>
    <col min="2060" max="2304" width="11.42578125" style="2481"/>
    <col min="2305" max="2305" width="5.28515625" style="2481" customWidth="1"/>
    <col min="2306" max="2306" width="30.85546875" style="2481" customWidth="1"/>
    <col min="2307" max="2307" width="16.5703125" style="2481" customWidth="1"/>
    <col min="2308" max="2310" width="17.140625" style="2481" customWidth="1"/>
    <col min="2311" max="2312" width="15.28515625" style="2481" customWidth="1"/>
    <col min="2313" max="2314" width="18" style="2481" customWidth="1"/>
    <col min="2315" max="2315" width="42.42578125" style="2481" customWidth="1"/>
    <col min="2316" max="2560" width="11.42578125" style="2481"/>
    <col min="2561" max="2561" width="5.28515625" style="2481" customWidth="1"/>
    <col min="2562" max="2562" width="30.85546875" style="2481" customWidth="1"/>
    <col min="2563" max="2563" width="16.5703125" style="2481" customWidth="1"/>
    <col min="2564" max="2566" width="17.140625" style="2481" customWidth="1"/>
    <col min="2567" max="2568" width="15.28515625" style="2481" customWidth="1"/>
    <col min="2569" max="2570" width="18" style="2481" customWidth="1"/>
    <col min="2571" max="2571" width="42.42578125" style="2481" customWidth="1"/>
    <col min="2572" max="2816" width="11.42578125" style="2481"/>
    <col min="2817" max="2817" width="5.28515625" style="2481" customWidth="1"/>
    <col min="2818" max="2818" width="30.85546875" style="2481" customWidth="1"/>
    <col min="2819" max="2819" width="16.5703125" style="2481" customWidth="1"/>
    <col min="2820" max="2822" width="17.140625" style="2481" customWidth="1"/>
    <col min="2823" max="2824" width="15.28515625" style="2481" customWidth="1"/>
    <col min="2825" max="2826" width="18" style="2481" customWidth="1"/>
    <col min="2827" max="2827" width="42.42578125" style="2481" customWidth="1"/>
    <col min="2828" max="3072" width="11.42578125" style="2481"/>
    <col min="3073" max="3073" width="5.28515625" style="2481" customWidth="1"/>
    <col min="3074" max="3074" width="30.85546875" style="2481" customWidth="1"/>
    <col min="3075" max="3075" width="16.5703125" style="2481" customWidth="1"/>
    <col min="3076" max="3078" width="17.140625" style="2481" customWidth="1"/>
    <col min="3079" max="3080" width="15.28515625" style="2481" customWidth="1"/>
    <col min="3081" max="3082" width="18" style="2481" customWidth="1"/>
    <col min="3083" max="3083" width="42.42578125" style="2481" customWidth="1"/>
    <col min="3084" max="3328" width="11.42578125" style="2481"/>
    <col min="3329" max="3329" width="5.28515625" style="2481" customWidth="1"/>
    <col min="3330" max="3330" width="30.85546875" style="2481" customWidth="1"/>
    <col min="3331" max="3331" width="16.5703125" style="2481" customWidth="1"/>
    <col min="3332" max="3334" width="17.140625" style="2481" customWidth="1"/>
    <col min="3335" max="3336" width="15.28515625" style="2481" customWidth="1"/>
    <col min="3337" max="3338" width="18" style="2481" customWidth="1"/>
    <col min="3339" max="3339" width="42.42578125" style="2481" customWidth="1"/>
    <col min="3340" max="3584" width="11.42578125" style="2481"/>
    <col min="3585" max="3585" width="5.28515625" style="2481" customWidth="1"/>
    <col min="3586" max="3586" width="30.85546875" style="2481" customWidth="1"/>
    <col min="3587" max="3587" width="16.5703125" style="2481" customWidth="1"/>
    <col min="3588" max="3590" width="17.140625" style="2481" customWidth="1"/>
    <col min="3591" max="3592" width="15.28515625" style="2481" customWidth="1"/>
    <col min="3593" max="3594" width="18" style="2481" customWidth="1"/>
    <col min="3595" max="3595" width="42.42578125" style="2481" customWidth="1"/>
    <col min="3596" max="3840" width="11.42578125" style="2481"/>
    <col min="3841" max="3841" width="5.28515625" style="2481" customWidth="1"/>
    <col min="3842" max="3842" width="30.85546875" style="2481" customWidth="1"/>
    <col min="3843" max="3843" width="16.5703125" style="2481" customWidth="1"/>
    <col min="3844" max="3846" width="17.140625" style="2481" customWidth="1"/>
    <col min="3847" max="3848" width="15.28515625" style="2481" customWidth="1"/>
    <col min="3849" max="3850" width="18" style="2481" customWidth="1"/>
    <col min="3851" max="3851" width="42.42578125" style="2481" customWidth="1"/>
    <col min="3852" max="4096" width="11.42578125" style="2481"/>
    <col min="4097" max="4097" width="5.28515625" style="2481" customWidth="1"/>
    <col min="4098" max="4098" width="30.85546875" style="2481" customWidth="1"/>
    <col min="4099" max="4099" width="16.5703125" style="2481" customWidth="1"/>
    <col min="4100" max="4102" width="17.140625" style="2481" customWidth="1"/>
    <col min="4103" max="4104" width="15.28515625" style="2481" customWidth="1"/>
    <col min="4105" max="4106" width="18" style="2481" customWidth="1"/>
    <col min="4107" max="4107" width="42.42578125" style="2481" customWidth="1"/>
    <col min="4108" max="4352" width="11.42578125" style="2481"/>
    <col min="4353" max="4353" width="5.28515625" style="2481" customWidth="1"/>
    <col min="4354" max="4354" width="30.85546875" style="2481" customWidth="1"/>
    <col min="4355" max="4355" width="16.5703125" style="2481" customWidth="1"/>
    <col min="4356" max="4358" width="17.140625" style="2481" customWidth="1"/>
    <col min="4359" max="4360" width="15.28515625" style="2481" customWidth="1"/>
    <col min="4361" max="4362" width="18" style="2481" customWidth="1"/>
    <col min="4363" max="4363" width="42.42578125" style="2481" customWidth="1"/>
    <col min="4364" max="4608" width="11.42578125" style="2481"/>
    <col min="4609" max="4609" width="5.28515625" style="2481" customWidth="1"/>
    <col min="4610" max="4610" width="30.85546875" style="2481" customWidth="1"/>
    <col min="4611" max="4611" width="16.5703125" style="2481" customWidth="1"/>
    <col min="4612" max="4614" width="17.140625" style="2481" customWidth="1"/>
    <col min="4615" max="4616" width="15.28515625" style="2481" customWidth="1"/>
    <col min="4617" max="4618" width="18" style="2481" customWidth="1"/>
    <col min="4619" max="4619" width="42.42578125" style="2481" customWidth="1"/>
    <col min="4620" max="4864" width="11.42578125" style="2481"/>
    <col min="4865" max="4865" width="5.28515625" style="2481" customWidth="1"/>
    <col min="4866" max="4866" width="30.85546875" style="2481" customWidth="1"/>
    <col min="4867" max="4867" width="16.5703125" style="2481" customWidth="1"/>
    <col min="4868" max="4870" width="17.140625" style="2481" customWidth="1"/>
    <col min="4871" max="4872" width="15.28515625" style="2481" customWidth="1"/>
    <col min="4873" max="4874" width="18" style="2481" customWidth="1"/>
    <col min="4875" max="4875" width="42.42578125" style="2481" customWidth="1"/>
    <col min="4876" max="5120" width="11.42578125" style="2481"/>
    <col min="5121" max="5121" width="5.28515625" style="2481" customWidth="1"/>
    <col min="5122" max="5122" width="30.85546875" style="2481" customWidth="1"/>
    <col min="5123" max="5123" width="16.5703125" style="2481" customWidth="1"/>
    <col min="5124" max="5126" width="17.140625" style="2481" customWidth="1"/>
    <col min="5127" max="5128" width="15.28515625" style="2481" customWidth="1"/>
    <col min="5129" max="5130" width="18" style="2481" customWidth="1"/>
    <col min="5131" max="5131" width="42.42578125" style="2481" customWidth="1"/>
    <col min="5132" max="5376" width="11.42578125" style="2481"/>
    <col min="5377" max="5377" width="5.28515625" style="2481" customWidth="1"/>
    <col min="5378" max="5378" width="30.85546875" style="2481" customWidth="1"/>
    <col min="5379" max="5379" width="16.5703125" style="2481" customWidth="1"/>
    <col min="5380" max="5382" width="17.140625" style="2481" customWidth="1"/>
    <col min="5383" max="5384" width="15.28515625" style="2481" customWidth="1"/>
    <col min="5385" max="5386" width="18" style="2481" customWidth="1"/>
    <col min="5387" max="5387" width="42.42578125" style="2481" customWidth="1"/>
    <col min="5388" max="5632" width="11.42578125" style="2481"/>
    <col min="5633" max="5633" width="5.28515625" style="2481" customWidth="1"/>
    <col min="5634" max="5634" width="30.85546875" style="2481" customWidth="1"/>
    <col min="5635" max="5635" width="16.5703125" style="2481" customWidth="1"/>
    <col min="5636" max="5638" width="17.140625" style="2481" customWidth="1"/>
    <col min="5639" max="5640" width="15.28515625" style="2481" customWidth="1"/>
    <col min="5641" max="5642" width="18" style="2481" customWidth="1"/>
    <col min="5643" max="5643" width="42.42578125" style="2481" customWidth="1"/>
    <col min="5644" max="5888" width="11.42578125" style="2481"/>
    <col min="5889" max="5889" width="5.28515625" style="2481" customWidth="1"/>
    <col min="5890" max="5890" width="30.85546875" style="2481" customWidth="1"/>
    <col min="5891" max="5891" width="16.5703125" style="2481" customWidth="1"/>
    <col min="5892" max="5894" width="17.140625" style="2481" customWidth="1"/>
    <col min="5895" max="5896" width="15.28515625" style="2481" customWidth="1"/>
    <col min="5897" max="5898" width="18" style="2481" customWidth="1"/>
    <col min="5899" max="5899" width="42.42578125" style="2481" customWidth="1"/>
    <col min="5900" max="6144" width="11.42578125" style="2481"/>
    <col min="6145" max="6145" width="5.28515625" style="2481" customWidth="1"/>
    <col min="6146" max="6146" width="30.85546875" style="2481" customWidth="1"/>
    <col min="6147" max="6147" width="16.5703125" style="2481" customWidth="1"/>
    <col min="6148" max="6150" width="17.140625" style="2481" customWidth="1"/>
    <col min="6151" max="6152" width="15.28515625" style="2481" customWidth="1"/>
    <col min="6153" max="6154" width="18" style="2481" customWidth="1"/>
    <col min="6155" max="6155" width="42.42578125" style="2481" customWidth="1"/>
    <col min="6156" max="6400" width="11.42578125" style="2481"/>
    <col min="6401" max="6401" width="5.28515625" style="2481" customWidth="1"/>
    <col min="6402" max="6402" width="30.85546875" style="2481" customWidth="1"/>
    <col min="6403" max="6403" width="16.5703125" style="2481" customWidth="1"/>
    <col min="6404" max="6406" width="17.140625" style="2481" customWidth="1"/>
    <col min="6407" max="6408" width="15.28515625" style="2481" customWidth="1"/>
    <col min="6409" max="6410" width="18" style="2481" customWidth="1"/>
    <col min="6411" max="6411" width="42.42578125" style="2481" customWidth="1"/>
    <col min="6412" max="6656" width="11.42578125" style="2481"/>
    <col min="6657" max="6657" width="5.28515625" style="2481" customWidth="1"/>
    <col min="6658" max="6658" width="30.85546875" style="2481" customWidth="1"/>
    <col min="6659" max="6659" width="16.5703125" style="2481" customWidth="1"/>
    <col min="6660" max="6662" width="17.140625" style="2481" customWidth="1"/>
    <col min="6663" max="6664" width="15.28515625" style="2481" customWidth="1"/>
    <col min="6665" max="6666" width="18" style="2481" customWidth="1"/>
    <col min="6667" max="6667" width="42.42578125" style="2481" customWidth="1"/>
    <col min="6668" max="6912" width="11.42578125" style="2481"/>
    <col min="6913" max="6913" width="5.28515625" style="2481" customWidth="1"/>
    <col min="6914" max="6914" width="30.85546875" style="2481" customWidth="1"/>
    <col min="6915" max="6915" width="16.5703125" style="2481" customWidth="1"/>
    <col min="6916" max="6918" width="17.140625" style="2481" customWidth="1"/>
    <col min="6919" max="6920" width="15.28515625" style="2481" customWidth="1"/>
    <col min="6921" max="6922" width="18" style="2481" customWidth="1"/>
    <col min="6923" max="6923" width="42.42578125" style="2481" customWidth="1"/>
    <col min="6924" max="7168" width="11.42578125" style="2481"/>
    <col min="7169" max="7169" width="5.28515625" style="2481" customWidth="1"/>
    <col min="7170" max="7170" width="30.85546875" style="2481" customWidth="1"/>
    <col min="7171" max="7171" width="16.5703125" style="2481" customWidth="1"/>
    <col min="7172" max="7174" width="17.140625" style="2481" customWidth="1"/>
    <col min="7175" max="7176" width="15.28515625" style="2481" customWidth="1"/>
    <col min="7177" max="7178" width="18" style="2481" customWidth="1"/>
    <col min="7179" max="7179" width="42.42578125" style="2481" customWidth="1"/>
    <col min="7180" max="7424" width="11.42578125" style="2481"/>
    <col min="7425" max="7425" width="5.28515625" style="2481" customWidth="1"/>
    <col min="7426" max="7426" width="30.85546875" style="2481" customWidth="1"/>
    <col min="7427" max="7427" width="16.5703125" style="2481" customWidth="1"/>
    <col min="7428" max="7430" width="17.140625" style="2481" customWidth="1"/>
    <col min="7431" max="7432" width="15.28515625" style="2481" customWidth="1"/>
    <col min="7433" max="7434" width="18" style="2481" customWidth="1"/>
    <col min="7435" max="7435" width="42.42578125" style="2481" customWidth="1"/>
    <col min="7436" max="7680" width="11.42578125" style="2481"/>
    <col min="7681" max="7681" width="5.28515625" style="2481" customWidth="1"/>
    <col min="7682" max="7682" width="30.85546875" style="2481" customWidth="1"/>
    <col min="7683" max="7683" width="16.5703125" style="2481" customWidth="1"/>
    <col min="7684" max="7686" width="17.140625" style="2481" customWidth="1"/>
    <col min="7687" max="7688" width="15.28515625" style="2481" customWidth="1"/>
    <col min="7689" max="7690" width="18" style="2481" customWidth="1"/>
    <col min="7691" max="7691" width="42.42578125" style="2481" customWidth="1"/>
    <col min="7692" max="7936" width="11.42578125" style="2481"/>
    <col min="7937" max="7937" width="5.28515625" style="2481" customWidth="1"/>
    <col min="7938" max="7938" width="30.85546875" style="2481" customWidth="1"/>
    <col min="7939" max="7939" width="16.5703125" style="2481" customWidth="1"/>
    <col min="7940" max="7942" width="17.140625" style="2481" customWidth="1"/>
    <col min="7943" max="7944" width="15.28515625" style="2481" customWidth="1"/>
    <col min="7945" max="7946" width="18" style="2481" customWidth="1"/>
    <col min="7947" max="7947" width="42.42578125" style="2481" customWidth="1"/>
    <col min="7948" max="8192" width="11.42578125" style="2481"/>
    <col min="8193" max="8193" width="5.28515625" style="2481" customWidth="1"/>
    <col min="8194" max="8194" width="30.85546875" style="2481" customWidth="1"/>
    <col min="8195" max="8195" width="16.5703125" style="2481" customWidth="1"/>
    <col min="8196" max="8198" width="17.140625" style="2481" customWidth="1"/>
    <col min="8199" max="8200" width="15.28515625" style="2481" customWidth="1"/>
    <col min="8201" max="8202" width="18" style="2481" customWidth="1"/>
    <col min="8203" max="8203" width="42.42578125" style="2481" customWidth="1"/>
    <col min="8204" max="8448" width="11.42578125" style="2481"/>
    <col min="8449" max="8449" width="5.28515625" style="2481" customWidth="1"/>
    <col min="8450" max="8450" width="30.85546875" style="2481" customWidth="1"/>
    <col min="8451" max="8451" width="16.5703125" style="2481" customWidth="1"/>
    <col min="8452" max="8454" width="17.140625" style="2481" customWidth="1"/>
    <col min="8455" max="8456" width="15.28515625" style="2481" customWidth="1"/>
    <col min="8457" max="8458" width="18" style="2481" customWidth="1"/>
    <col min="8459" max="8459" width="42.42578125" style="2481" customWidth="1"/>
    <col min="8460" max="8704" width="11.42578125" style="2481"/>
    <col min="8705" max="8705" width="5.28515625" style="2481" customWidth="1"/>
    <col min="8706" max="8706" width="30.85546875" style="2481" customWidth="1"/>
    <col min="8707" max="8707" width="16.5703125" style="2481" customWidth="1"/>
    <col min="8708" max="8710" width="17.140625" style="2481" customWidth="1"/>
    <col min="8711" max="8712" width="15.28515625" style="2481" customWidth="1"/>
    <col min="8713" max="8714" width="18" style="2481" customWidth="1"/>
    <col min="8715" max="8715" width="42.42578125" style="2481" customWidth="1"/>
    <col min="8716" max="8960" width="11.42578125" style="2481"/>
    <col min="8961" max="8961" width="5.28515625" style="2481" customWidth="1"/>
    <col min="8962" max="8962" width="30.85546875" style="2481" customWidth="1"/>
    <col min="8963" max="8963" width="16.5703125" style="2481" customWidth="1"/>
    <col min="8964" max="8966" width="17.140625" style="2481" customWidth="1"/>
    <col min="8967" max="8968" width="15.28515625" style="2481" customWidth="1"/>
    <col min="8969" max="8970" width="18" style="2481" customWidth="1"/>
    <col min="8971" max="8971" width="42.42578125" style="2481" customWidth="1"/>
    <col min="8972" max="9216" width="11.42578125" style="2481"/>
    <col min="9217" max="9217" width="5.28515625" style="2481" customWidth="1"/>
    <col min="9218" max="9218" width="30.85546875" style="2481" customWidth="1"/>
    <col min="9219" max="9219" width="16.5703125" style="2481" customWidth="1"/>
    <col min="9220" max="9222" width="17.140625" style="2481" customWidth="1"/>
    <col min="9223" max="9224" width="15.28515625" style="2481" customWidth="1"/>
    <col min="9225" max="9226" width="18" style="2481" customWidth="1"/>
    <col min="9227" max="9227" width="42.42578125" style="2481" customWidth="1"/>
    <col min="9228" max="9472" width="11.42578125" style="2481"/>
    <col min="9473" max="9473" width="5.28515625" style="2481" customWidth="1"/>
    <col min="9474" max="9474" width="30.85546875" style="2481" customWidth="1"/>
    <col min="9475" max="9475" width="16.5703125" style="2481" customWidth="1"/>
    <col min="9476" max="9478" width="17.140625" style="2481" customWidth="1"/>
    <col min="9479" max="9480" width="15.28515625" style="2481" customWidth="1"/>
    <col min="9481" max="9482" width="18" style="2481" customWidth="1"/>
    <col min="9483" max="9483" width="42.42578125" style="2481" customWidth="1"/>
    <col min="9484" max="9728" width="11.42578125" style="2481"/>
    <col min="9729" max="9729" width="5.28515625" style="2481" customWidth="1"/>
    <col min="9730" max="9730" width="30.85546875" style="2481" customWidth="1"/>
    <col min="9731" max="9731" width="16.5703125" style="2481" customWidth="1"/>
    <col min="9732" max="9734" width="17.140625" style="2481" customWidth="1"/>
    <col min="9735" max="9736" width="15.28515625" style="2481" customWidth="1"/>
    <col min="9737" max="9738" width="18" style="2481" customWidth="1"/>
    <col min="9739" max="9739" width="42.42578125" style="2481" customWidth="1"/>
    <col min="9740" max="9984" width="11.42578125" style="2481"/>
    <col min="9985" max="9985" width="5.28515625" style="2481" customWidth="1"/>
    <col min="9986" max="9986" width="30.85546875" style="2481" customWidth="1"/>
    <col min="9987" max="9987" width="16.5703125" style="2481" customWidth="1"/>
    <col min="9988" max="9990" width="17.140625" style="2481" customWidth="1"/>
    <col min="9991" max="9992" width="15.28515625" style="2481" customWidth="1"/>
    <col min="9993" max="9994" width="18" style="2481" customWidth="1"/>
    <col min="9995" max="9995" width="42.42578125" style="2481" customWidth="1"/>
    <col min="9996" max="10240" width="11.42578125" style="2481"/>
    <col min="10241" max="10241" width="5.28515625" style="2481" customWidth="1"/>
    <col min="10242" max="10242" width="30.85546875" style="2481" customWidth="1"/>
    <col min="10243" max="10243" width="16.5703125" style="2481" customWidth="1"/>
    <col min="10244" max="10246" width="17.140625" style="2481" customWidth="1"/>
    <col min="10247" max="10248" width="15.28515625" style="2481" customWidth="1"/>
    <col min="10249" max="10250" width="18" style="2481" customWidth="1"/>
    <col min="10251" max="10251" width="42.42578125" style="2481" customWidth="1"/>
    <col min="10252" max="10496" width="11.42578125" style="2481"/>
    <col min="10497" max="10497" width="5.28515625" style="2481" customWidth="1"/>
    <col min="10498" max="10498" width="30.85546875" style="2481" customWidth="1"/>
    <col min="10499" max="10499" width="16.5703125" style="2481" customWidth="1"/>
    <col min="10500" max="10502" width="17.140625" style="2481" customWidth="1"/>
    <col min="10503" max="10504" width="15.28515625" style="2481" customWidth="1"/>
    <col min="10505" max="10506" width="18" style="2481" customWidth="1"/>
    <col min="10507" max="10507" width="42.42578125" style="2481" customWidth="1"/>
    <col min="10508" max="10752" width="11.42578125" style="2481"/>
    <col min="10753" max="10753" width="5.28515625" style="2481" customWidth="1"/>
    <col min="10754" max="10754" width="30.85546875" style="2481" customWidth="1"/>
    <col min="10755" max="10755" width="16.5703125" style="2481" customWidth="1"/>
    <col min="10756" max="10758" width="17.140625" style="2481" customWidth="1"/>
    <col min="10759" max="10760" width="15.28515625" style="2481" customWidth="1"/>
    <col min="10761" max="10762" width="18" style="2481" customWidth="1"/>
    <col min="10763" max="10763" width="42.42578125" style="2481" customWidth="1"/>
    <col min="10764" max="11008" width="11.42578125" style="2481"/>
    <col min="11009" max="11009" width="5.28515625" style="2481" customWidth="1"/>
    <col min="11010" max="11010" width="30.85546875" style="2481" customWidth="1"/>
    <col min="11011" max="11011" width="16.5703125" style="2481" customWidth="1"/>
    <col min="11012" max="11014" width="17.140625" style="2481" customWidth="1"/>
    <col min="11015" max="11016" width="15.28515625" style="2481" customWidth="1"/>
    <col min="11017" max="11018" width="18" style="2481" customWidth="1"/>
    <col min="11019" max="11019" width="42.42578125" style="2481" customWidth="1"/>
    <col min="11020" max="11264" width="11.42578125" style="2481"/>
    <col min="11265" max="11265" width="5.28515625" style="2481" customWidth="1"/>
    <col min="11266" max="11266" width="30.85546875" style="2481" customWidth="1"/>
    <col min="11267" max="11267" width="16.5703125" style="2481" customWidth="1"/>
    <col min="11268" max="11270" width="17.140625" style="2481" customWidth="1"/>
    <col min="11271" max="11272" width="15.28515625" style="2481" customWidth="1"/>
    <col min="11273" max="11274" width="18" style="2481" customWidth="1"/>
    <col min="11275" max="11275" width="42.42578125" style="2481" customWidth="1"/>
    <col min="11276" max="11520" width="11.42578125" style="2481"/>
    <col min="11521" max="11521" width="5.28515625" style="2481" customWidth="1"/>
    <col min="11522" max="11522" width="30.85546875" style="2481" customWidth="1"/>
    <col min="11523" max="11523" width="16.5703125" style="2481" customWidth="1"/>
    <col min="11524" max="11526" width="17.140625" style="2481" customWidth="1"/>
    <col min="11527" max="11528" width="15.28515625" style="2481" customWidth="1"/>
    <col min="11529" max="11530" width="18" style="2481" customWidth="1"/>
    <col min="11531" max="11531" width="42.42578125" style="2481" customWidth="1"/>
    <col min="11532" max="11776" width="11.42578125" style="2481"/>
    <col min="11777" max="11777" width="5.28515625" style="2481" customWidth="1"/>
    <col min="11778" max="11778" width="30.85546875" style="2481" customWidth="1"/>
    <col min="11779" max="11779" width="16.5703125" style="2481" customWidth="1"/>
    <col min="11780" max="11782" width="17.140625" style="2481" customWidth="1"/>
    <col min="11783" max="11784" width="15.28515625" style="2481" customWidth="1"/>
    <col min="11785" max="11786" width="18" style="2481" customWidth="1"/>
    <col min="11787" max="11787" width="42.42578125" style="2481" customWidth="1"/>
    <col min="11788" max="12032" width="11.42578125" style="2481"/>
    <col min="12033" max="12033" width="5.28515625" style="2481" customWidth="1"/>
    <col min="12034" max="12034" width="30.85546875" style="2481" customWidth="1"/>
    <col min="12035" max="12035" width="16.5703125" style="2481" customWidth="1"/>
    <col min="12036" max="12038" width="17.140625" style="2481" customWidth="1"/>
    <col min="12039" max="12040" width="15.28515625" style="2481" customWidth="1"/>
    <col min="12041" max="12042" width="18" style="2481" customWidth="1"/>
    <col min="12043" max="12043" width="42.42578125" style="2481" customWidth="1"/>
    <col min="12044" max="12288" width="11.42578125" style="2481"/>
    <col min="12289" max="12289" width="5.28515625" style="2481" customWidth="1"/>
    <col min="12290" max="12290" width="30.85546875" style="2481" customWidth="1"/>
    <col min="12291" max="12291" width="16.5703125" style="2481" customWidth="1"/>
    <col min="12292" max="12294" width="17.140625" style="2481" customWidth="1"/>
    <col min="12295" max="12296" width="15.28515625" style="2481" customWidth="1"/>
    <col min="12297" max="12298" width="18" style="2481" customWidth="1"/>
    <col min="12299" max="12299" width="42.42578125" style="2481" customWidth="1"/>
    <col min="12300" max="12544" width="11.42578125" style="2481"/>
    <col min="12545" max="12545" width="5.28515625" style="2481" customWidth="1"/>
    <col min="12546" max="12546" width="30.85546875" style="2481" customWidth="1"/>
    <col min="12547" max="12547" width="16.5703125" style="2481" customWidth="1"/>
    <col min="12548" max="12550" width="17.140625" style="2481" customWidth="1"/>
    <col min="12551" max="12552" width="15.28515625" style="2481" customWidth="1"/>
    <col min="12553" max="12554" width="18" style="2481" customWidth="1"/>
    <col min="12555" max="12555" width="42.42578125" style="2481" customWidth="1"/>
    <col min="12556" max="12800" width="11.42578125" style="2481"/>
    <col min="12801" max="12801" width="5.28515625" style="2481" customWidth="1"/>
    <col min="12802" max="12802" width="30.85546875" style="2481" customWidth="1"/>
    <col min="12803" max="12803" width="16.5703125" style="2481" customWidth="1"/>
    <col min="12804" max="12806" width="17.140625" style="2481" customWidth="1"/>
    <col min="12807" max="12808" width="15.28515625" style="2481" customWidth="1"/>
    <col min="12809" max="12810" width="18" style="2481" customWidth="1"/>
    <col min="12811" max="12811" width="42.42578125" style="2481" customWidth="1"/>
    <col min="12812" max="13056" width="11.42578125" style="2481"/>
    <col min="13057" max="13057" width="5.28515625" style="2481" customWidth="1"/>
    <col min="13058" max="13058" width="30.85546875" style="2481" customWidth="1"/>
    <col min="13059" max="13059" width="16.5703125" style="2481" customWidth="1"/>
    <col min="13060" max="13062" width="17.140625" style="2481" customWidth="1"/>
    <col min="13063" max="13064" width="15.28515625" style="2481" customWidth="1"/>
    <col min="13065" max="13066" width="18" style="2481" customWidth="1"/>
    <col min="13067" max="13067" width="42.42578125" style="2481" customWidth="1"/>
    <col min="13068" max="13312" width="11.42578125" style="2481"/>
    <col min="13313" max="13313" width="5.28515625" style="2481" customWidth="1"/>
    <col min="13314" max="13314" width="30.85546875" style="2481" customWidth="1"/>
    <col min="13315" max="13315" width="16.5703125" style="2481" customWidth="1"/>
    <col min="13316" max="13318" width="17.140625" style="2481" customWidth="1"/>
    <col min="13319" max="13320" width="15.28515625" style="2481" customWidth="1"/>
    <col min="13321" max="13322" width="18" style="2481" customWidth="1"/>
    <col min="13323" max="13323" width="42.42578125" style="2481" customWidth="1"/>
    <col min="13324" max="13568" width="11.42578125" style="2481"/>
    <col min="13569" max="13569" width="5.28515625" style="2481" customWidth="1"/>
    <col min="13570" max="13570" width="30.85546875" style="2481" customWidth="1"/>
    <col min="13571" max="13571" width="16.5703125" style="2481" customWidth="1"/>
    <col min="13572" max="13574" width="17.140625" style="2481" customWidth="1"/>
    <col min="13575" max="13576" width="15.28515625" style="2481" customWidth="1"/>
    <col min="13577" max="13578" width="18" style="2481" customWidth="1"/>
    <col min="13579" max="13579" width="42.42578125" style="2481" customWidth="1"/>
    <col min="13580" max="13824" width="11.42578125" style="2481"/>
    <col min="13825" max="13825" width="5.28515625" style="2481" customWidth="1"/>
    <col min="13826" max="13826" width="30.85546875" style="2481" customWidth="1"/>
    <col min="13827" max="13827" width="16.5703125" style="2481" customWidth="1"/>
    <col min="13828" max="13830" width="17.140625" style="2481" customWidth="1"/>
    <col min="13831" max="13832" width="15.28515625" style="2481" customWidth="1"/>
    <col min="13833" max="13834" width="18" style="2481" customWidth="1"/>
    <col min="13835" max="13835" width="42.42578125" style="2481" customWidth="1"/>
    <col min="13836" max="14080" width="11.42578125" style="2481"/>
    <col min="14081" max="14081" width="5.28515625" style="2481" customWidth="1"/>
    <col min="14082" max="14082" width="30.85546875" style="2481" customWidth="1"/>
    <col min="14083" max="14083" width="16.5703125" style="2481" customWidth="1"/>
    <col min="14084" max="14086" width="17.140625" style="2481" customWidth="1"/>
    <col min="14087" max="14088" width="15.28515625" style="2481" customWidth="1"/>
    <col min="14089" max="14090" width="18" style="2481" customWidth="1"/>
    <col min="14091" max="14091" width="42.42578125" style="2481" customWidth="1"/>
    <col min="14092" max="14336" width="11.42578125" style="2481"/>
    <col min="14337" max="14337" width="5.28515625" style="2481" customWidth="1"/>
    <col min="14338" max="14338" width="30.85546875" style="2481" customWidth="1"/>
    <col min="14339" max="14339" width="16.5703125" style="2481" customWidth="1"/>
    <col min="14340" max="14342" width="17.140625" style="2481" customWidth="1"/>
    <col min="14343" max="14344" width="15.28515625" style="2481" customWidth="1"/>
    <col min="14345" max="14346" width="18" style="2481" customWidth="1"/>
    <col min="14347" max="14347" width="42.42578125" style="2481" customWidth="1"/>
    <col min="14348" max="14592" width="11.42578125" style="2481"/>
    <col min="14593" max="14593" width="5.28515625" style="2481" customWidth="1"/>
    <col min="14594" max="14594" width="30.85546875" style="2481" customWidth="1"/>
    <col min="14595" max="14595" width="16.5703125" style="2481" customWidth="1"/>
    <col min="14596" max="14598" width="17.140625" style="2481" customWidth="1"/>
    <col min="14599" max="14600" width="15.28515625" style="2481" customWidth="1"/>
    <col min="14601" max="14602" width="18" style="2481" customWidth="1"/>
    <col min="14603" max="14603" width="42.42578125" style="2481" customWidth="1"/>
    <col min="14604" max="14848" width="11.42578125" style="2481"/>
    <col min="14849" max="14849" width="5.28515625" style="2481" customWidth="1"/>
    <col min="14850" max="14850" width="30.85546875" style="2481" customWidth="1"/>
    <col min="14851" max="14851" width="16.5703125" style="2481" customWidth="1"/>
    <col min="14852" max="14854" width="17.140625" style="2481" customWidth="1"/>
    <col min="14855" max="14856" width="15.28515625" style="2481" customWidth="1"/>
    <col min="14857" max="14858" width="18" style="2481" customWidth="1"/>
    <col min="14859" max="14859" width="42.42578125" style="2481" customWidth="1"/>
    <col min="14860" max="15104" width="11.42578125" style="2481"/>
    <col min="15105" max="15105" width="5.28515625" style="2481" customWidth="1"/>
    <col min="15106" max="15106" width="30.85546875" style="2481" customWidth="1"/>
    <col min="15107" max="15107" width="16.5703125" style="2481" customWidth="1"/>
    <col min="15108" max="15110" width="17.140625" style="2481" customWidth="1"/>
    <col min="15111" max="15112" width="15.28515625" style="2481" customWidth="1"/>
    <col min="15113" max="15114" width="18" style="2481" customWidth="1"/>
    <col min="15115" max="15115" width="42.42578125" style="2481" customWidth="1"/>
    <col min="15116" max="15360" width="11.42578125" style="2481"/>
    <col min="15361" max="15361" width="5.28515625" style="2481" customWidth="1"/>
    <col min="15362" max="15362" width="30.85546875" style="2481" customWidth="1"/>
    <col min="15363" max="15363" width="16.5703125" style="2481" customWidth="1"/>
    <col min="15364" max="15366" width="17.140625" style="2481" customWidth="1"/>
    <col min="15367" max="15368" width="15.28515625" style="2481" customWidth="1"/>
    <col min="15369" max="15370" width="18" style="2481" customWidth="1"/>
    <col min="15371" max="15371" width="42.42578125" style="2481" customWidth="1"/>
    <col min="15372" max="15616" width="11.42578125" style="2481"/>
    <col min="15617" max="15617" width="5.28515625" style="2481" customWidth="1"/>
    <col min="15618" max="15618" width="30.85546875" style="2481" customWidth="1"/>
    <col min="15619" max="15619" width="16.5703125" style="2481" customWidth="1"/>
    <col min="15620" max="15622" width="17.140625" style="2481" customWidth="1"/>
    <col min="15623" max="15624" width="15.28515625" style="2481" customWidth="1"/>
    <col min="15625" max="15626" width="18" style="2481" customWidth="1"/>
    <col min="15627" max="15627" width="42.42578125" style="2481" customWidth="1"/>
    <col min="15628" max="15872" width="11.42578125" style="2481"/>
    <col min="15873" max="15873" width="5.28515625" style="2481" customWidth="1"/>
    <col min="15874" max="15874" width="30.85546875" style="2481" customWidth="1"/>
    <col min="15875" max="15875" width="16.5703125" style="2481" customWidth="1"/>
    <col min="15876" max="15878" width="17.140625" style="2481" customWidth="1"/>
    <col min="15879" max="15880" width="15.28515625" style="2481" customWidth="1"/>
    <col min="15881" max="15882" width="18" style="2481" customWidth="1"/>
    <col min="15883" max="15883" width="42.42578125" style="2481" customWidth="1"/>
    <col min="15884" max="16128" width="11.42578125" style="2481"/>
    <col min="16129" max="16129" width="5.28515625" style="2481" customWidth="1"/>
    <col min="16130" max="16130" width="30.85546875" style="2481" customWidth="1"/>
    <col min="16131" max="16131" width="16.5703125" style="2481" customWidth="1"/>
    <col min="16132" max="16134" width="17.140625" style="2481" customWidth="1"/>
    <col min="16135" max="16136" width="15.28515625" style="2481" customWidth="1"/>
    <col min="16137" max="16138" width="18" style="2481" customWidth="1"/>
    <col min="16139" max="16139" width="42.42578125" style="2481" customWidth="1"/>
    <col min="16140" max="16384" width="11.42578125" style="2481"/>
  </cols>
  <sheetData>
    <row r="1" spans="2:11" ht="13.5" thickBot="1"/>
    <row r="2" spans="2:11" ht="24" customHeight="1" thickBot="1">
      <c r="B2" s="2836" t="s">
        <v>1494</v>
      </c>
      <c r="C2" s="2837"/>
      <c r="D2" s="2837"/>
      <c r="E2" s="2837"/>
      <c r="F2" s="2837"/>
      <c r="G2" s="2837"/>
      <c r="H2" s="2837"/>
      <c r="I2" s="2837"/>
      <c r="J2" s="2837"/>
      <c r="K2" s="2838"/>
    </row>
    <row r="4" spans="2:11">
      <c r="B4" s="2482" t="s">
        <v>1495</v>
      </c>
    </row>
    <row r="6" spans="2:11">
      <c r="B6" s="2482" t="s">
        <v>1512</v>
      </c>
      <c r="C6" s="2482" t="s">
        <v>1502</v>
      </c>
      <c r="D6" s="2638" t="s">
        <v>1497</v>
      </c>
      <c r="E6" s="2638" t="s">
        <v>1498</v>
      </c>
      <c r="F6" s="2638" t="s">
        <v>1499</v>
      </c>
      <c r="G6" s="2638" t="s">
        <v>1544</v>
      </c>
      <c r="H6" s="2638" t="s">
        <v>1500</v>
      </c>
      <c r="I6" s="2638" t="s">
        <v>1501</v>
      </c>
    </row>
    <row r="7" spans="2:11">
      <c r="B7" s="2481" t="s">
        <v>1503</v>
      </c>
      <c r="C7" s="2481" t="s">
        <v>1496</v>
      </c>
      <c r="D7" s="2619">
        <v>2.5399999999999999E-2</v>
      </c>
      <c r="E7" s="2619">
        <f>2*0.0254</f>
        <v>5.0799999999999998E-2</v>
      </c>
      <c r="F7" s="2620">
        <v>3.35</v>
      </c>
      <c r="G7" s="2621">
        <f t="shared" ref="G7:G17" si="0">D7*E7*F7</f>
        <v>4.3225720000000002E-3</v>
      </c>
      <c r="H7" s="2622">
        <v>26.94</v>
      </c>
      <c r="I7" s="2635">
        <f t="shared" ref="I7:I17" si="1">H7/G7</f>
        <v>6232.4005245025419</v>
      </c>
    </row>
    <row r="8" spans="2:11">
      <c r="B8" s="2481" t="s">
        <v>1503</v>
      </c>
      <c r="C8" s="2481" t="s">
        <v>1496</v>
      </c>
      <c r="D8" s="2619">
        <v>2.5399999999999999E-2</v>
      </c>
      <c r="E8" s="2619">
        <f>4*0.0254</f>
        <v>0.1016</v>
      </c>
      <c r="F8" s="2620">
        <v>3.35</v>
      </c>
      <c r="G8" s="2621">
        <f t="shared" si="0"/>
        <v>8.6451440000000004E-3</v>
      </c>
      <c r="H8" s="2622">
        <v>32.64</v>
      </c>
      <c r="I8" s="2635">
        <f t="shared" si="1"/>
        <v>3775.5299391195795</v>
      </c>
    </row>
    <row r="9" spans="2:11">
      <c r="B9" s="2481" t="s">
        <v>1503</v>
      </c>
      <c r="C9" s="2481" t="s">
        <v>1496</v>
      </c>
      <c r="D9" s="2619">
        <v>2.5399999999999999E-2</v>
      </c>
      <c r="E9" s="2619">
        <f>6*0.0254</f>
        <v>0.15239999999999998</v>
      </c>
      <c r="F9" s="2620">
        <v>3.35</v>
      </c>
      <c r="G9" s="2621">
        <f t="shared" si="0"/>
        <v>1.2967715999999997E-2</v>
      </c>
      <c r="H9" s="2622">
        <v>45.04</v>
      </c>
      <c r="I9" s="2635">
        <f t="shared" si="1"/>
        <v>3473.2407773273267</v>
      </c>
    </row>
    <row r="10" spans="2:11">
      <c r="B10" s="2481" t="s">
        <v>1504</v>
      </c>
      <c r="C10" s="2481" t="s">
        <v>1496</v>
      </c>
      <c r="D10" s="2619">
        <f>0.0254*2</f>
        <v>5.0799999999999998E-2</v>
      </c>
      <c r="E10" s="2619">
        <f>2*0.0254</f>
        <v>5.0799999999999998E-2</v>
      </c>
      <c r="F10" s="2620">
        <v>3.35</v>
      </c>
      <c r="G10" s="2621">
        <f t="shared" si="0"/>
        <v>8.6451440000000004E-3</v>
      </c>
      <c r="H10" s="2622">
        <v>49.67</v>
      </c>
      <c r="I10" s="2635">
        <f t="shared" si="1"/>
        <v>5745.4219386050709</v>
      </c>
    </row>
    <row r="11" spans="2:11">
      <c r="B11" s="2481" t="s">
        <v>1504</v>
      </c>
      <c r="C11" s="2481" t="s">
        <v>1496</v>
      </c>
      <c r="D11" s="2619">
        <f>0.0254*3</f>
        <v>7.619999999999999E-2</v>
      </c>
      <c r="E11" s="2619">
        <f>3*0.0254</f>
        <v>7.619999999999999E-2</v>
      </c>
      <c r="F11" s="2620">
        <v>3.35</v>
      </c>
      <c r="G11" s="2621">
        <f t="shared" si="0"/>
        <v>1.9451573999999996E-2</v>
      </c>
      <c r="H11" s="2622">
        <v>68.31</v>
      </c>
      <c r="I11" s="2635">
        <f t="shared" si="1"/>
        <v>3511.7980683722571</v>
      </c>
    </row>
    <row r="12" spans="2:11">
      <c r="B12" s="2481" t="s">
        <v>1504</v>
      </c>
      <c r="C12" s="2624" t="s">
        <v>1505</v>
      </c>
      <c r="D12" s="2625">
        <f t="shared" ref="D12:D19" si="2">0.0254*2</f>
        <v>5.0799999999999998E-2</v>
      </c>
      <c r="E12" s="2625">
        <f>4*0.0254</f>
        <v>0.1016</v>
      </c>
      <c r="F12" s="2626">
        <v>3.05</v>
      </c>
      <c r="G12" s="2627">
        <f t="shared" si="0"/>
        <v>1.5741903999999998E-2</v>
      </c>
      <c r="H12" s="2628">
        <v>62.53</v>
      </c>
      <c r="I12" s="2636">
        <f t="shared" si="1"/>
        <v>3972.2005673519552</v>
      </c>
    </row>
    <row r="13" spans="2:11">
      <c r="B13" s="2481" t="s">
        <v>1504</v>
      </c>
      <c r="C13" s="2624" t="s">
        <v>1505</v>
      </c>
      <c r="D13" s="2625">
        <f t="shared" si="2"/>
        <v>5.0799999999999998E-2</v>
      </c>
      <c r="E13" s="2625">
        <f>4*0.0254</f>
        <v>0.1016</v>
      </c>
      <c r="F13" s="2626">
        <v>3.66</v>
      </c>
      <c r="G13" s="2627">
        <f t="shared" si="0"/>
        <v>1.8890284800000001E-2</v>
      </c>
      <c r="H13" s="2628">
        <v>74.73</v>
      </c>
      <c r="I13" s="2636">
        <f t="shared" si="1"/>
        <v>3956.0017644625455</v>
      </c>
    </row>
    <row r="14" spans="2:11">
      <c r="B14" s="2481" t="s">
        <v>1504</v>
      </c>
      <c r="C14" s="2482" t="s">
        <v>1505</v>
      </c>
      <c r="D14" s="2646">
        <f t="shared" si="2"/>
        <v>5.0799999999999998E-2</v>
      </c>
      <c r="E14" s="2646">
        <f>5*0.0254</f>
        <v>0.127</v>
      </c>
      <c r="F14" s="2647">
        <v>3.05</v>
      </c>
      <c r="G14" s="2648">
        <f t="shared" si="0"/>
        <v>1.9677379999999998E-2</v>
      </c>
      <c r="H14" s="2649">
        <v>89.67</v>
      </c>
      <c r="I14" s="2650">
        <f t="shared" si="1"/>
        <v>4557.0091140182285</v>
      </c>
    </row>
    <row r="15" spans="2:11">
      <c r="B15" s="2481" t="s">
        <v>1504</v>
      </c>
      <c r="C15" s="2481" t="s">
        <v>1505</v>
      </c>
      <c r="D15" s="2619">
        <f t="shared" si="2"/>
        <v>5.0799999999999998E-2</v>
      </c>
      <c r="E15" s="2619">
        <f>5*0.0254</f>
        <v>0.127</v>
      </c>
      <c r="F15" s="2620">
        <v>4.2699999999999996</v>
      </c>
      <c r="G15" s="2621">
        <f t="shared" si="0"/>
        <v>2.7548331999999998E-2</v>
      </c>
      <c r="H15" s="2622">
        <v>104.62</v>
      </c>
      <c r="I15" s="2635">
        <f t="shared" si="1"/>
        <v>3797.6890942072287</v>
      </c>
    </row>
    <row r="16" spans="2:11">
      <c r="B16" s="2481" t="s">
        <v>1504</v>
      </c>
      <c r="C16" s="2624" t="s">
        <v>1505</v>
      </c>
      <c r="D16" s="2625">
        <f t="shared" si="2"/>
        <v>5.0799999999999998E-2</v>
      </c>
      <c r="E16" s="2625">
        <f>6*0.0254</f>
        <v>0.15239999999999998</v>
      </c>
      <c r="F16" s="2626">
        <v>3.66</v>
      </c>
      <c r="G16" s="2627">
        <f t="shared" si="0"/>
        <v>2.8335427199999996E-2</v>
      </c>
      <c r="H16" s="2628">
        <v>93.33</v>
      </c>
      <c r="I16" s="2636">
        <f t="shared" si="1"/>
        <v>3293.7565875131754</v>
      </c>
    </row>
    <row r="17" spans="2:12">
      <c r="B17" s="2481" t="s">
        <v>1504</v>
      </c>
      <c r="C17" s="2624" t="s">
        <v>1505</v>
      </c>
      <c r="D17" s="2625">
        <f t="shared" si="2"/>
        <v>5.0799999999999998E-2</v>
      </c>
      <c r="E17" s="2625">
        <f>6*0.0254</f>
        <v>0.15239999999999998</v>
      </c>
      <c r="F17" s="2626">
        <v>4.2699999999999996</v>
      </c>
      <c r="G17" s="2627">
        <f t="shared" si="0"/>
        <v>3.305799839999999E-2</v>
      </c>
      <c r="H17" s="2628">
        <v>108.89</v>
      </c>
      <c r="I17" s="2636">
        <f t="shared" si="1"/>
        <v>3293.9078368398746</v>
      </c>
      <c r="K17" s="2663"/>
    </row>
    <row r="18" spans="2:12">
      <c r="B18" s="2481" t="s">
        <v>1504</v>
      </c>
      <c r="C18" s="2624" t="s">
        <v>1505</v>
      </c>
      <c r="D18" s="2634">
        <f t="shared" si="2"/>
        <v>5.0799999999999998E-2</v>
      </c>
      <c r="E18" s="2625">
        <f>6*0.0254</f>
        <v>0.15239999999999998</v>
      </c>
      <c r="F18" s="2626">
        <v>4.88</v>
      </c>
      <c r="G18" s="2627">
        <f t="shared" ref="G18" si="3">D18*E18*F18</f>
        <v>3.7780569599999994E-2</v>
      </c>
      <c r="H18" s="2628">
        <v>124.44</v>
      </c>
      <c r="I18" s="2636">
        <f t="shared" ref="I18" si="4">H18/G18</f>
        <v>3293.7565875131754</v>
      </c>
      <c r="L18" s="2662"/>
    </row>
    <row r="19" spans="2:12">
      <c r="B19" s="2481" t="s">
        <v>1504</v>
      </c>
      <c r="C19" s="2481" t="s">
        <v>1505</v>
      </c>
      <c r="D19" s="2619">
        <f t="shared" si="2"/>
        <v>5.0799999999999998E-2</v>
      </c>
      <c r="E19" s="2619">
        <f>5*0.0254</f>
        <v>0.127</v>
      </c>
      <c r="F19" s="2620">
        <v>4.88</v>
      </c>
      <c r="G19" s="2621">
        <f t="shared" ref="G19:G24" si="5">D19*E19*F19</f>
        <v>3.1483808000000002E-2</v>
      </c>
      <c r="H19" s="2622">
        <v>119.56</v>
      </c>
      <c r="I19" s="2635">
        <f t="shared" ref="I19:I24" si="6">H19/G19</f>
        <v>3797.50759501519</v>
      </c>
      <c r="L19" s="2622"/>
    </row>
    <row r="20" spans="2:12">
      <c r="B20" s="2481" t="s">
        <v>1504</v>
      </c>
      <c r="C20" s="2629" t="s">
        <v>1506</v>
      </c>
      <c r="D20" s="2630">
        <f>0.0254*1</f>
        <v>2.5399999999999999E-2</v>
      </c>
      <c r="E20" s="2630">
        <f>8*0.0254</f>
        <v>0.20319999999999999</v>
      </c>
      <c r="F20" s="2631">
        <v>3.05</v>
      </c>
      <c r="G20" s="2632">
        <f t="shared" si="5"/>
        <v>1.5741903999999998E-2</v>
      </c>
      <c r="H20" s="2633">
        <v>113</v>
      </c>
      <c r="I20" s="2637">
        <f t="shared" si="6"/>
        <v>7178.2930451106813</v>
      </c>
    </row>
    <row r="21" spans="2:12">
      <c r="B21" s="2481" t="s">
        <v>1504</v>
      </c>
      <c r="C21" s="2629" t="s">
        <v>1506</v>
      </c>
      <c r="D21" s="2630">
        <f>0.0254*1</f>
        <v>2.5399999999999999E-2</v>
      </c>
      <c r="E21" s="2630">
        <f>8*0.0254</f>
        <v>0.20319999999999999</v>
      </c>
      <c r="F21" s="2631">
        <v>3.66</v>
      </c>
      <c r="G21" s="2632">
        <f t="shared" si="5"/>
        <v>1.8890284800000001E-2</v>
      </c>
      <c r="H21" s="2633">
        <v>139</v>
      </c>
      <c r="I21" s="2637">
        <f t="shared" si="6"/>
        <v>7358.2797438818916</v>
      </c>
    </row>
    <row r="22" spans="2:12">
      <c r="B22" s="2481" t="s">
        <v>1504</v>
      </c>
      <c r="C22" s="2481" t="s">
        <v>1507</v>
      </c>
      <c r="D22" s="2619">
        <f>0.0254*0.5</f>
        <v>1.2699999999999999E-2</v>
      </c>
      <c r="E22" s="2619">
        <f>4*0.0254</f>
        <v>0.1016</v>
      </c>
      <c r="F22" s="2620">
        <v>2.44</v>
      </c>
      <c r="G22" s="2621">
        <f t="shared" si="5"/>
        <v>3.1483807999999999E-3</v>
      </c>
      <c r="H22" s="2622">
        <v>123.88</v>
      </c>
      <c r="I22" s="2635">
        <f t="shared" si="6"/>
        <v>39347.20984196067</v>
      </c>
    </row>
    <row r="23" spans="2:12">
      <c r="B23" s="2481" t="s">
        <v>1504</v>
      </c>
      <c r="C23" s="2481" t="s">
        <v>1507</v>
      </c>
      <c r="D23" s="2619">
        <f t="shared" ref="D23:D24" si="7">0.0254*0.5</f>
        <v>1.2699999999999999E-2</v>
      </c>
      <c r="E23" s="2619">
        <f t="shared" ref="E23:E24" si="8">4*0.0254</f>
        <v>0.1016</v>
      </c>
      <c r="F23" s="2620">
        <v>3.66</v>
      </c>
      <c r="G23" s="2621">
        <f t="shared" si="5"/>
        <v>4.7225712000000001E-3</v>
      </c>
      <c r="H23" s="2622">
        <v>141</v>
      </c>
      <c r="I23" s="2635">
        <f t="shared" si="6"/>
        <v>29856.617090283358</v>
      </c>
    </row>
    <row r="24" spans="2:12">
      <c r="B24" s="2481" t="s">
        <v>1504</v>
      </c>
      <c r="C24" s="2481" t="s">
        <v>1507</v>
      </c>
      <c r="D24" s="2619">
        <f t="shared" si="7"/>
        <v>1.2699999999999999E-2</v>
      </c>
      <c r="E24" s="2619">
        <f t="shared" si="8"/>
        <v>0.1016</v>
      </c>
      <c r="F24" s="2620">
        <v>3.05</v>
      </c>
      <c r="G24" s="2621">
        <f t="shared" si="5"/>
        <v>3.9354759999999994E-3</v>
      </c>
      <c r="H24" s="2622">
        <v>154.85</v>
      </c>
      <c r="I24" s="2635">
        <f t="shared" si="6"/>
        <v>39347.20984196067</v>
      </c>
    </row>
    <row r="25" spans="2:12">
      <c r="I25" s="2635"/>
    </row>
    <row r="26" spans="2:12">
      <c r="B26" s="2482" t="s">
        <v>1508</v>
      </c>
      <c r="I26" s="2635"/>
    </row>
    <row r="27" spans="2:12">
      <c r="I27" s="2635"/>
    </row>
    <row r="28" spans="2:12">
      <c r="B28" s="2481" t="s">
        <v>1509</v>
      </c>
      <c r="C28" s="2624" t="s">
        <v>1510</v>
      </c>
      <c r="D28" s="2625">
        <f t="shared" ref="D28:D35" si="9">0.0254*2</f>
        <v>5.0799999999999998E-2</v>
      </c>
      <c r="E28" s="2625">
        <f>6*0.0254</f>
        <v>0.15239999999999998</v>
      </c>
      <c r="F28" s="2626">
        <v>4.88</v>
      </c>
      <c r="G28" s="2627">
        <f t="shared" ref="G28:G38" si="10">D28*E28*F28</f>
        <v>3.7780569599999994E-2</v>
      </c>
      <c r="H28" s="2628">
        <v>124.39</v>
      </c>
      <c r="I28" s="2636">
        <f t="shared" ref="I28:I38" si="11">H28/G28</f>
        <v>3292.4331559045636</v>
      </c>
    </row>
    <row r="29" spans="2:12">
      <c r="B29" s="2481" t="s">
        <v>1509</v>
      </c>
      <c r="C29" s="2624" t="s">
        <v>1510</v>
      </c>
      <c r="D29" s="2625">
        <f t="shared" si="9"/>
        <v>5.0799999999999998E-2</v>
      </c>
      <c r="E29" s="2625">
        <f>6*0.0254</f>
        <v>0.15239999999999998</v>
      </c>
      <c r="F29" s="2626">
        <v>4.2699999999999996</v>
      </c>
      <c r="G29" s="2627">
        <f t="shared" si="10"/>
        <v>3.305799839999999E-2</v>
      </c>
      <c r="H29" s="2628">
        <v>108.84</v>
      </c>
      <c r="I29" s="2636">
        <f t="shared" si="11"/>
        <v>3292.3953435728895</v>
      </c>
    </row>
    <row r="30" spans="2:12">
      <c r="B30" s="2481" t="s">
        <v>1509</v>
      </c>
      <c r="C30" s="2624" t="s">
        <v>1510</v>
      </c>
      <c r="D30" s="2625">
        <f t="shared" si="9"/>
        <v>5.0799999999999998E-2</v>
      </c>
      <c r="E30" s="2625">
        <f>6*0.0254</f>
        <v>0.15239999999999998</v>
      </c>
      <c r="F30" s="2626">
        <v>3.66</v>
      </c>
      <c r="G30" s="2627">
        <f t="shared" si="10"/>
        <v>2.8335427199999996E-2</v>
      </c>
      <c r="H30" s="2628">
        <v>93.29</v>
      </c>
      <c r="I30" s="2636">
        <f t="shared" si="11"/>
        <v>3292.3449271306563</v>
      </c>
    </row>
    <row r="31" spans="2:12">
      <c r="B31" s="2481" t="s">
        <v>1509</v>
      </c>
      <c r="C31" s="2481" t="s">
        <v>1510</v>
      </c>
      <c r="D31" s="2619">
        <f t="shared" si="9"/>
        <v>5.0799999999999998E-2</v>
      </c>
      <c r="E31" s="2619">
        <f>6*0.0254</f>
        <v>0.15239999999999998</v>
      </c>
      <c r="F31" s="2620">
        <v>3.05</v>
      </c>
      <c r="G31" s="2621">
        <f t="shared" si="10"/>
        <v>2.3612855999999995E-2</v>
      </c>
      <c r="H31" s="2622">
        <v>77.739999999999995</v>
      </c>
      <c r="I31" s="2635">
        <f t="shared" si="11"/>
        <v>3292.2743441115304</v>
      </c>
    </row>
    <row r="32" spans="2:12">
      <c r="B32" s="2481" t="s">
        <v>1509</v>
      </c>
      <c r="C32" s="2481" t="s">
        <v>1510</v>
      </c>
      <c r="D32" s="2619">
        <f t="shared" si="9"/>
        <v>5.0799999999999998E-2</v>
      </c>
      <c r="E32" s="2619">
        <f>5*0.0254</f>
        <v>0.127</v>
      </c>
      <c r="F32" s="2620">
        <v>4.88</v>
      </c>
      <c r="G32" s="2621">
        <f t="shared" si="10"/>
        <v>3.1483808000000002E-2</v>
      </c>
      <c r="H32" s="2622">
        <v>119.51</v>
      </c>
      <c r="I32" s="2635">
        <f t="shared" si="11"/>
        <v>3795.9194770848558</v>
      </c>
    </row>
    <row r="33" spans="2:9">
      <c r="B33" s="2481" t="s">
        <v>1509</v>
      </c>
      <c r="C33" s="2481" t="s">
        <v>1510</v>
      </c>
      <c r="D33" s="2619">
        <f t="shared" si="9"/>
        <v>5.0799999999999998E-2</v>
      </c>
      <c r="E33" s="2619">
        <f>5*0.0254</f>
        <v>0.127</v>
      </c>
      <c r="F33" s="2620">
        <v>4.2699999999999996</v>
      </c>
      <c r="G33" s="2621">
        <f t="shared" si="10"/>
        <v>2.7548331999999998E-2</v>
      </c>
      <c r="H33" s="2622">
        <v>104.57</v>
      </c>
      <c r="I33" s="2635">
        <f t="shared" si="11"/>
        <v>3795.8741022868462</v>
      </c>
    </row>
    <row r="34" spans="2:9">
      <c r="B34" s="2481" t="s">
        <v>1509</v>
      </c>
      <c r="C34" s="2481" t="s">
        <v>1510</v>
      </c>
      <c r="D34" s="2619">
        <f t="shared" si="9"/>
        <v>5.0799999999999998E-2</v>
      </c>
      <c r="E34" s="2619">
        <f>5*0.0254</f>
        <v>0.127</v>
      </c>
      <c r="F34" s="2620">
        <v>3.66</v>
      </c>
      <c r="G34" s="2621">
        <f t="shared" si="10"/>
        <v>2.3612856000000002E-2</v>
      </c>
      <c r="H34" s="2622">
        <v>89.63</v>
      </c>
      <c r="I34" s="2635">
        <f t="shared" si="11"/>
        <v>3795.8136025561666</v>
      </c>
    </row>
    <row r="35" spans="2:9">
      <c r="B35" s="2481" t="s">
        <v>1509</v>
      </c>
      <c r="C35" s="2481" t="s">
        <v>1510</v>
      </c>
      <c r="D35" s="2619">
        <f t="shared" si="9"/>
        <v>5.0799999999999998E-2</v>
      </c>
      <c r="E35" s="2619">
        <f>4*0.0254</f>
        <v>0.1016</v>
      </c>
      <c r="F35" s="2620">
        <v>3.66</v>
      </c>
      <c r="G35" s="2621">
        <f t="shared" si="10"/>
        <v>1.8890284800000001E-2</v>
      </c>
      <c r="H35" s="2622">
        <v>74.989999999999995</v>
      </c>
      <c r="I35" s="2635">
        <f t="shared" si="11"/>
        <v>3969.765453192108</v>
      </c>
    </row>
    <row r="36" spans="2:9">
      <c r="B36" s="2481" t="s">
        <v>1509</v>
      </c>
      <c r="C36" s="2481" t="s">
        <v>1510</v>
      </c>
      <c r="D36" s="2619">
        <f>0.0254*3</f>
        <v>7.619999999999999E-2</v>
      </c>
      <c r="E36" s="2619">
        <f>6*0.0254</f>
        <v>0.15239999999999998</v>
      </c>
      <c r="F36" s="2620">
        <v>3.66</v>
      </c>
      <c r="G36" s="2621">
        <f t="shared" si="10"/>
        <v>4.2503140799999992E-2</v>
      </c>
      <c r="H36" s="2622">
        <v>174.14</v>
      </c>
      <c r="I36" s="2635">
        <f t="shared" si="11"/>
        <v>4097.1089835318717</v>
      </c>
    </row>
    <row r="37" spans="2:9">
      <c r="B37" s="2481" t="s">
        <v>1509</v>
      </c>
      <c r="C37" s="2481" t="s">
        <v>1510</v>
      </c>
      <c r="D37" s="2619">
        <f>0.0254*3</f>
        <v>7.619999999999999E-2</v>
      </c>
      <c r="E37" s="2619">
        <f>6*0.0254</f>
        <v>0.15239999999999998</v>
      </c>
      <c r="F37" s="2620">
        <v>4.88</v>
      </c>
      <c r="G37" s="2621">
        <f t="shared" si="10"/>
        <v>5.6670854399999984E-2</v>
      </c>
      <c r="H37" s="2622">
        <v>234.81</v>
      </c>
      <c r="I37" s="2635">
        <f t="shared" si="11"/>
        <v>4143.3996802419842</v>
      </c>
    </row>
    <row r="38" spans="2:9">
      <c r="B38" s="2481" t="s">
        <v>1509</v>
      </c>
      <c r="C38" s="2481" t="s">
        <v>1511</v>
      </c>
      <c r="D38" s="2619">
        <f>0.0254*1</f>
        <v>2.5399999999999999E-2</v>
      </c>
      <c r="E38" s="2619">
        <f>8*0.0254</f>
        <v>0.20319999999999999</v>
      </c>
      <c r="F38" s="2620">
        <v>3.05</v>
      </c>
      <c r="G38" s="2621">
        <f t="shared" si="10"/>
        <v>1.5741903999999998E-2</v>
      </c>
      <c r="H38" s="2622">
        <f>189/2</f>
        <v>94.5</v>
      </c>
      <c r="I38" s="2635">
        <f t="shared" si="11"/>
        <v>6003.0857766633571</v>
      </c>
    </row>
    <row r="39" spans="2:9">
      <c r="D39" s="2619"/>
      <c r="E39" s="2619"/>
      <c r="F39" s="2620"/>
      <c r="G39" s="2621"/>
      <c r="H39" s="2622"/>
      <c r="I39" s="2623"/>
    </row>
    <row r="40" spans="2:9">
      <c r="D40" s="2619"/>
      <c r="E40" s="2619"/>
      <c r="F40" s="2620"/>
      <c r="G40" s="2621"/>
      <c r="H40" s="2622"/>
      <c r="I40" s="2623"/>
    </row>
    <row r="41" spans="2:9">
      <c r="D41" s="2619"/>
      <c r="E41" s="2619"/>
      <c r="F41" s="2620"/>
      <c r="G41" s="2621"/>
      <c r="H41" s="2622"/>
      <c r="I41" s="2623"/>
    </row>
    <row r="106" spans="2:4">
      <c r="B106" s="2482" t="s">
        <v>1515</v>
      </c>
    </row>
    <row r="107" spans="2:4">
      <c r="B107" s="2481" t="s">
        <v>1513</v>
      </c>
      <c r="C107" s="2481">
        <v>645</v>
      </c>
      <c r="D107" s="2481" t="s">
        <v>1514</v>
      </c>
    </row>
    <row r="108" spans="2:4">
      <c r="B108" s="2481" t="s">
        <v>1516</v>
      </c>
      <c r="C108" s="2481">
        <v>572</v>
      </c>
      <c r="D108" s="2481" t="s">
        <v>1514</v>
      </c>
    </row>
    <row r="109" spans="2:4">
      <c r="B109" s="2481" t="s">
        <v>1517</v>
      </c>
    </row>
    <row r="110" spans="2:4">
      <c r="B110" s="2481" t="s">
        <v>1518</v>
      </c>
    </row>
    <row r="111" spans="2:4">
      <c r="B111" s="2481" t="s">
        <v>1519</v>
      </c>
    </row>
    <row r="112" spans="2:4">
      <c r="B112" s="2481" t="s">
        <v>1520</v>
      </c>
    </row>
    <row r="113" spans="2:2">
      <c r="B113" s="2481" t="s">
        <v>1521</v>
      </c>
    </row>
    <row r="114" spans="2:2">
      <c r="B114" s="2481" t="s">
        <v>1522</v>
      </c>
    </row>
    <row r="115" spans="2:2">
      <c r="B115" s="2481" t="s">
        <v>1523</v>
      </c>
    </row>
    <row r="116" spans="2:2">
      <c r="B116" s="2481" t="s">
        <v>1524</v>
      </c>
    </row>
    <row r="118" spans="2:2" ht="15.75">
      <c r="B118" s="2639" t="s">
        <v>1525</v>
      </c>
    </row>
    <row r="119" spans="2:2">
      <c r="B119"/>
    </row>
    <row r="120" spans="2:2">
      <c r="B120" s="2609" t="s">
        <v>1526</v>
      </c>
    </row>
    <row r="122" spans="2:2" ht="15.75">
      <c r="B122" s="2639" t="s">
        <v>1527</v>
      </c>
    </row>
    <row r="123" spans="2:2">
      <c r="B123"/>
    </row>
    <row r="124" spans="2:2">
      <c r="B124" s="2609" t="s">
        <v>1528</v>
      </c>
    </row>
    <row r="126" spans="2:2" ht="20.25">
      <c r="B126" s="2640" t="s">
        <v>1529</v>
      </c>
    </row>
    <row r="127" spans="2:2">
      <c r="B127" s="2641" t="s">
        <v>1530</v>
      </c>
    </row>
  </sheetData>
  <mergeCells count="1">
    <mergeCell ref="B2:K2"/>
  </mergeCells>
  <pageMargins left="0.39370078740157483" right="0.39370078740157483" top="0.98425196850393704" bottom="0.98425196850393704" header="0" footer="0"/>
  <pageSetup scale="60" orientation="landscape"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sheetPr>
    <tabColor indexed="43"/>
  </sheetPr>
  <dimension ref="B1:K39"/>
  <sheetViews>
    <sheetView showGridLines="0" zoomScale="85" workbookViewId="0">
      <selection activeCell="J2" sqref="J2"/>
    </sheetView>
  </sheetViews>
  <sheetFormatPr baseColWidth="10" defaultColWidth="11.42578125" defaultRowHeight="12.75"/>
  <cols>
    <col min="1" max="1" width="2.5703125" style="2488" customWidth="1"/>
    <col min="2" max="2" width="33.85546875" style="2488" customWidth="1"/>
    <col min="3" max="4" width="15.85546875" style="2488" customWidth="1"/>
    <col min="5" max="5" width="16.28515625" style="2488" customWidth="1"/>
    <col min="6" max="6" width="18.42578125" style="2488" customWidth="1"/>
    <col min="7" max="7" width="20.140625" style="2489" customWidth="1"/>
    <col min="8" max="8" width="18.85546875" style="2488" customWidth="1"/>
    <col min="9" max="10" width="13" style="2488" customWidth="1"/>
    <col min="11" max="11" width="11.42578125" style="2488"/>
    <col min="12" max="12" width="5.140625" style="2488" customWidth="1"/>
    <col min="13" max="18" width="11.42578125" style="2488"/>
    <col min="19" max="19" width="11.85546875" style="2488" bestFit="1" customWidth="1"/>
    <col min="20" max="255" width="11.42578125" style="2488"/>
    <col min="256" max="256" width="2.5703125" style="2488" customWidth="1"/>
    <col min="257" max="257" width="33.85546875" style="2488" customWidth="1"/>
    <col min="258" max="260" width="15.85546875" style="2488" customWidth="1"/>
    <col min="261" max="261" width="16.28515625" style="2488" customWidth="1"/>
    <col min="262" max="262" width="15.85546875" style="2488" customWidth="1"/>
    <col min="263" max="263" width="17" style="2488" customWidth="1"/>
    <col min="264" max="264" width="18.85546875" style="2488" customWidth="1"/>
    <col min="265" max="266" width="13" style="2488" customWidth="1"/>
    <col min="267" max="267" width="11.42578125" style="2488"/>
    <col min="268" max="268" width="5.140625" style="2488" customWidth="1"/>
    <col min="269" max="274" width="11.42578125" style="2488"/>
    <col min="275" max="275" width="11.85546875" style="2488" bestFit="1" customWidth="1"/>
    <col min="276" max="511" width="11.42578125" style="2488"/>
    <col min="512" max="512" width="2.5703125" style="2488" customWidth="1"/>
    <col min="513" max="513" width="33.85546875" style="2488" customWidth="1"/>
    <col min="514" max="516" width="15.85546875" style="2488" customWidth="1"/>
    <col min="517" max="517" width="16.28515625" style="2488" customWidth="1"/>
    <col min="518" max="518" width="15.85546875" style="2488" customWidth="1"/>
    <col min="519" max="519" width="17" style="2488" customWidth="1"/>
    <col min="520" max="520" width="18.85546875" style="2488" customWidth="1"/>
    <col min="521" max="522" width="13" style="2488" customWidth="1"/>
    <col min="523" max="523" width="11.42578125" style="2488"/>
    <col min="524" max="524" width="5.140625" style="2488" customWidth="1"/>
    <col min="525" max="530" width="11.42578125" style="2488"/>
    <col min="531" max="531" width="11.85546875" style="2488" bestFit="1" customWidth="1"/>
    <col min="532" max="767" width="11.42578125" style="2488"/>
    <col min="768" max="768" width="2.5703125" style="2488" customWidth="1"/>
    <col min="769" max="769" width="33.85546875" style="2488" customWidth="1"/>
    <col min="770" max="772" width="15.85546875" style="2488" customWidth="1"/>
    <col min="773" max="773" width="16.28515625" style="2488" customWidth="1"/>
    <col min="774" max="774" width="15.85546875" style="2488" customWidth="1"/>
    <col min="775" max="775" width="17" style="2488" customWidth="1"/>
    <col min="776" max="776" width="18.85546875" style="2488" customWidth="1"/>
    <col min="777" max="778" width="13" style="2488" customWidth="1"/>
    <col min="779" max="779" width="11.42578125" style="2488"/>
    <col min="780" max="780" width="5.140625" style="2488" customWidth="1"/>
    <col min="781" max="786" width="11.42578125" style="2488"/>
    <col min="787" max="787" width="11.85546875" style="2488" bestFit="1" customWidth="1"/>
    <col min="788" max="1023" width="11.42578125" style="2488"/>
    <col min="1024" max="1024" width="2.5703125" style="2488" customWidth="1"/>
    <col min="1025" max="1025" width="33.85546875" style="2488" customWidth="1"/>
    <col min="1026" max="1028" width="15.85546875" style="2488" customWidth="1"/>
    <col min="1029" max="1029" width="16.28515625" style="2488" customWidth="1"/>
    <col min="1030" max="1030" width="15.85546875" style="2488" customWidth="1"/>
    <col min="1031" max="1031" width="17" style="2488" customWidth="1"/>
    <col min="1032" max="1032" width="18.85546875" style="2488" customWidth="1"/>
    <col min="1033" max="1034" width="13" style="2488" customWidth="1"/>
    <col min="1035" max="1035" width="11.42578125" style="2488"/>
    <col min="1036" max="1036" width="5.140625" style="2488" customWidth="1"/>
    <col min="1037" max="1042" width="11.42578125" style="2488"/>
    <col min="1043" max="1043" width="11.85546875" style="2488" bestFit="1" customWidth="1"/>
    <col min="1044" max="1279" width="11.42578125" style="2488"/>
    <col min="1280" max="1280" width="2.5703125" style="2488" customWidth="1"/>
    <col min="1281" max="1281" width="33.85546875" style="2488" customWidth="1"/>
    <col min="1282" max="1284" width="15.85546875" style="2488" customWidth="1"/>
    <col min="1285" max="1285" width="16.28515625" style="2488" customWidth="1"/>
    <col min="1286" max="1286" width="15.85546875" style="2488" customWidth="1"/>
    <col min="1287" max="1287" width="17" style="2488" customWidth="1"/>
    <col min="1288" max="1288" width="18.85546875" style="2488" customWidth="1"/>
    <col min="1289" max="1290" width="13" style="2488" customWidth="1"/>
    <col min="1291" max="1291" width="11.42578125" style="2488"/>
    <col min="1292" max="1292" width="5.140625" style="2488" customWidth="1"/>
    <col min="1293" max="1298" width="11.42578125" style="2488"/>
    <col min="1299" max="1299" width="11.85546875" style="2488" bestFit="1" customWidth="1"/>
    <col min="1300" max="1535" width="11.42578125" style="2488"/>
    <col min="1536" max="1536" width="2.5703125" style="2488" customWidth="1"/>
    <col min="1537" max="1537" width="33.85546875" style="2488" customWidth="1"/>
    <col min="1538" max="1540" width="15.85546875" style="2488" customWidth="1"/>
    <col min="1541" max="1541" width="16.28515625" style="2488" customWidth="1"/>
    <col min="1542" max="1542" width="15.85546875" style="2488" customWidth="1"/>
    <col min="1543" max="1543" width="17" style="2488" customWidth="1"/>
    <col min="1544" max="1544" width="18.85546875" style="2488" customWidth="1"/>
    <col min="1545" max="1546" width="13" style="2488" customWidth="1"/>
    <col min="1547" max="1547" width="11.42578125" style="2488"/>
    <col min="1548" max="1548" width="5.140625" style="2488" customWidth="1"/>
    <col min="1549" max="1554" width="11.42578125" style="2488"/>
    <col min="1555" max="1555" width="11.85546875" style="2488" bestFit="1" customWidth="1"/>
    <col min="1556" max="1791" width="11.42578125" style="2488"/>
    <col min="1792" max="1792" width="2.5703125" style="2488" customWidth="1"/>
    <col min="1793" max="1793" width="33.85546875" style="2488" customWidth="1"/>
    <col min="1794" max="1796" width="15.85546875" style="2488" customWidth="1"/>
    <col min="1797" max="1797" width="16.28515625" style="2488" customWidth="1"/>
    <col min="1798" max="1798" width="15.85546875" style="2488" customWidth="1"/>
    <col min="1799" max="1799" width="17" style="2488" customWidth="1"/>
    <col min="1800" max="1800" width="18.85546875" style="2488" customWidth="1"/>
    <col min="1801" max="1802" width="13" style="2488" customWidth="1"/>
    <col min="1803" max="1803" width="11.42578125" style="2488"/>
    <col min="1804" max="1804" width="5.140625" style="2488" customWidth="1"/>
    <col min="1805" max="1810" width="11.42578125" style="2488"/>
    <col min="1811" max="1811" width="11.85546875" style="2488" bestFit="1" customWidth="1"/>
    <col min="1812" max="2047" width="11.42578125" style="2488"/>
    <col min="2048" max="2048" width="2.5703125" style="2488" customWidth="1"/>
    <col min="2049" max="2049" width="33.85546875" style="2488" customWidth="1"/>
    <col min="2050" max="2052" width="15.85546875" style="2488" customWidth="1"/>
    <col min="2053" max="2053" width="16.28515625" style="2488" customWidth="1"/>
    <col min="2054" max="2054" width="15.85546875" style="2488" customWidth="1"/>
    <col min="2055" max="2055" width="17" style="2488" customWidth="1"/>
    <col min="2056" max="2056" width="18.85546875" style="2488" customWidth="1"/>
    <col min="2057" max="2058" width="13" style="2488" customWidth="1"/>
    <col min="2059" max="2059" width="11.42578125" style="2488"/>
    <col min="2060" max="2060" width="5.140625" style="2488" customWidth="1"/>
    <col min="2061" max="2066" width="11.42578125" style="2488"/>
    <col min="2067" max="2067" width="11.85546875" style="2488" bestFit="1" customWidth="1"/>
    <col min="2068" max="2303" width="11.42578125" style="2488"/>
    <col min="2304" max="2304" width="2.5703125" style="2488" customWidth="1"/>
    <col min="2305" max="2305" width="33.85546875" style="2488" customWidth="1"/>
    <col min="2306" max="2308" width="15.85546875" style="2488" customWidth="1"/>
    <col min="2309" max="2309" width="16.28515625" style="2488" customWidth="1"/>
    <col min="2310" max="2310" width="15.85546875" style="2488" customWidth="1"/>
    <col min="2311" max="2311" width="17" style="2488" customWidth="1"/>
    <col min="2312" max="2312" width="18.85546875" style="2488" customWidth="1"/>
    <col min="2313" max="2314" width="13" style="2488" customWidth="1"/>
    <col min="2315" max="2315" width="11.42578125" style="2488"/>
    <col min="2316" max="2316" width="5.140625" style="2488" customWidth="1"/>
    <col min="2317" max="2322" width="11.42578125" style="2488"/>
    <col min="2323" max="2323" width="11.85546875" style="2488" bestFit="1" customWidth="1"/>
    <col min="2324" max="2559" width="11.42578125" style="2488"/>
    <col min="2560" max="2560" width="2.5703125" style="2488" customWidth="1"/>
    <col min="2561" max="2561" width="33.85546875" style="2488" customWidth="1"/>
    <col min="2562" max="2564" width="15.85546875" style="2488" customWidth="1"/>
    <col min="2565" max="2565" width="16.28515625" style="2488" customWidth="1"/>
    <col min="2566" max="2566" width="15.85546875" style="2488" customWidth="1"/>
    <col min="2567" max="2567" width="17" style="2488" customWidth="1"/>
    <col min="2568" max="2568" width="18.85546875" style="2488" customWidth="1"/>
    <col min="2569" max="2570" width="13" style="2488" customWidth="1"/>
    <col min="2571" max="2571" width="11.42578125" style="2488"/>
    <col min="2572" max="2572" width="5.140625" style="2488" customWidth="1"/>
    <col min="2573" max="2578" width="11.42578125" style="2488"/>
    <col min="2579" max="2579" width="11.85546875" style="2488" bestFit="1" customWidth="1"/>
    <col min="2580" max="2815" width="11.42578125" style="2488"/>
    <col min="2816" max="2816" width="2.5703125" style="2488" customWidth="1"/>
    <col min="2817" max="2817" width="33.85546875" style="2488" customWidth="1"/>
    <col min="2818" max="2820" width="15.85546875" style="2488" customWidth="1"/>
    <col min="2821" max="2821" width="16.28515625" style="2488" customWidth="1"/>
    <col min="2822" max="2822" width="15.85546875" style="2488" customWidth="1"/>
    <col min="2823" max="2823" width="17" style="2488" customWidth="1"/>
    <col min="2824" max="2824" width="18.85546875" style="2488" customWidth="1"/>
    <col min="2825" max="2826" width="13" style="2488" customWidth="1"/>
    <col min="2827" max="2827" width="11.42578125" style="2488"/>
    <col min="2828" max="2828" width="5.140625" style="2488" customWidth="1"/>
    <col min="2829" max="2834" width="11.42578125" style="2488"/>
    <col min="2835" max="2835" width="11.85546875" style="2488" bestFit="1" customWidth="1"/>
    <col min="2836" max="3071" width="11.42578125" style="2488"/>
    <col min="3072" max="3072" width="2.5703125" style="2488" customWidth="1"/>
    <col min="3073" max="3073" width="33.85546875" style="2488" customWidth="1"/>
    <col min="3074" max="3076" width="15.85546875" style="2488" customWidth="1"/>
    <col min="3077" max="3077" width="16.28515625" style="2488" customWidth="1"/>
    <col min="3078" max="3078" width="15.85546875" style="2488" customWidth="1"/>
    <col min="3079" max="3079" width="17" style="2488" customWidth="1"/>
    <col min="3080" max="3080" width="18.85546875" style="2488" customWidth="1"/>
    <col min="3081" max="3082" width="13" style="2488" customWidth="1"/>
    <col min="3083" max="3083" width="11.42578125" style="2488"/>
    <col min="3084" max="3084" width="5.140625" style="2488" customWidth="1"/>
    <col min="3085" max="3090" width="11.42578125" style="2488"/>
    <col min="3091" max="3091" width="11.85546875" style="2488" bestFit="1" customWidth="1"/>
    <col min="3092" max="3327" width="11.42578125" style="2488"/>
    <col min="3328" max="3328" width="2.5703125" style="2488" customWidth="1"/>
    <col min="3329" max="3329" width="33.85546875" style="2488" customWidth="1"/>
    <col min="3330" max="3332" width="15.85546875" style="2488" customWidth="1"/>
    <col min="3333" max="3333" width="16.28515625" style="2488" customWidth="1"/>
    <col min="3334" max="3334" width="15.85546875" style="2488" customWidth="1"/>
    <col min="3335" max="3335" width="17" style="2488" customWidth="1"/>
    <col min="3336" max="3336" width="18.85546875" style="2488" customWidth="1"/>
    <col min="3337" max="3338" width="13" style="2488" customWidth="1"/>
    <col min="3339" max="3339" width="11.42578125" style="2488"/>
    <col min="3340" max="3340" width="5.140625" style="2488" customWidth="1"/>
    <col min="3341" max="3346" width="11.42578125" style="2488"/>
    <col min="3347" max="3347" width="11.85546875" style="2488" bestFit="1" customWidth="1"/>
    <col min="3348" max="3583" width="11.42578125" style="2488"/>
    <col min="3584" max="3584" width="2.5703125" style="2488" customWidth="1"/>
    <col min="3585" max="3585" width="33.85546875" style="2488" customWidth="1"/>
    <col min="3586" max="3588" width="15.85546875" style="2488" customWidth="1"/>
    <col min="3589" max="3589" width="16.28515625" style="2488" customWidth="1"/>
    <col min="3590" max="3590" width="15.85546875" style="2488" customWidth="1"/>
    <col min="3591" max="3591" width="17" style="2488" customWidth="1"/>
    <col min="3592" max="3592" width="18.85546875" style="2488" customWidth="1"/>
    <col min="3593" max="3594" width="13" style="2488" customWidth="1"/>
    <col min="3595" max="3595" width="11.42578125" style="2488"/>
    <col min="3596" max="3596" width="5.140625" style="2488" customWidth="1"/>
    <col min="3597" max="3602" width="11.42578125" style="2488"/>
    <col min="3603" max="3603" width="11.85546875" style="2488" bestFit="1" customWidth="1"/>
    <col min="3604" max="3839" width="11.42578125" style="2488"/>
    <col min="3840" max="3840" width="2.5703125" style="2488" customWidth="1"/>
    <col min="3841" max="3841" width="33.85546875" style="2488" customWidth="1"/>
    <col min="3842" max="3844" width="15.85546875" style="2488" customWidth="1"/>
    <col min="3845" max="3845" width="16.28515625" style="2488" customWidth="1"/>
    <col min="3846" max="3846" width="15.85546875" style="2488" customWidth="1"/>
    <col min="3847" max="3847" width="17" style="2488" customWidth="1"/>
    <col min="3848" max="3848" width="18.85546875" style="2488" customWidth="1"/>
    <col min="3849" max="3850" width="13" style="2488" customWidth="1"/>
    <col min="3851" max="3851" width="11.42578125" style="2488"/>
    <col min="3852" max="3852" width="5.140625" style="2488" customWidth="1"/>
    <col min="3853" max="3858" width="11.42578125" style="2488"/>
    <col min="3859" max="3859" width="11.85546875" style="2488" bestFit="1" customWidth="1"/>
    <col min="3860" max="4095" width="11.42578125" style="2488"/>
    <col min="4096" max="4096" width="2.5703125" style="2488" customWidth="1"/>
    <col min="4097" max="4097" width="33.85546875" style="2488" customWidth="1"/>
    <col min="4098" max="4100" width="15.85546875" style="2488" customWidth="1"/>
    <col min="4101" max="4101" width="16.28515625" style="2488" customWidth="1"/>
    <col min="4102" max="4102" width="15.85546875" style="2488" customWidth="1"/>
    <col min="4103" max="4103" width="17" style="2488" customWidth="1"/>
    <col min="4104" max="4104" width="18.85546875" style="2488" customWidth="1"/>
    <col min="4105" max="4106" width="13" style="2488" customWidth="1"/>
    <col min="4107" max="4107" width="11.42578125" style="2488"/>
    <col min="4108" max="4108" width="5.140625" style="2488" customWidth="1"/>
    <col min="4109" max="4114" width="11.42578125" style="2488"/>
    <col min="4115" max="4115" width="11.85546875" style="2488" bestFit="1" customWidth="1"/>
    <col min="4116" max="4351" width="11.42578125" style="2488"/>
    <col min="4352" max="4352" width="2.5703125" style="2488" customWidth="1"/>
    <col min="4353" max="4353" width="33.85546875" style="2488" customWidth="1"/>
    <col min="4354" max="4356" width="15.85546875" style="2488" customWidth="1"/>
    <col min="4357" max="4357" width="16.28515625" style="2488" customWidth="1"/>
    <col min="4358" max="4358" width="15.85546875" style="2488" customWidth="1"/>
    <col min="4359" max="4359" width="17" style="2488" customWidth="1"/>
    <col min="4360" max="4360" width="18.85546875" style="2488" customWidth="1"/>
    <col min="4361" max="4362" width="13" style="2488" customWidth="1"/>
    <col min="4363" max="4363" width="11.42578125" style="2488"/>
    <col min="4364" max="4364" width="5.140625" style="2488" customWidth="1"/>
    <col min="4365" max="4370" width="11.42578125" style="2488"/>
    <col min="4371" max="4371" width="11.85546875" style="2488" bestFit="1" customWidth="1"/>
    <col min="4372" max="4607" width="11.42578125" style="2488"/>
    <col min="4608" max="4608" width="2.5703125" style="2488" customWidth="1"/>
    <col min="4609" max="4609" width="33.85546875" style="2488" customWidth="1"/>
    <col min="4610" max="4612" width="15.85546875" style="2488" customWidth="1"/>
    <col min="4613" max="4613" width="16.28515625" style="2488" customWidth="1"/>
    <col min="4614" max="4614" width="15.85546875" style="2488" customWidth="1"/>
    <col min="4615" max="4615" width="17" style="2488" customWidth="1"/>
    <col min="4616" max="4616" width="18.85546875" style="2488" customWidth="1"/>
    <col min="4617" max="4618" width="13" style="2488" customWidth="1"/>
    <col min="4619" max="4619" width="11.42578125" style="2488"/>
    <col min="4620" max="4620" width="5.140625" style="2488" customWidth="1"/>
    <col min="4621" max="4626" width="11.42578125" style="2488"/>
    <col min="4627" max="4627" width="11.85546875" style="2488" bestFit="1" customWidth="1"/>
    <col min="4628" max="4863" width="11.42578125" style="2488"/>
    <col min="4864" max="4864" width="2.5703125" style="2488" customWidth="1"/>
    <col min="4865" max="4865" width="33.85546875" style="2488" customWidth="1"/>
    <col min="4866" max="4868" width="15.85546875" style="2488" customWidth="1"/>
    <col min="4869" max="4869" width="16.28515625" style="2488" customWidth="1"/>
    <col min="4870" max="4870" width="15.85546875" style="2488" customWidth="1"/>
    <col min="4871" max="4871" width="17" style="2488" customWidth="1"/>
    <col min="4872" max="4872" width="18.85546875" style="2488" customWidth="1"/>
    <col min="4873" max="4874" width="13" style="2488" customWidth="1"/>
    <col min="4875" max="4875" width="11.42578125" style="2488"/>
    <col min="4876" max="4876" width="5.140625" style="2488" customWidth="1"/>
    <col min="4877" max="4882" width="11.42578125" style="2488"/>
    <col min="4883" max="4883" width="11.85546875" style="2488" bestFit="1" customWidth="1"/>
    <col min="4884" max="5119" width="11.42578125" style="2488"/>
    <col min="5120" max="5120" width="2.5703125" style="2488" customWidth="1"/>
    <col min="5121" max="5121" width="33.85546875" style="2488" customWidth="1"/>
    <col min="5122" max="5124" width="15.85546875" style="2488" customWidth="1"/>
    <col min="5125" max="5125" width="16.28515625" style="2488" customWidth="1"/>
    <col min="5126" max="5126" width="15.85546875" style="2488" customWidth="1"/>
    <col min="5127" max="5127" width="17" style="2488" customWidth="1"/>
    <col min="5128" max="5128" width="18.85546875" style="2488" customWidth="1"/>
    <col min="5129" max="5130" width="13" style="2488" customWidth="1"/>
    <col min="5131" max="5131" width="11.42578125" style="2488"/>
    <col min="5132" max="5132" width="5.140625" style="2488" customWidth="1"/>
    <col min="5133" max="5138" width="11.42578125" style="2488"/>
    <col min="5139" max="5139" width="11.85546875" style="2488" bestFit="1" customWidth="1"/>
    <col min="5140" max="5375" width="11.42578125" style="2488"/>
    <col min="5376" max="5376" width="2.5703125" style="2488" customWidth="1"/>
    <col min="5377" max="5377" width="33.85546875" style="2488" customWidth="1"/>
    <col min="5378" max="5380" width="15.85546875" style="2488" customWidth="1"/>
    <col min="5381" max="5381" width="16.28515625" style="2488" customWidth="1"/>
    <col min="5382" max="5382" width="15.85546875" style="2488" customWidth="1"/>
    <col min="5383" max="5383" width="17" style="2488" customWidth="1"/>
    <col min="5384" max="5384" width="18.85546875" style="2488" customWidth="1"/>
    <col min="5385" max="5386" width="13" style="2488" customWidth="1"/>
    <col min="5387" max="5387" width="11.42578125" style="2488"/>
    <col min="5388" max="5388" width="5.140625" style="2488" customWidth="1"/>
    <col min="5389" max="5394" width="11.42578125" style="2488"/>
    <col min="5395" max="5395" width="11.85546875" style="2488" bestFit="1" customWidth="1"/>
    <col min="5396" max="5631" width="11.42578125" style="2488"/>
    <col min="5632" max="5632" width="2.5703125" style="2488" customWidth="1"/>
    <col min="5633" max="5633" width="33.85546875" style="2488" customWidth="1"/>
    <col min="5634" max="5636" width="15.85546875" style="2488" customWidth="1"/>
    <col min="5637" max="5637" width="16.28515625" style="2488" customWidth="1"/>
    <col min="5638" max="5638" width="15.85546875" style="2488" customWidth="1"/>
    <col min="5639" max="5639" width="17" style="2488" customWidth="1"/>
    <col min="5640" max="5640" width="18.85546875" style="2488" customWidth="1"/>
    <col min="5641" max="5642" width="13" style="2488" customWidth="1"/>
    <col min="5643" max="5643" width="11.42578125" style="2488"/>
    <col min="5644" max="5644" width="5.140625" style="2488" customWidth="1"/>
    <col min="5645" max="5650" width="11.42578125" style="2488"/>
    <col min="5651" max="5651" width="11.85546875" style="2488" bestFit="1" customWidth="1"/>
    <col min="5652" max="5887" width="11.42578125" style="2488"/>
    <col min="5888" max="5888" width="2.5703125" style="2488" customWidth="1"/>
    <col min="5889" max="5889" width="33.85546875" style="2488" customWidth="1"/>
    <col min="5890" max="5892" width="15.85546875" style="2488" customWidth="1"/>
    <col min="5893" max="5893" width="16.28515625" style="2488" customWidth="1"/>
    <col min="5894" max="5894" width="15.85546875" style="2488" customWidth="1"/>
    <col min="5895" max="5895" width="17" style="2488" customWidth="1"/>
    <col min="5896" max="5896" width="18.85546875" style="2488" customWidth="1"/>
    <col min="5897" max="5898" width="13" style="2488" customWidth="1"/>
    <col min="5899" max="5899" width="11.42578125" style="2488"/>
    <col min="5900" max="5900" width="5.140625" style="2488" customWidth="1"/>
    <col min="5901" max="5906" width="11.42578125" style="2488"/>
    <col min="5907" max="5907" width="11.85546875" style="2488" bestFit="1" customWidth="1"/>
    <col min="5908" max="6143" width="11.42578125" style="2488"/>
    <col min="6144" max="6144" width="2.5703125" style="2488" customWidth="1"/>
    <col min="6145" max="6145" width="33.85546875" style="2488" customWidth="1"/>
    <col min="6146" max="6148" width="15.85546875" style="2488" customWidth="1"/>
    <col min="6149" max="6149" width="16.28515625" style="2488" customWidth="1"/>
    <col min="6150" max="6150" width="15.85546875" style="2488" customWidth="1"/>
    <col min="6151" max="6151" width="17" style="2488" customWidth="1"/>
    <col min="6152" max="6152" width="18.85546875" style="2488" customWidth="1"/>
    <col min="6153" max="6154" width="13" style="2488" customWidth="1"/>
    <col min="6155" max="6155" width="11.42578125" style="2488"/>
    <col min="6156" max="6156" width="5.140625" style="2488" customWidth="1"/>
    <col min="6157" max="6162" width="11.42578125" style="2488"/>
    <col min="6163" max="6163" width="11.85546875" style="2488" bestFit="1" customWidth="1"/>
    <col min="6164" max="6399" width="11.42578125" style="2488"/>
    <col min="6400" max="6400" width="2.5703125" style="2488" customWidth="1"/>
    <col min="6401" max="6401" width="33.85546875" style="2488" customWidth="1"/>
    <col min="6402" max="6404" width="15.85546875" style="2488" customWidth="1"/>
    <col min="6405" max="6405" width="16.28515625" style="2488" customWidth="1"/>
    <col min="6406" max="6406" width="15.85546875" style="2488" customWidth="1"/>
    <col min="6407" max="6407" width="17" style="2488" customWidth="1"/>
    <col min="6408" max="6408" width="18.85546875" style="2488" customWidth="1"/>
    <col min="6409" max="6410" width="13" style="2488" customWidth="1"/>
    <col min="6411" max="6411" width="11.42578125" style="2488"/>
    <col min="6412" max="6412" width="5.140625" style="2488" customWidth="1"/>
    <col min="6413" max="6418" width="11.42578125" style="2488"/>
    <col min="6419" max="6419" width="11.85546875" style="2488" bestFit="1" customWidth="1"/>
    <col min="6420" max="6655" width="11.42578125" style="2488"/>
    <col min="6656" max="6656" width="2.5703125" style="2488" customWidth="1"/>
    <col min="6657" max="6657" width="33.85546875" style="2488" customWidth="1"/>
    <col min="6658" max="6660" width="15.85546875" style="2488" customWidth="1"/>
    <col min="6661" max="6661" width="16.28515625" style="2488" customWidth="1"/>
    <col min="6662" max="6662" width="15.85546875" style="2488" customWidth="1"/>
    <col min="6663" max="6663" width="17" style="2488" customWidth="1"/>
    <col min="6664" max="6664" width="18.85546875" style="2488" customWidth="1"/>
    <col min="6665" max="6666" width="13" style="2488" customWidth="1"/>
    <col min="6667" max="6667" width="11.42578125" style="2488"/>
    <col min="6668" max="6668" width="5.140625" style="2488" customWidth="1"/>
    <col min="6669" max="6674" width="11.42578125" style="2488"/>
    <col min="6675" max="6675" width="11.85546875" style="2488" bestFit="1" customWidth="1"/>
    <col min="6676" max="6911" width="11.42578125" style="2488"/>
    <col min="6912" max="6912" width="2.5703125" style="2488" customWidth="1"/>
    <col min="6913" max="6913" width="33.85546875" style="2488" customWidth="1"/>
    <col min="6914" max="6916" width="15.85546875" style="2488" customWidth="1"/>
    <col min="6917" max="6917" width="16.28515625" style="2488" customWidth="1"/>
    <col min="6918" max="6918" width="15.85546875" style="2488" customWidth="1"/>
    <col min="6919" max="6919" width="17" style="2488" customWidth="1"/>
    <col min="6920" max="6920" width="18.85546875" style="2488" customWidth="1"/>
    <col min="6921" max="6922" width="13" style="2488" customWidth="1"/>
    <col min="6923" max="6923" width="11.42578125" style="2488"/>
    <col min="6924" max="6924" width="5.140625" style="2488" customWidth="1"/>
    <col min="6925" max="6930" width="11.42578125" style="2488"/>
    <col min="6931" max="6931" width="11.85546875" style="2488" bestFit="1" customWidth="1"/>
    <col min="6932" max="7167" width="11.42578125" style="2488"/>
    <col min="7168" max="7168" width="2.5703125" style="2488" customWidth="1"/>
    <col min="7169" max="7169" width="33.85546875" style="2488" customWidth="1"/>
    <col min="7170" max="7172" width="15.85546875" style="2488" customWidth="1"/>
    <col min="7173" max="7173" width="16.28515625" style="2488" customWidth="1"/>
    <col min="7174" max="7174" width="15.85546875" style="2488" customWidth="1"/>
    <col min="7175" max="7175" width="17" style="2488" customWidth="1"/>
    <col min="7176" max="7176" width="18.85546875" style="2488" customWidth="1"/>
    <col min="7177" max="7178" width="13" style="2488" customWidth="1"/>
    <col min="7179" max="7179" width="11.42578125" style="2488"/>
    <col min="7180" max="7180" width="5.140625" style="2488" customWidth="1"/>
    <col min="7181" max="7186" width="11.42578125" style="2488"/>
    <col min="7187" max="7187" width="11.85546875" style="2488" bestFit="1" customWidth="1"/>
    <col min="7188" max="7423" width="11.42578125" style="2488"/>
    <col min="7424" max="7424" width="2.5703125" style="2488" customWidth="1"/>
    <col min="7425" max="7425" width="33.85546875" style="2488" customWidth="1"/>
    <col min="7426" max="7428" width="15.85546875" style="2488" customWidth="1"/>
    <col min="7429" max="7429" width="16.28515625" style="2488" customWidth="1"/>
    <col min="7430" max="7430" width="15.85546875" style="2488" customWidth="1"/>
    <col min="7431" max="7431" width="17" style="2488" customWidth="1"/>
    <col min="7432" max="7432" width="18.85546875" style="2488" customWidth="1"/>
    <col min="7433" max="7434" width="13" style="2488" customWidth="1"/>
    <col min="7435" max="7435" width="11.42578125" style="2488"/>
    <col min="7436" max="7436" width="5.140625" style="2488" customWidth="1"/>
    <col min="7437" max="7442" width="11.42578125" style="2488"/>
    <col min="7443" max="7443" width="11.85546875" style="2488" bestFit="1" customWidth="1"/>
    <col min="7444" max="7679" width="11.42578125" style="2488"/>
    <col min="7680" max="7680" width="2.5703125" style="2488" customWidth="1"/>
    <col min="7681" max="7681" width="33.85546875" style="2488" customWidth="1"/>
    <col min="7682" max="7684" width="15.85546875" style="2488" customWidth="1"/>
    <col min="7685" max="7685" width="16.28515625" style="2488" customWidth="1"/>
    <col min="7686" max="7686" width="15.85546875" style="2488" customWidth="1"/>
    <col min="7687" max="7687" width="17" style="2488" customWidth="1"/>
    <col min="7688" max="7688" width="18.85546875" style="2488" customWidth="1"/>
    <col min="7689" max="7690" width="13" style="2488" customWidth="1"/>
    <col min="7691" max="7691" width="11.42578125" style="2488"/>
    <col min="7692" max="7692" width="5.140625" style="2488" customWidth="1"/>
    <col min="7693" max="7698" width="11.42578125" style="2488"/>
    <col min="7699" max="7699" width="11.85546875" style="2488" bestFit="1" customWidth="1"/>
    <col min="7700" max="7935" width="11.42578125" style="2488"/>
    <col min="7936" max="7936" width="2.5703125" style="2488" customWidth="1"/>
    <col min="7937" max="7937" width="33.85546875" style="2488" customWidth="1"/>
    <col min="7938" max="7940" width="15.85546875" style="2488" customWidth="1"/>
    <col min="7941" max="7941" width="16.28515625" style="2488" customWidth="1"/>
    <col min="7942" max="7942" width="15.85546875" style="2488" customWidth="1"/>
    <col min="7943" max="7943" width="17" style="2488" customWidth="1"/>
    <col min="7944" max="7944" width="18.85546875" style="2488" customWidth="1"/>
    <col min="7945" max="7946" width="13" style="2488" customWidth="1"/>
    <col min="7947" max="7947" width="11.42578125" style="2488"/>
    <col min="7948" max="7948" width="5.140625" style="2488" customWidth="1"/>
    <col min="7949" max="7954" width="11.42578125" style="2488"/>
    <col min="7955" max="7955" width="11.85546875" style="2488" bestFit="1" customWidth="1"/>
    <col min="7956" max="8191" width="11.42578125" style="2488"/>
    <col min="8192" max="8192" width="2.5703125" style="2488" customWidth="1"/>
    <col min="8193" max="8193" width="33.85546875" style="2488" customWidth="1"/>
    <col min="8194" max="8196" width="15.85546875" style="2488" customWidth="1"/>
    <col min="8197" max="8197" width="16.28515625" style="2488" customWidth="1"/>
    <col min="8198" max="8198" width="15.85546875" style="2488" customWidth="1"/>
    <col min="8199" max="8199" width="17" style="2488" customWidth="1"/>
    <col min="8200" max="8200" width="18.85546875" style="2488" customWidth="1"/>
    <col min="8201" max="8202" width="13" style="2488" customWidth="1"/>
    <col min="8203" max="8203" width="11.42578125" style="2488"/>
    <col min="8204" max="8204" width="5.140625" style="2488" customWidth="1"/>
    <col min="8205" max="8210" width="11.42578125" style="2488"/>
    <col min="8211" max="8211" width="11.85546875" style="2488" bestFit="1" customWidth="1"/>
    <col min="8212" max="8447" width="11.42578125" style="2488"/>
    <col min="8448" max="8448" width="2.5703125" style="2488" customWidth="1"/>
    <col min="8449" max="8449" width="33.85546875" style="2488" customWidth="1"/>
    <col min="8450" max="8452" width="15.85546875" style="2488" customWidth="1"/>
    <col min="8453" max="8453" width="16.28515625" style="2488" customWidth="1"/>
    <col min="8454" max="8454" width="15.85546875" style="2488" customWidth="1"/>
    <col min="8455" max="8455" width="17" style="2488" customWidth="1"/>
    <col min="8456" max="8456" width="18.85546875" style="2488" customWidth="1"/>
    <col min="8457" max="8458" width="13" style="2488" customWidth="1"/>
    <col min="8459" max="8459" width="11.42578125" style="2488"/>
    <col min="8460" max="8460" width="5.140625" style="2488" customWidth="1"/>
    <col min="8461" max="8466" width="11.42578125" style="2488"/>
    <col min="8467" max="8467" width="11.85546875" style="2488" bestFit="1" customWidth="1"/>
    <col min="8468" max="8703" width="11.42578125" style="2488"/>
    <col min="8704" max="8704" width="2.5703125" style="2488" customWidth="1"/>
    <col min="8705" max="8705" width="33.85546875" style="2488" customWidth="1"/>
    <col min="8706" max="8708" width="15.85546875" style="2488" customWidth="1"/>
    <col min="8709" max="8709" width="16.28515625" style="2488" customWidth="1"/>
    <col min="8710" max="8710" width="15.85546875" style="2488" customWidth="1"/>
    <col min="8711" max="8711" width="17" style="2488" customWidth="1"/>
    <col min="8712" max="8712" width="18.85546875" style="2488" customWidth="1"/>
    <col min="8713" max="8714" width="13" style="2488" customWidth="1"/>
    <col min="8715" max="8715" width="11.42578125" style="2488"/>
    <col min="8716" max="8716" width="5.140625" style="2488" customWidth="1"/>
    <col min="8717" max="8722" width="11.42578125" style="2488"/>
    <col min="8723" max="8723" width="11.85546875" style="2488" bestFit="1" customWidth="1"/>
    <col min="8724" max="8959" width="11.42578125" style="2488"/>
    <col min="8960" max="8960" width="2.5703125" style="2488" customWidth="1"/>
    <col min="8961" max="8961" width="33.85546875" style="2488" customWidth="1"/>
    <col min="8962" max="8964" width="15.85546875" style="2488" customWidth="1"/>
    <col min="8965" max="8965" width="16.28515625" style="2488" customWidth="1"/>
    <col min="8966" max="8966" width="15.85546875" style="2488" customWidth="1"/>
    <col min="8967" max="8967" width="17" style="2488" customWidth="1"/>
    <col min="8968" max="8968" width="18.85546875" style="2488" customWidth="1"/>
    <col min="8969" max="8970" width="13" style="2488" customWidth="1"/>
    <col min="8971" max="8971" width="11.42578125" style="2488"/>
    <col min="8972" max="8972" width="5.140625" style="2488" customWidth="1"/>
    <col min="8973" max="8978" width="11.42578125" style="2488"/>
    <col min="8979" max="8979" width="11.85546875" style="2488" bestFit="1" customWidth="1"/>
    <col min="8980" max="9215" width="11.42578125" style="2488"/>
    <col min="9216" max="9216" width="2.5703125" style="2488" customWidth="1"/>
    <col min="9217" max="9217" width="33.85546875" style="2488" customWidth="1"/>
    <col min="9218" max="9220" width="15.85546875" style="2488" customWidth="1"/>
    <col min="9221" max="9221" width="16.28515625" style="2488" customWidth="1"/>
    <col min="9222" max="9222" width="15.85546875" style="2488" customWidth="1"/>
    <col min="9223" max="9223" width="17" style="2488" customWidth="1"/>
    <col min="9224" max="9224" width="18.85546875" style="2488" customWidth="1"/>
    <col min="9225" max="9226" width="13" style="2488" customWidth="1"/>
    <col min="9227" max="9227" width="11.42578125" style="2488"/>
    <col min="9228" max="9228" width="5.140625" style="2488" customWidth="1"/>
    <col min="9229" max="9234" width="11.42578125" style="2488"/>
    <col min="9235" max="9235" width="11.85546875" style="2488" bestFit="1" customWidth="1"/>
    <col min="9236" max="9471" width="11.42578125" style="2488"/>
    <col min="9472" max="9472" width="2.5703125" style="2488" customWidth="1"/>
    <col min="9473" max="9473" width="33.85546875" style="2488" customWidth="1"/>
    <col min="9474" max="9476" width="15.85546875" style="2488" customWidth="1"/>
    <col min="9477" max="9477" width="16.28515625" style="2488" customWidth="1"/>
    <col min="9478" max="9478" width="15.85546875" style="2488" customWidth="1"/>
    <col min="9479" max="9479" width="17" style="2488" customWidth="1"/>
    <col min="9480" max="9480" width="18.85546875" style="2488" customWidth="1"/>
    <col min="9481" max="9482" width="13" style="2488" customWidth="1"/>
    <col min="9483" max="9483" width="11.42578125" style="2488"/>
    <col min="9484" max="9484" width="5.140625" style="2488" customWidth="1"/>
    <col min="9485" max="9490" width="11.42578125" style="2488"/>
    <col min="9491" max="9491" width="11.85546875" style="2488" bestFit="1" customWidth="1"/>
    <col min="9492" max="9727" width="11.42578125" style="2488"/>
    <col min="9728" max="9728" width="2.5703125" style="2488" customWidth="1"/>
    <col min="9729" max="9729" width="33.85546875" style="2488" customWidth="1"/>
    <col min="9730" max="9732" width="15.85546875" style="2488" customWidth="1"/>
    <col min="9733" max="9733" width="16.28515625" style="2488" customWidth="1"/>
    <col min="9734" max="9734" width="15.85546875" style="2488" customWidth="1"/>
    <col min="9735" max="9735" width="17" style="2488" customWidth="1"/>
    <col min="9736" max="9736" width="18.85546875" style="2488" customWidth="1"/>
    <col min="9737" max="9738" width="13" style="2488" customWidth="1"/>
    <col min="9739" max="9739" width="11.42578125" style="2488"/>
    <col min="9740" max="9740" width="5.140625" style="2488" customWidth="1"/>
    <col min="9741" max="9746" width="11.42578125" style="2488"/>
    <col min="9747" max="9747" width="11.85546875" style="2488" bestFit="1" customWidth="1"/>
    <col min="9748" max="9983" width="11.42578125" style="2488"/>
    <col min="9984" max="9984" width="2.5703125" style="2488" customWidth="1"/>
    <col min="9985" max="9985" width="33.85546875" style="2488" customWidth="1"/>
    <col min="9986" max="9988" width="15.85546875" style="2488" customWidth="1"/>
    <col min="9989" max="9989" width="16.28515625" style="2488" customWidth="1"/>
    <col min="9990" max="9990" width="15.85546875" style="2488" customWidth="1"/>
    <col min="9991" max="9991" width="17" style="2488" customWidth="1"/>
    <col min="9992" max="9992" width="18.85546875" style="2488" customWidth="1"/>
    <col min="9993" max="9994" width="13" style="2488" customWidth="1"/>
    <col min="9995" max="9995" width="11.42578125" style="2488"/>
    <col min="9996" max="9996" width="5.140625" style="2488" customWidth="1"/>
    <col min="9997" max="10002" width="11.42578125" style="2488"/>
    <col min="10003" max="10003" width="11.85546875" style="2488" bestFit="1" customWidth="1"/>
    <col min="10004" max="10239" width="11.42578125" style="2488"/>
    <col min="10240" max="10240" width="2.5703125" style="2488" customWidth="1"/>
    <col min="10241" max="10241" width="33.85546875" style="2488" customWidth="1"/>
    <col min="10242" max="10244" width="15.85546875" style="2488" customWidth="1"/>
    <col min="10245" max="10245" width="16.28515625" style="2488" customWidth="1"/>
    <col min="10246" max="10246" width="15.85546875" style="2488" customWidth="1"/>
    <col min="10247" max="10247" width="17" style="2488" customWidth="1"/>
    <col min="10248" max="10248" width="18.85546875" style="2488" customWidth="1"/>
    <col min="10249" max="10250" width="13" style="2488" customWidth="1"/>
    <col min="10251" max="10251" width="11.42578125" style="2488"/>
    <col min="10252" max="10252" width="5.140625" style="2488" customWidth="1"/>
    <col min="10253" max="10258" width="11.42578125" style="2488"/>
    <col min="10259" max="10259" width="11.85546875" style="2488" bestFit="1" customWidth="1"/>
    <col min="10260" max="10495" width="11.42578125" style="2488"/>
    <col min="10496" max="10496" width="2.5703125" style="2488" customWidth="1"/>
    <col min="10497" max="10497" width="33.85546875" style="2488" customWidth="1"/>
    <col min="10498" max="10500" width="15.85546875" style="2488" customWidth="1"/>
    <col min="10501" max="10501" width="16.28515625" style="2488" customWidth="1"/>
    <col min="10502" max="10502" width="15.85546875" style="2488" customWidth="1"/>
    <col min="10503" max="10503" width="17" style="2488" customWidth="1"/>
    <col min="10504" max="10504" width="18.85546875" style="2488" customWidth="1"/>
    <col min="10505" max="10506" width="13" style="2488" customWidth="1"/>
    <col min="10507" max="10507" width="11.42578125" style="2488"/>
    <col min="10508" max="10508" width="5.140625" style="2488" customWidth="1"/>
    <col min="10509" max="10514" width="11.42578125" style="2488"/>
    <col min="10515" max="10515" width="11.85546875" style="2488" bestFit="1" customWidth="1"/>
    <col min="10516" max="10751" width="11.42578125" style="2488"/>
    <col min="10752" max="10752" width="2.5703125" style="2488" customWidth="1"/>
    <col min="10753" max="10753" width="33.85546875" style="2488" customWidth="1"/>
    <col min="10754" max="10756" width="15.85546875" style="2488" customWidth="1"/>
    <col min="10757" max="10757" width="16.28515625" style="2488" customWidth="1"/>
    <col min="10758" max="10758" width="15.85546875" style="2488" customWidth="1"/>
    <col min="10759" max="10759" width="17" style="2488" customWidth="1"/>
    <col min="10760" max="10760" width="18.85546875" style="2488" customWidth="1"/>
    <col min="10761" max="10762" width="13" style="2488" customWidth="1"/>
    <col min="10763" max="10763" width="11.42578125" style="2488"/>
    <col min="10764" max="10764" width="5.140625" style="2488" customWidth="1"/>
    <col min="10765" max="10770" width="11.42578125" style="2488"/>
    <col min="10771" max="10771" width="11.85546875" style="2488" bestFit="1" customWidth="1"/>
    <col min="10772" max="11007" width="11.42578125" style="2488"/>
    <col min="11008" max="11008" width="2.5703125" style="2488" customWidth="1"/>
    <col min="11009" max="11009" width="33.85546875" style="2488" customWidth="1"/>
    <col min="11010" max="11012" width="15.85546875" style="2488" customWidth="1"/>
    <col min="11013" max="11013" width="16.28515625" style="2488" customWidth="1"/>
    <col min="11014" max="11014" width="15.85546875" style="2488" customWidth="1"/>
    <col min="11015" max="11015" width="17" style="2488" customWidth="1"/>
    <col min="11016" max="11016" width="18.85546875" style="2488" customWidth="1"/>
    <col min="11017" max="11018" width="13" style="2488" customWidth="1"/>
    <col min="11019" max="11019" width="11.42578125" style="2488"/>
    <col min="11020" max="11020" width="5.140625" style="2488" customWidth="1"/>
    <col min="11021" max="11026" width="11.42578125" style="2488"/>
    <col min="11027" max="11027" width="11.85546875" style="2488" bestFit="1" customWidth="1"/>
    <col min="11028" max="11263" width="11.42578125" style="2488"/>
    <col min="11264" max="11264" width="2.5703125" style="2488" customWidth="1"/>
    <col min="11265" max="11265" width="33.85546875" style="2488" customWidth="1"/>
    <col min="11266" max="11268" width="15.85546875" style="2488" customWidth="1"/>
    <col min="11269" max="11269" width="16.28515625" style="2488" customWidth="1"/>
    <col min="11270" max="11270" width="15.85546875" style="2488" customWidth="1"/>
    <col min="11271" max="11271" width="17" style="2488" customWidth="1"/>
    <col min="11272" max="11272" width="18.85546875" style="2488" customWidth="1"/>
    <col min="11273" max="11274" width="13" style="2488" customWidth="1"/>
    <col min="11275" max="11275" width="11.42578125" style="2488"/>
    <col min="11276" max="11276" width="5.140625" style="2488" customWidth="1"/>
    <col min="11277" max="11282" width="11.42578125" style="2488"/>
    <col min="11283" max="11283" width="11.85546875" style="2488" bestFit="1" customWidth="1"/>
    <col min="11284" max="11519" width="11.42578125" style="2488"/>
    <col min="11520" max="11520" width="2.5703125" style="2488" customWidth="1"/>
    <col min="11521" max="11521" width="33.85546875" style="2488" customWidth="1"/>
    <col min="11522" max="11524" width="15.85546875" style="2488" customWidth="1"/>
    <col min="11525" max="11525" width="16.28515625" style="2488" customWidth="1"/>
    <col min="11526" max="11526" width="15.85546875" style="2488" customWidth="1"/>
    <col min="11527" max="11527" width="17" style="2488" customWidth="1"/>
    <col min="11528" max="11528" width="18.85546875" style="2488" customWidth="1"/>
    <col min="11529" max="11530" width="13" style="2488" customWidth="1"/>
    <col min="11531" max="11531" width="11.42578125" style="2488"/>
    <col min="11532" max="11532" width="5.140625" style="2488" customWidth="1"/>
    <col min="11533" max="11538" width="11.42578125" style="2488"/>
    <col min="11539" max="11539" width="11.85546875" style="2488" bestFit="1" customWidth="1"/>
    <col min="11540" max="11775" width="11.42578125" style="2488"/>
    <col min="11776" max="11776" width="2.5703125" style="2488" customWidth="1"/>
    <col min="11777" max="11777" width="33.85546875" style="2488" customWidth="1"/>
    <col min="11778" max="11780" width="15.85546875" style="2488" customWidth="1"/>
    <col min="11781" max="11781" width="16.28515625" style="2488" customWidth="1"/>
    <col min="11782" max="11782" width="15.85546875" style="2488" customWidth="1"/>
    <col min="11783" max="11783" width="17" style="2488" customWidth="1"/>
    <col min="11784" max="11784" width="18.85546875" style="2488" customWidth="1"/>
    <col min="11785" max="11786" width="13" style="2488" customWidth="1"/>
    <col min="11787" max="11787" width="11.42578125" style="2488"/>
    <col min="11788" max="11788" width="5.140625" style="2488" customWidth="1"/>
    <col min="11789" max="11794" width="11.42578125" style="2488"/>
    <col min="11795" max="11795" width="11.85546875" style="2488" bestFit="1" customWidth="1"/>
    <col min="11796" max="12031" width="11.42578125" style="2488"/>
    <col min="12032" max="12032" width="2.5703125" style="2488" customWidth="1"/>
    <col min="12033" max="12033" width="33.85546875" style="2488" customWidth="1"/>
    <col min="12034" max="12036" width="15.85546875" style="2488" customWidth="1"/>
    <col min="12037" max="12037" width="16.28515625" style="2488" customWidth="1"/>
    <col min="12038" max="12038" width="15.85546875" style="2488" customWidth="1"/>
    <col min="12039" max="12039" width="17" style="2488" customWidth="1"/>
    <col min="12040" max="12040" width="18.85546875" style="2488" customWidth="1"/>
    <col min="12041" max="12042" width="13" style="2488" customWidth="1"/>
    <col min="12043" max="12043" width="11.42578125" style="2488"/>
    <col min="12044" max="12044" width="5.140625" style="2488" customWidth="1"/>
    <col min="12045" max="12050" width="11.42578125" style="2488"/>
    <col min="12051" max="12051" width="11.85546875" style="2488" bestFit="1" customWidth="1"/>
    <col min="12052" max="12287" width="11.42578125" style="2488"/>
    <col min="12288" max="12288" width="2.5703125" style="2488" customWidth="1"/>
    <col min="12289" max="12289" width="33.85546875" style="2488" customWidth="1"/>
    <col min="12290" max="12292" width="15.85546875" style="2488" customWidth="1"/>
    <col min="12293" max="12293" width="16.28515625" style="2488" customWidth="1"/>
    <col min="12294" max="12294" width="15.85546875" style="2488" customWidth="1"/>
    <col min="12295" max="12295" width="17" style="2488" customWidth="1"/>
    <col min="12296" max="12296" width="18.85546875" style="2488" customWidth="1"/>
    <col min="12297" max="12298" width="13" style="2488" customWidth="1"/>
    <col min="12299" max="12299" width="11.42578125" style="2488"/>
    <col min="12300" max="12300" width="5.140625" style="2488" customWidth="1"/>
    <col min="12301" max="12306" width="11.42578125" style="2488"/>
    <col min="12307" max="12307" width="11.85546875" style="2488" bestFit="1" customWidth="1"/>
    <col min="12308" max="12543" width="11.42578125" style="2488"/>
    <col min="12544" max="12544" width="2.5703125" style="2488" customWidth="1"/>
    <col min="12545" max="12545" width="33.85546875" style="2488" customWidth="1"/>
    <col min="12546" max="12548" width="15.85546875" style="2488" customWidth="1"/>
    <col min="12549" max="12549" width="16.28515625" style="2488" customWidth="1"/>
    <col min="12550" max="12550" width="15.85546875" style="2488" customWidth="1"/>
    <col min="12551" max="12551" width="17" style="2488" customWidth="1"/>
    <col min="12552" max="12552" width="18.85546875" style="2488" customWidth="1"/>
    <col min="12553" max="12554" width="13" style="2488" customWidth="1"/>
    <col min="12555" max="12555" width="11.42578125" style="2488"/>
    <col min="12556" max="12556" width="5.140625" style="2488" customWidth="1"/>
    <col min="12557" max="12562" width="11.42578125" style="2488"/>
    <col min="12563" max="12563" width="11.85546875" style="2488" bestFit="1" customWidth="1"/>
    <col min="12564" max="12799" width="11.42578125" style="2488"/>
    <col min="12800" max="12800" width="2.5703125" style="2488" customWidth="1"/>
    <col min="12801" max="12801" width="33.85546875" style="2488" customWidth="1"/>
    <col min="12802" max="12804" width="15.85546875" style="2488" customWidth="1"/>
    <col min="12805" max="12805" width="16.28515625" style="2488" customWidth="1"/>
    <col min="12806" max="12806" width="15.85546875" style="2488" customWidth="1"/>
    <col min="12807" max="12807" width="17" style="2488" customWidth="1"/>
    <col min="12808" max="12808" width="18.85546875" style="2488" customWidth="1"/>
    <col min="12809" max="12810" width="13" style="2488" customWidth="1"/>
    <col min="12811" max="12811" width="11.42578125" style="2488"/>
    <col min="12812" max="12812" width="5.140625" style="2488" customWidth="1"/>
    <col min="12813" max="12818" width="11.42578125" style="2488"/>
    <col min="12819" max="12819" width="11.85546875" style="2488" bestFit="1" customWidth="1"/>
    <col min="12820" max="13055" width="11.42578125" style="2488"/>
    <col min="13056" max="13056" width="2.5703125" style="2488" customWidth="1"/>
    <col min="13057" max="13057" width="33.85546875" style="2488" customWidth="1"/>
    <col min="13058" max="13060" width="15.85546875" style="2488" customWidth="1"/>
    <col min="13061" max="13061" width="16.28515625" style="2488" customWidth="1"/>
    <col min="13062" max="13062" width="15.85546875" style="2488" customWidth="1"/>
    <col min="13063" max="13063" width="17" style="2488" customWidth="1"/>
    <col min="13064" max="13064" width="18.85546875" style="2488" customWidth="1"/>
    <col min="13065" max="13066" width="13" style="2488" customWidth="1"/>
    <col min="13067" max="13067" width="11.42578125" style="2488"/>
    <col min="13068" max="13068" width="5.140625" style="2488" customWidth="1"/>
    <col min="13069" max="13074" width="11.42578125" style="2488"/>
    <col min="13075" max="13075" width="11.85546875" style="2488" bestFit="1" customWidth="1"/>
    <col min="13076" max="13311" width="11.42578125" style="2488"/>
    <col min="13312" max="13312" width="2.5703125" style="2488" customWidth="1"/>
    <col min="13313" max="13313" width="33.85546875" style="2488" customWidth="1"/>
    <col min="13314" max="13316" width="15.85546875" style="2488" customWidth="1"/>
    <col min="13317" max="13317" width="16.28515625" style="2488" customWidth="1"/>
    <col min="13318" max="13318" width="15.85546875" style="2488" customWidth="1"/>
    <col min="13319" max="13319" width="17" style="2488" customWidth="1"/>
    <col min="13320" max="13320" width="18.85546875" style="2488" customWidth="1"/>
    <col min="13321" max="13322" width="13" style="2488" customWidth="1"/>
    <col min="13323" max="13323" width="11.42578125" style="2488"/>
    <col min="13324" max="13324" width="5.140625" style="2488" customWidth="1"/>
    <col min="13325" max="13330" width="11.42578125" style="2488"/>
    <col min="13331" max="13331" width="11.85546875" style="2488" bestFit="1" customWidth="1"/>
    <col min="13332" max="13567" width="11.42578125" style="2488"/>
    <col min="13568" max="13568" width="2.5703125" style="2488" customWidth="1"/>
    <col min="13569" max="13569" width="33.85546875" style="2488" customWidth="1"/>
    <col min="13570" max="13572" width="15.85546875" style="2488" customWidth="1"/>
    <col min="13573" max="13573" width="16.28515625" style="2488" customWidth="1"/>
    <col min="13574" max="13574" width="15.85546875" style="2488" customWidth="1"/>
    <col min="13575" max="13575" width="17" style="2488" customWidth="1"/>
    <col min="13576" max="13576" width="18.85546875" style="2488" customWidth="1"/>
    <col min="13577" max="13578" width="13" style="2488" customWidth="1"/>
    <col min="13579" max="13579" width="11.42578125" style="2488"/>
    <col min="13580" max="13580" width="5.140625" style="2488" customWidth="1"/>
    <col min="13581" max="13586" width="11.42578125" style="2488"/>
    <col min="13587" max="13587" width="11.85546875" style="2488" bestFit="1" customWidth="1"/>
    <col min="13588" max="13823" width="11.42578125" style="2488"/>
    <col min="13824" max="13824" width="2.5703125" style="2488" customWidth="1"/>
    <col min="13825" max="13825" width="33.85546875" style="2488" customWidth="1"/>
    <col min="13826" max="13828" width="15.85546875" style="2488" customWidth="1"/>
    <col min="13829" max="13829" width="16.28515625" style="2488" customWidth="1"/>
    <col min="13830" max="13830" width="15.85546875" style="2488" customWidth="1"/>
    <col min="13831" max="13831" width="17" style="2488" customWidth="1"/>
    <col min="13832" max="13832" width="18.85546875" style="2488" customWidth="1"/>
    <col min="13833" max="13834" width="13" style="2488" customWidth="1"/>
    <col min="13835" max="13835" width="11.42578125" style="2488"/>
    <col min="13836" max="13836" width="5.140625" style="2488" customWidth="1"/>
    <col min="13837" max="13842" width="11.42578125" style="2488"/>
    <col min="13843" max="13843" width="11.85546875" style="2488" bestFit="1" customWidth="1"/>
    <col min="13844" max="14079" width="11.42578125" style="2488"/>
    <col min="14080" max="14080" width="2.5703125" style="2488" customWidth="1"/>
    <col min="14081" max="14081" width="33.85546875" style="2488" customWidth="1"/>
    <col min="14082" max="14084" width="15.85546875" style="2488" customWidth="1"/>
    <col min="14085" max="14085" width="16.28515625" style="2488" customWidth="1"/>
    <col min="14086" max="14086" width="15.85546875" style="2488" customWidth="1"/>
    <col min="14087" max="14087" width="17" style="2488" customWidth="1"/>
    <col min="14088" max="14088" width="18.85546875" style="2488" customWidth="1"/>
    <col min="14089" max="14090" width="13" style="2488" customWidth="1"/>
    <col min="14091" max="14091" width="11.42578125" style="2488"/>
    <col min="14092" max="14092" width="5.140625" style="2488" customWidth="1"/>
    <col min="14093" max="14098" width="11.42578125" style="2488"/>
    <col min="14099" max="14099" width="11.85546875" style="2488" bestFit="1" customWidth="1"/>
    <col min="14100" max="14335" width="11.42578125" style="2488"/>
    <col min="14336" max="14336" width="2.5703125" style="2488" customWidth="1"/>
    <col min="14337" max="14337" width="33.85546875" style="2488" customWidth="1"/>
    <col min="14338" max="14340" width="15.85546875" style="2488" customWidth="1"/>
    <col min="14341" max="14341" width="16.28515625" style="2488" customWidth="1"/>
    <col min="14342" max="14342" width="15.85546875" style="2488" customWidth="1"/>
    <col min="14343" max="14343" width="17" style="2488" customWidth="1"/>
    <col min="14344" max="14344" width="18.85546875" style="2488" customWidth="1"/>
    <col min="14345" max="14346" width="13" style="2488" customWidth="1"/>
    <col min="14347" max="14347" width="11.42578125" style="2488"/>
    <col min="14348" max="14348" width="5.140625" style="2488" customWidth="1"/>
    <col min="14349" max="14354" width="11.42578125" style="2488"/>
    <col min="14355" max="14355" width="11.85546875" style="2488" bestFit="1" customWidth="1"/>
    <col min="14356" max="14591" width="11.42578125" style="2488"/>
    <col min="14592" max="14592" width="2.5703125" style="2488" customWidth="1"/>
    <col min="14593" max="14593" width="33.85546875" style="2488" customWidth="1"/>
    <col min="14594" max="14596" width="15.85546875" style="2488" customWidth="1"/>
    <col min="14597" max="14597" width="16.28515625" style="2488" customWidth="1"/>
    <col min="14598" max="14598" width="15.85546875" style="2488" customWidth="1"/>
    <col min="14599" max="14599" width="17" style="2488" customWidth="1"/>
    <col min="14600" max="14600" width="18.85546875" style="2488" customWidth="1"/>
    <col min="14601" max="14602" width="13" style="2488" customWidth="1"/>
    <col min="14603" max="14603" width="11.42578125" style="2488"/>
    <col min="14604" max="14604" width="5.140625" style="2488" customWidth="1"/>
    <col min="14605" max="14610" width="11.42578125" style="2488"/>
    <col min="14611" max="14611" width="11.85546875" style="2488" bestFit="1" customWidth="1"/>
    <col min="14612" max="14847" width="11.42578125" style="2488"/>
    <col min="14848" max="14848" width="2.5703125" style="2488" customWidth="1"/>
    <col min="14849" max="14849" width="33.85546875" style="2488" customWidth="1"/>
    <col min="14850" max="14852" width="15.85546875" style="2488" customWidth="1"/>
    <col min="14853" max="14853" width="16.28515625" style="2488" customWidth="1"/>
    <col min="14854" max="14854" width="15.85546875" style="2488" customWidth="1"/>
    <col min="14855" max="14855" width="17" style="2488" customWidth="1"/>
    <col min="14856" max="14856" width="18.85546875" style="2488" customWidth="1"/>
    <col min="14857" max="14858" width="13" style="2488" customWidth="1"/>
    <col min="14859" max="14859" width="11.42578125" style="2488"/>
    <col min="14860" max="14860" width="5.140625" style="2488" customWidth="1"/>
    <col min="14861" max="14866" width="11.42578125" style="2488"/>
    <col min="14867" max="14867" width="11.85546875" style="2488" bestFit="1" customWidth="1"/>
    <col min="14868" max="15103" width="11.42578125" style="2488"/>
    <col min="15104" max="15104" width="2.5703125" style="2488" customWidth="1"/>
    <col min="15105" max="15105" width="33.85546875" style="2488" customWidth="1"/>
    <col min="15106" max="15108" width="15.85546875" style="2488" customWidth="1"/>
    <col min="15109" max="15109" width="16.28515625" style="2488" customWidth="1"/>
    <col min="15110" max="15110" width="15.85546875" style="2488" customWidth="1"/>
    <col min="15111" max="15111" width="17" style="2488" customWidth="1"/>
    <col min="15112" max="15112" width="18.85546875" style="2488" customWidth="1"/>
    <col min="15113" max="15114" width="13" style="2488" customWidth="1"/>
    <col min="15115" max="15115" width="11.42578125" style="2488"/>
    <col min="15116" max="15116" width="5.140625" style="2488" customWidth="1"/>
    <col min="15117" max="15122" width="11.42578125" style="2488"/>
    <col min="15123" max="15123" width="11.85546875" style="2488" bestFit="1" customWidth="1"/>
    <col min="15124" max="15359" width="11.42578125" style="2488"/>
    <col min="15360" max="15360" width="2.5703125" style="2488" customWidth="1"/>
    <col min="15361" max="15361" width="33.85546875" style="2488" customWidth="1"/>
    <col min="15362" max="15364" width="15.85546875" style="2488" customWidth="1"/>
    <col min="15365" max="15365" width="16.28515625" style="2488" customWidth="1"/>
    <col min="15366" max="15366" width="15.85546875" style="2488" customWidth="1"/>
    <col min="15367" max="15367" width="17" style="2488" customWidth="1"/>
    <col min="15368" max="15368" width="18.85546875" style="2488" customWidth="1"/>
    <col min="15369" max="15370" width="13" style="2488" customWidth="1"/>
    <col min="15371" max="15371" width="11.42578125" style="2488"/>
    <col min="15372" max="15372" width="5.140625" style="2488" customWidth="1"/>
    <col min="15373" max="15378" width="11.42578125" style="2488"/>
    <col min="15379" max="15379" width="11.85546875" style="2488" bestFit="1" customWidth="1"/>
    <col min="15380" max="15615" width="11.42578125" style="2488"/>
    <col min="15616" max="15616" width="2.5703125" style="2488" customWidth="1"/>
    <col min="15617" max="15617" width="33.85546875" style="2488" customWidth="1"/>
    <col min="15618" max="15620" width="15.85546875" style="2488" customWidth="1"/>
    <col min="15621" max="15621" width="16.28515625" style="2488" customWidth="1"/>
    <col min="15622" max="15622" width="15.85546875" style="2488" customWidth="1"/>
    <col min="15623" max="15623" width="17" style="2488" customWidth="1"/>
    <col min="15624" max="15624" width="18.85546875" style="2488" customWidth="1"/>
    <col min="15625" max="15626" width="13" style="2488" customWidth="1"/>
    <col min="15627" max="15627" width="11.42578125" style="2488"/>
    <col min="15628" max="15628" width="5.140625" style="2488" customWidth="1"/>
    <col min="15629" max="15634" width="11.42578125" style="2488"/>
    <col min="15635" max="15635" width="11.85546875" style="2488" bestFit="1" customWidth="1"/>
    <col min="15636" max="15871" width="11.42578125" style="2488"/>
    <col min="15872" max="15872" width="2.5703125" style="2488" customWidth="1"/>
    <col min="15873" max="15873" width="33.85546875" style="2488" customWidth="1"/>
    <col min="15874" max="15876" width="15.85546875" style="2488" customWidth="1"/>
    <col min="15877" max="15877" width="16.28515625" style="2488" customWidth="1"/>
    <col min="15878" max="15878" width="15.85546875" style="2488" customWidth="1"/>
    <col min="15879" max="15879" width="17" style="2488" customWidth="1"/>
    <col min="15880" max="15880" width="18.85546875" style="2488" customWidth="1"/>
    <col min="15881" max="15882" width="13" style="2488" customWidth="1"/>
    <col min="15883" max="15883" width="11.42578125" style="2488"/>
    <col min="15884" max="15884" width="5.140625" style="2488" customWidth="1"/>
    <col min="15885" max="15890" width="11.42578125" style="2488"/>
    <col min="15891" max="15891" width="11.85546875" style="2488" bestFit="1" customWidth="1"/>
    <col min="15892" max="16127" width="11.42578125" style="2488"/>
    <col min="16128" max="16128" width="2.5703125" style="2488" customWidth="1"/>
    <col min="16129" max="16129" width="33.85546875" style="2488" customWidth="1"/>
    <col min="16130" max="16132" width="15.85546875" style="2488" customWidth="1"/>
    <col min="16133" max="16133" width="16.28515625" style="2488" customWidth="1"/>
    <col min="16134" max="16134" width="15.85546875" style="2488" customWidth="1"/>
    <col min="16135" max="16135" width="17" style="2488" customWidth="1"/>
    <col min="16136" max="16136" width="18.85546875" style="2488" customWidth="1"/>
    <col min="16137" max="16138" width="13" style="2488" customWidth="1"/>
    <col min="16139" max="16139" width="11.42578125" style="2488"/>
    <col min="16140" max="16140" width="5.140625" style="2488" customWidth="1"/>
    <col min="16141" max="16146" width="11.42578125" style="2488"/>
    <col min="16147" max="16147" width="11.85546875" style="2488" bestFit="1" customWidth="1"/>
    <col min="16148" max="16384" width="11.42578125" style="2488"/>
  </cols>
  <sheetData>
    <row r="1" spans="2:11" ht="13.5" thickBot="1"/>
    <row r="2" spans="2:11" ht="24" customHeight="1" thickBot="1">
      <c r="B2" s="2849" t="s">
        <v>1345</v>
      </c>
      <c r="C2" s="2850"/>
      <c r="D2" s="2850"/>
      <c r="E2" s="2850"/>
      <c r="F2" s="2850"/>
      <c r="G2" s="2850"/>
      <c r="H2" s="2851"/>
      <c r="I2" s="2490"/>
      <c r="J2" s="2490"/>
      <c r="K2" s="2490"/>
    </row>
    <row r="3" spans="2:11" ht="15.75" customHeight="1" thickBot="1">
      <c r="B3" s="2491"/>
      <c r="C3" s="2491"/>
      <c r="D3" s="2491"/>
      <c r="E3" s="2491"/>
      <c r="F3" s="2491"/>
      <c r="H3" s="2490"/>
      <c r="I3" s="2490"/>
      <c r="J3" s="2490"/>
      <c r="K3" s="2490"/>
    </row>
    <row r="4" spans="2:11" ht="19.5" customHeight="1">
      <c r="B4" s="2492" t="s">
        <v>1346</v>
      </c>
      <c r="C4" s="2492" t="s">
        <v>1347</v>
      </c>
      <c r="E4" s="2489"/>
      <c r="F4" s="2490"/>
      <c r="G4" s="2490"/>
      <c r="H4" s="2490"/>
      <c r="I4" s="2490"/>
    </row>
    <row r="5" spans="2:11" ht="17.25" customHeight="1">
      <c r="B5" s="2493" t="s">
        <v>1348</v>
      </c>
      <c r="C5" s="2494">
        <v>8</v>
      </c>
      <c r="E5" s="2489"/>
      <c r="F5" s="2495"/>
      <c r="G5" s="2490"/>
      <c r="H5" s="2490"/>
      <c r="I5" s="2490"/>
    </row>
    <row r="6" spans="2:11" ht="17.25" customHeight="1">
      <c r="B6" s="2496" t="s">
        <v>1349</v>
      </c>
      <c r="C6" s="2497">
        <v>24</v>
      </c>
      <c r="E6" s="2498"/>
      <c r="F6" s="2490"/>
      <c r="G6" s="2490"/>
      <c r="H6" s="2490"/>
      <c r="I6" s="2490"/>
    </row>
    <row r="7" spans="2:11" ht="17.25" customHeight="1">
      <c r="B7" s="2493" t="s">
        <v>1350</v>
      </c>
      <c r="C7" s="2499">
        <f>C5*C6</f>
        <v>192</v>
      </c>
      <c r="E7" s="2498"/>
      <c r="F7" s="2495"/>
      <c r="G7" s="2490"/>
      <c r="H7" s="2490"/>
      <c r="I7" s="2490"/>
    </row>
    <row r="8" spans="2:11" ht="17.25" customHeight="1">
      <c r="B8" s="2496" t="s">
        <v>1351</v>
      </c>
      <c r="C8" s="2497">
        <v>11</v>
      </c>
      <c r="E8" s="2489"/>
      <c r="F8" s="2490"/>
      <c r="G8" s="2490"/>
      <c r="H8" s="2490"/>
      <c r="I8" s="2490"/>
    </row>
    <row r="9" spans="2:11" ht="17.25" customHeight="1" thickBot="1">
      <c r="B9" s="2500" t="s">
        <v>1352</v>
      </c>
      <c r="C9" s="2501">
        <v>12</v>
      </c>
      <c r="H9" s="2490"/>
      <c r="I9" s="2490"/>
      <c r="J9" s="2490"/>
      <c r="K9" s="2490"/>
    </row>
    <row r="10" spans="2:11" ht="14.25" customHeight="1">
      <c r="G10" s="2488"/>
      <c r="I10" s="2490"/>
      <c r="J10" s="2490"/>
      <c r="K10" s="2490"/>
    </row>
    <row r="11" spans="2:11" ht="12.75" customHeight="1">
      <c r="B11" s="2503"/>
      <c r="C11" s="2503"/>
      <c r="D11" s="2504"/>
      <c r="E11" s="2505"/>
      <c r="F11" s="2505"/>
      <c r="H11" s="2520"/>
      <c r="I11" s="2520"/>
      <c r="J11" s="2520"/>
    </row>
    <row r="12" spans="2:11" ht="12.75" customHeight="1">
      <c r="B12" s="2502" t="s">
        <v>1460</v>
      </c>
      <c r="C12" s="2502"/>
      <c r="D12" s="2502"/>
      <c r="E12" s="2606"/>
      <c r="F12" s="2505"/>
      <c r="H12" s="2520"/>
      <c r="I12" s="2520"/>
      <c r="J12" s="2520"/>
    </row>
    <row r="13" spans="2:11" ht="14.25" customHeight="1" thickBot="1">
      <c r="B13" s="2503"/>
      <c r="C13" s="2503"/>
      <c r="D13" s="2504"/>
      <c r="E13" s="2505"/>
      <c r="F13" s="2505"/>
      <c r="G13" s="2506"/>
      <c r="H13" s="2506"/>
      <c r="I13" s="2506"/>
      <c r="J13" s="2506"/>
    </row>
    <row r="14" spans="2:11">
      <c r="B14" s="2508" t="s">
        <v>1353</v>
      </c>
      <c r="C14" s="2507" t="s">
        <v>1200</v>
      </c>
      <c r="D14" s="2521" t="s">
        <v>63</v>
      </c>
      <c r="E14" s="2507" t="s">
        <v>1354</v>
      </c>
      <c r="F14" s="2507" t="s">
        <v>1355</v>
      </c>
      <c r="G14" s="2508" t="s">
        <v>1356</v>
      </c>
      <c r="H14" s="2507" t="s">
        <v>1357</v>
      </c>
      <c r="I14" s="2509"/>
      <c r="J14" s="2509"/>
    </row>
    <row r="15" spans="2:11">
      <c r="B15" s="2522" t="s">
        <v>1458</v>
      </c>
      <c r="C15" s="2523">
        <v>1</v>
      </c>
      <c r="D15" s="2524">
        <v>1</v>
      </c>
      <c r="E15" s="2510">
        <v>35000</v>
      </c>
      <c r="F15" s="2511">
        <f>+C15*D15*E15</f>
        <v>35000</v>
      </c>
      <c r="G15" s="2512">
        <f t="shared" ref="G15:G16" si="0">+F15*$C$9</f>
        <v>420000</v>
      </c>
      <c r="H15" s="2525"/>
      <c r="I15" s="2526"/>
      <c r="J15" s="2526"/>
    </row>
    <row r="16" spans="2:11" ht="25.5">
      <c r="B16" s="2522" t="s">
        <v>1459</v>
      </c>
      <c r="C16" s="2523">
        <v>1</v>
      </c>
      <c r="D16" s="2524">
        <v>1</v>
      </c>
      <c r="E16" s="2510">
        <v>28000</v>
      </c>
      <c r="F16" s="2511">
        <f>+C16*D16*E16</f>
        <v>28000</v>
      </c>
      <c r="G16" s="2512">
        <f t="shared" si="0"/>
        <v>336000</v>
      </c>
      <c r="H16" s="2513"/>
      <c r="I16" s="2514"/>
      <c r="J16" s="2514"/>
    </row>
    <row r="17" spans="2:10" ht="25.5">
      <c r="B17" s="2522" t="s">
        <v>1463</v>
      </c>
      <c r="C17" s="2523">
        <v>1</v>
      </c>
      <c r="D17" s="2524">
        <v>0.2</v>
      </c>
      <c r="E17" s="2510">
        <v>20000</v>
      </c>
      <c r="F17" s="2511">
        <f>+C17*D17*E17</f>
        <v>4000</v>
      </c>
      <c r="G17" s="2512">
        <f t="shared" ref="G17" si="1">+F17*$C$9</f>
        <v>48000</v>
      </c>
      <c r="H17" s="2525"/>
    </row>
    <row r="18" spans="2:10" ht="26.25" thickBot="1">
      <c r="B18" s="2522" t="s">
        <v>1462</v>
      </c>
      <c r="C18" s="2523">
        <v>1</v>
      </c>
      <c r="D18" s="2524">
        <v>0.2</v>
      </c>
      <c r="E18" s="2510">
        <v>20000</v>
      </c>
      <c r="F18" s="2511">
        <f>+C18*D18*E18</f>
        <v>4000</v>
      </c>
      <c r="G18" s="2512">
        <f t="shared" ref="G18" si="2">+F18*$C$9</f>
        <v>48000</v>
      </c>
      <c r="H18" s="2513"/>
    </row>
    <row r="19" spans="2:10" ht="13.5" thickBot="1">
      <c r="B19" s="2515" t="s">
        <v>1359</v>
      </c>
      <c r="C19" s="2516">
        <f>SUMPRODUCT(C15:C18,D15:D18)</f>
        <v>2.4000000000000004</v>
      </c>
      <c r="D19" s="2527"/>
      <c r="E19" s="2517"/>
      <c r="F19" s="2528">
        <f>SUM(F15:F18)</f>
        <v>71000</v>
      </c>
      <c r="G19" s="2518">
        <f>SUM(G15:G18)</f>
        <v>852000</v>
      </c>
      <c r="H19" s="2517"/>
      <c r="I19" s="2519"/>
      <c r="J19" s="2519"/>
    </row>
    <row r="20" spans="2:10" ht="12.75" customHeight="1">
      <c r="B20" s="2503"/>
      <c r="C20" s="2504"/>
      <c r="E20" s="2505"/>
      <c r="F20" s="2505"/>
      <c r="H20" s="2520"/>
      <c r="I20" s="2520"/>
      <c r="J20" s="2520"/>
    </row>
    <row r="22" spans="2:10">
      <c r="B22" s="2502" t="s">
        <v>1461</v>
      </c>
      <c r="C22" s="2502"/>
      <c r="D22" s="2502"/>
      <c r="E22" s="2505"/>
      <c r="F22" s="2505"/>
      <c r="H22" s="2520"/>
    </row>
    <row r="23" spans="2:10" ht="13.5" thickBot="1">
      <c r="B23" s="2503"/>
      <c r="C23" s="2503"/>
      <c r="D23" s="2504"/>
      <c r="E23" s="2505"/>
      <c r="F23" s="2505"/>
      <c r="G23" s="2506"/>
      <c r="H23" s="2506"/>
    </row>
    <row r="24" spans="2:10">
      <c r="B24" s="2508" t="s">
        <v>1353</v>
      </c>
      <c r="C24" s="2507" t="s">
        <v>1200</v>
      </c>
      <c r="D24" s="2521" t="s">
        <v>63</v>
      </c>
      <c r="E24" s="2507" t="s">
        <v>1354</v>
      </c>
      <c r="F24" s="2507" t="s">
        <v>1355</v>
      </c>
      <c r="G24" s="2508" t="s">
        <v>1356</v>
      </c>
      <c r="H24" s="2507" t="s">
        <v>1357</v>
      </c>
    </row>
    <row r="25" spans="2:10">
      <c r="B25" s="2522" t="s">
        <v>1458</v>
      </c>
      <c r="C25" s="2523">
        <v>1</v>
      </c>
      <c r="D25" s="2524">
        <v>1</v>
      </c>
      <c r="E25" s="2510">
        <v>35000</v>
      </c>
      <c r="F25" s="2511">
        <f>+C25*D25*E25</f>
        <v>35000</v>
      </c>
      <c r="G25" s="2512">
        <f t="shared" ref="G25:G28" si="3">+F25*$C$9</f>
        <v>420000</v>
      </c>
      <c r="H25" s="2525"/>
    </row>
    <row r="26" spans="2:10" ht="25.5">
      <c r="B26" s="2522" t="s">
        <v>1459</v>
      </c>
      <c r="C26" s="2523">
        <v>1</v>
      </c>
      <c r="D26" s="2524">
        <v>1</v>
      </c>
      <c r="E26" s="2510">
        <v>28000</v>
      </c>
      <c r="F26" s="2511">
        <f t="shared" ref="F26:F27" si="4">+C26*D26*E26</f>
        <v>28000</v>
      </c>
      <c r="G26" s="2512">
        <f t="shared" si="3"/>
        <v>336000</v>
      </c>
      <c r="H26" s="2525"/>
    </row>
    <row r="27" spans="2:10" ht="25.5">
      <c r="B27" s="2522" t="s">
        <v>1463</v>
      </c>
      <c r="C27" s="2523">
        <v>1</v>
      </c>
      <c r="D27" s="2524">
        <v>0.5</v>
      </c>
      <c r="E27" s="2510">
        <v>20000</v>
      </c>
      <c r="F27" s="2511">
        <f t="shared" si="4"/>
        <v>10000</v>
      </c>
      <c r="G27" s="2512">
        <f t="shared" si="3"/>
        <v>120000</v>
      </c>
      <c r="H27" s="2525"/>
    </row>
    <row r="28" spans="2:10" ht="26.25" thickBot="1">
      <c r="B28" s="2522" t="s">
        <v>1462</v>
      </c>
      <c r="C28" s="2523">
        <v>1</v>
      </c>
      <c r="D28" s="2524">
        <v>0.5</v>
      </c>
      <c r="E28" s="2510">
        <v>20000</v>
      </c>
      <c r="F28" s="2511">
        <f>+C28*D28*E28</f>
        <v>10000</v>
      </c>
      <c r="G28" s="2512">
        <f t="shared" si="3"/>
        <v>120000</v>
      </c>
      <c r="H28" s="2513"/>
    </row>
    <row r="29" spans="2:10" ht="13.5" thickBot="1">
      <c r="B29" s="2515" t="s">
        <v>1359</v>
      </c>
      <c r="C29" s="2516">
        <f>SUMPRODUCT(C25:C28,D25:D28)</f>
        <v>3</v>
      </c>
      <c r="D29" s="2527"/>
      <c r="E29" s="2517"/>
      <c r="F29" s="2528">
        <f>SUM(F25:F28)</f>
        <v>83000</v>
      </c>
      <c r="G29" s="2518">
        <f>SUM(G25:G28)</f>
        <v>996000</v>
      </c>
      <c r="H29" s="2517"/>
    </row>
    <row r="32" spans="2:10">
      <c r="B32" s="2502" t="s">
        <v>1689</v>
      </c>
      <c r="C32" s="2502"/>
      <c r="D32" s="2502"/>
      <c r="E32" s="2505"/>
      <c r="F32" s="2505"/>
      <c r="H32" s="2520"/>
    </row>
    <row r="33" spans="2:8" ht="13.5" thickBot="1">
      <c r="B33" s="2503"/>
      <c r="C33" s="2503"/>
      <c r="D33" s="2504"/>
      <c r="E33" s="2505"/>
      <c r="F33" s="2505"/>
      <c r="G33" s="2506"/>
      <c r="H33" s="2506"/>
    </row>
    <row r="34" spans="2:8">
      <c r="B34" s="2508" t="s">
        <v>1353</v>
      </c>
      <c r="C34" s="2507" t="s">
        <v>1200</v>
      </c>
      <c r="D34" s="2521" t="s">
        <v>63</v>
      </c>
      <c r="E34" s="2507" t="s">
        <v>1354</v>
      </c>
      <c r="F34" s="2507" t="s">
        <v>1355</v>
      </c>
      <c r="G34" s="2508" t="s">
        <v>1356</v>
      </c>
      <c r="H34" s="2507" t="s">
        <v>1357</v>
      </c>
    </row>
    <row r="35" spans="2:8">
      <c r="B35" s="2522" t="s">
        <v>1458</v>
      </c>
      <c r="C35" s="2523">
        <v>1</v>
      </c>
      <c r="D35" s="2524">
        <v>1</v>
      </c>
      <c r="E35" s="2510">
        <v>35000</v>
      </c>
      <c r="F35" s="2511">
        <f>+C35*D35*E35</f>
        <v>35000</v>
      </c>
      <c r="G35" s="2512">
        <f t="shared" ref="G35:G38" si="5">+F35*$C$9</f>
        <v>420000</v>
      </c>
      <c r="H35" s="2525"/>
    </row>
    <row r="36" spans="2:8" ht="25.5">
      <c r="B36" s="2522" t="s">
        <v>1459</v>
      </c>
      <c r="C36" s="2523">
        <v>1</v>
      </c>
      <c r="D36" s="2524">
        <v>1</v>
      </c>
      <c r="E36" s="2510">
        <v>28000</v>
      </c>
      <c r="F36" s="2511">
        <f t="shared" ref="F36:F37" si="6">+C36*D36*E36</f>
        <v>28000</v>
      </c>
      <c r="G36" s="2512">
        <f t="shared" si="5"/>
        <v>336000</v>
      </c>
      <c r="H36" s="2525"/>
    </row>
    <row r="37" spans="2:8" ht="25.5">
      <c r="B37" s="2522" t="s">
        <v>1463</v>
      </c>
      <c r="C37" s="2523">
        <v>1</v>
      </c>
      <c r="D37" s="2524">
        <v>1</v>
      </c>
      <c r="E37" s="2510">
        <v>20000</v>
      </c>
      <c r="F37" s="2511">
        <f t="shared" si="6"/>
        <v>20000</v>
      </c>
      <c r="G37" s="2512">
        <f t="shared" si="5"/>
        <v>240000</v>
      </c>
      <c r="H37" s="2525"/>
    </row>
    <row r="38" spans="2:8" ht="26.25" thickBot="1">
      <c r="B38" s="2522" t="s">
        <v>1462</v>
      </c>
      <c r="C38" s="2523">
        <v>1</v>
      </c>
      <c r="D38" s="2524">
        <v>1</v>
      </c>
      <c r="E38" s="2510">
        <v>20000</v>
      </c>
      <c r="F38" s="2511">
        <f>+C38*D38*E38</f>
        <v>20000</v>
      </c>
      <c r="G38" s="2512">
        <f t="shared" si="5"/>
        <v>240000</v>
      </c>
      <c r="H38" s="2513"/>
    </row>
    <row r="39" spans="2:8" ht="13.5" thickBot="1">
      <c r="B39" s="2515" t="s">
        <v>1359</v>
      </c>
      <c r="C39" s="2516">
        <f>SUMPRODUCT(C35:C38,D35:D38)</f>
        <v>4</v>
      </c>
      <c r="D39" s="2527"/>
      <c r="E39" s="2517"/>
      <c r="F39" s="2528">
        <f>SUM(F35:F38)</f>
        <v>103000</v>
      </c>
      <c r="G39" s="2518">
        <f>SUM(G35:G38)</f>
        <v>1236000</v>
      </c>
      <c r="H39" s="2517"/>
    </row>
  </sheetData>
  <mergeCells count="1">
    <mergeCell ref="B2:H2"/>
  </mergeCells>
  <conditionalFormatting sqref="B15:B18">
    <cfRule type="expression" dxfId="92" priority="4" stopIfTrue="1">
      <formula>C15&gt;0</formula>
    </cfRule>
  </conditionalFormatting>
  <conditionalFormatting sqref="B25:B28">
    <cfRule type="expression" dxfId="91" priority="3" stopIfTrue="1">
      <formula>C25&gt;0</formula>
    </cfRule>
  </conditionalFormatting>
  <conditionalFormatting sqref="B17:B18">
    <cfRule type="expression" dxfId="90" priority="2" stopIfTrue="1">
      <formula>C17&gt;0</formula>
    </cfRule>
  </conditionalFormatting>
  <conditionalFormatting sqref="B35:B38">
    <cfRule type="expression" dxfId="89" priority="1" stopIfTrue="1">
      <formula>C35&gt;0</formula>
    </cfRule>
  </conditionalFormatting>
  <pageMargins left="0.17" right="0.36" top="0.98425196850393704" bottom="0.98425196850393704" header="0" footer="0"/>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indexed="43"/>
  </sheetPr>
  <dimension ref="A1:D9"/>
  <sheetViews>
    <sheetView workbookViewId="0">
      <selection activeCell="C4" sqref="C4"/>
    </sheetView>
  </sheetViews>
  <sheetFormatPr baseColWidth="10" defaultRowHeight="12.75"/>
  <sheetData>
    <row r="1" spans="1:4">
      <c r="A1" s="2642" t="s">
        <v>1594</v>
      </c>
    </row>
    <row r="2" spans="1:4">
      <c r="A2" s="2609"/>
      <c r="B2" s="2609" t="s">
        <v>1589</v>
      </c>
      <c r="C2" s="2645">
        <v>20000</v>
      </c>
    </row>
    <row r="3" spans="1:4">
      <c r="A3" s="2609"/>
      <c r="B3" s="2609" t="s">
        <v>1595</v>
      </c>
      <c r="C3" s="2645">
        <v>1000</v>
      </c>
    </row>
    <row r="4" spans="1:4">
      <c r="A4" s="2609"/>
      <c r="B4" s="2609" t="s">
        <v>1596</v>
      </c>
      <c r="C4" s="2645">
        <f>('Costeo Productos'!D51*15+'Costeo Productos'!D52+'Costeo Productos'!D53+'Costeo Productos'!D54*4+'Costeo Productos'!D55*5+'Costeo Productos'!D58)/60</f>
        <v>399.76810791121585</v>
      </c>
      <c r="D4" s="2609" t="s">
        <v>1656</v>
      </c>
    </row>
    <row r="5" spans="1:4">
      <c r="A5" s="2609"/>
      <c r="B5" s="2609" t="s">
        <v>1590</v>
      </c>
      <c r="C5" s="2645">
        <v>3000</v>
      </c>
    </row>
    <row r="6" spans="1:4">
      <c r="A6" s="2609"/>
      <c r="B6" s="2609" t="s">
        <v>1383</v>
      </c>
      <c r="C6" s="2645">
        <f>(50000+15000+60000)/60</f>
        <v>2083.3333333333335</v>
      </c>
      <c r="D6" s="2609" t="s">
        <v>1662</v>
      </c>
    </row>
    <row r="7" spans="1:4">
      <c r="A7" s="2609"/>
      <c r="B7" s="2642" t="s">
        <v>1593</v>
      </c>
      <c r="C7" s="2701">
        <f>SUM(C2:C6)</f>
        <v>26483.101441244547</v>
      </c>
    </row>
    <row r="8" spans="1:4">
      <c r="A8" s="2609"/>
      <c r="B8" s="2642"/>
      <c r="C8" s="2701"/>
    </row>
    <row r="9" spans="1:4">
      <c r="A9" s="2609" t="s">
        <v>1598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tabColor indexed="43"/>
  </sheetPr>
  <dimension ref="A1:N43"/>
  <sheetViews>
    <sheetView workbookViewId="0">
      <selection activeCell="L13" sqref="L13"/>
    </sheetView>
  </sheetViews>
  <sheetFormatPr baseColWidth="10" defaultRowHeight="12.75"/>
  <cols>
    <col min="1" max="1" width="15.7109375" customWidth="1"/>
    <col min="2" max="2" width="15.140625" bestFit="1" customWidth="1"/>
    <col min="3" max="3" width="18.42578125" bestFit="1" customWidth="1"/>
    <col min="11" max="11" width="14.85546875" customWidth="1"/>
    <col min="12" max="14" width="11.85546875" bestFit="1" customWidth="1"/>
  </cols>
  <sheetData>
    <row r="1" spans="1:14">
      <c r="A1" s="2609" t="s">
        <v>1573</v>
      </c>
    </row>
    <row r="2" spans="1:14">
      <c r="A2" s="2609"/>
    </row>
    <row r="3" spans="1:14">
      <c r="A3" s="2609" t="s">
        <v>1576</v>
      </c>
    </row>
    <row r="5" spans="1:14">
      <c r="B5" s="2609" t="s">
        <v>1574</v>
      </c>
      <c r="C5" s="2609" t="s">
        <v>1575</v>
      </c>
    </row>
    <row r="6" spans="1:14">
      <c r="A6" s="2609" t="s">
        <v>1549</v>
      </c>
      <c r="B6" s="2660">
        <v>6</v>
      </c>
      <c r="C6" s="2699">
        <f>B6/1.2*30</f>
        <v>150</v>
      </c>
    </row>
    <row r="7" spans="1:14">
      <c r="A7" s="2609" t="s">
        <v>1550</v>
      </c>
      <c r="B7" s="2661">
        <v>30</v>
      </c>
      <c r="C7" s="2700">
        <f>B7/1.2</f>
        <v>25</v>
      </c>
    </row>
    <row r="8" spans="1:14">
      <c r="A8" s="2609" t="s">
        <v>1551</v>
      </c>
      <c r="B8" s="2661">
        <v>30</v>
      </c>
      <c r="C8" s="2700">
        <f>B8/1.2</f>
        <v>25</v>
      </c>
    </row>
    <row r="9" spans="1:14">
      <c r="A9" s="2609"/>
    </row>
    <row r="11" spans="1:14" ht="25.5">
      <c r="A11" s="2596" t="s">
        <v>1442</v>
      </c>
      <c r="B11" s="2597">
        <v>2016</v>
      </c>
      <c r="C11" s="2597">
        <v>2017</v>
      </c>
      <c r="D11" s="2597">
        <v>2018</v>
      </c>
      <c r="F11" s="2596" t="s">
        <v>1572</v>
      </c>
      <c r="G11" s="2597">
        <v>2016</v>
      </c>
      <c r="H11" s="2597">
        <v>2017</v>
      </c>
      <c r="I11" s="2597">
        <v>2018</v>
      </c>
      <c r="K11" s="2596" t="s">
        <v>1600</v>
      </c>
      <c r="L11" s="2597">
        <v>2016</v>
      </c>
      <c r="M11" s="2597">
        <v>2017</v>
      </c>
      <c r="N11" s="2597">
        <v>2018</v>
      </c>
    </row>
    <row r="12" spans="1:14">
      <c r="A12" s="2598" t="s">
        <v>1444</v>
      </c>
      <c r="B12" s="2607">
        <f>'Mercado potencial'!E72</f>
        <v>2</v>
      </c>
      <c r="C12" s="2607">
        <f>'Mercado potencial'!F72</f>
        <v>221.94107643516676</v>
      </c>
      <c r="D12" s="2607">
        <f>'Mercado potencial'!G72</f>
        <v>570.97365377894869</v>
      </c>
      <c r="F12" s="2598" t="s">
        <v>1444</v>
      </c>
      <c r="G12" s="2698">
        <f>B12*'Costeo Productos'!$C$48</f>
        <v>5.8159421918808657E-2</v>
      </c>
      <c r="H12" s="2698">
        <f>C12*'Costeo Productos'!$C$48</f>
        <v>6.4539823527537123</v>
      </c>
      <c r="I12" s="2698">
        <f>D12*'Costeo Productos'!$C$48</f>
        <v>16.603748817326828</v>
      </c>
      <c r="K12" s="2598" t="s">
        <v>1444</v>
      </c>
      <c r="L12" s="2702">
        <f>ROUNDUP(G12,0)*($C$7+$C$8)+SUM(G13:G14)*$C$6</f>
        <v>313.89480344324261</v>
      </c>
      <c r="M12" s="2702">
        <f>ROUNDUP(H12,0)*($C$7+$C$8)+SUM(H13:H14)*$C$6</f>
        <v>2580.5106277061996</v>
      </c>
      <c r="N12" s="2702">
        <f>ROUNDUP(I12,0)*($C$7+$C$8)+SUM(I13:I14)*$C$6</f>
        <v>6158.3715698816177</v>
      </c>
    </row>
    <row r="13" spans="1:14">
      <c r="A13" s="2598" t="s">
        <v>1445</v>
      </c>
      <c r="B13" s="2607">
        <f>'Mercado potencial'!E73</f>
        <v>7</v>
      </c>
      <c r="C13" s="2607">
        <f>'Mercado potencial'!F73</f>
        <v>232.8854298523334</v>
      </c>
      <c r="D13" s="2607">
        <f>'Mercado potencial'!G73</f>
        <v>595.98130908889709</v>
      </c>
      <c r="F13" s="2598" t="s">
        <v>1445</v>
      </c>
      <c r="G13" s="2698">
        <f>B13*'Costeo Productos'!$C$48</f>
        <v>0.20355797671583031</v>
      </c>
      <c r="H13" s="2698">
        <f>C13*'Costeo Productos'!$C$48</f>
        <v>6.7722409867624878</v>
      </c>
      <c r="I13" s="2698">
        <f>D13*'Costeo Productos'!$C$48</f>
        <v>17.33096420551254</v>
      </c>
      <c r="K13" s="2598" t="s">
        <v>1445</v>
      </c>
      <c r="L13" s="2702">
        <f t="shared" ref="L13:L21" si="0">ROUNDUP(G13,0)*($C$7+$C$8)+SUM(G14:G15)*$C$6</f>
        <v>594.50924951702552</v>
      </c>
      <c r="M13" s="2702">
        <f t="shared" ref="M13:N20" si="1">ROUNDUP(H13,0)*($C$7+$C$8)+SUM(H14:H15)*$C$6</f>
        <v>2873.0923100331038</v>
      </c>
      <c r="N13" s="2702">
        <f t="shared" si="1"/>
        <v>6426.5361863373319</v>
      </c>
    </row>
    <row r="14" spans="1:14">
      <c r="A14" s="2598" t="s">
        <v>1446</v>
      </c>
      <c r="B14" s="2607">
        <f>'Mercado potencial'!E74</f>
        <v>53.499180754500017</v>
      </c>
      <c r="C14" s="2607">
        <f>'Mercado potencial'!F74</f>
        <v>278.4700946965001</v>
      </c>
      <c r="D14" s="2607">
        <f>'Mercado potencial'!G74</f>
        <v>620.98896439884538</v>
      </c>
      <c r="F14" s="2598" t="s">
        <v>1446</v>
      </c>
      <c r="G14" s="2698">
        <f>B14*'Costeo Productos'!$C$48</f>
        <v>1.5557407129057872</v>
      </c>
      <c r="H14" s="2698">
        <f>C14*'Costeo Productos'!$C$48</f>
        <v>8.0978298646121747</v>
      </c>
      <c r="I14" s="2698">
        <f>D14*'Costeo Productos'!$C$48</f>
        <v>18.058179593698249</v>
      </c>
      <c r="K14" s="2598" t="s">
        <v>1446</v>
      </c>
      <c r="L14" s="2702">
        <f t="shared" si="0"/>
        <v>800.08332080760431</v>
      </c>
      <c r="M14" s="2702">
        <f t="shared" si="1"/>
        <v>3160.5790113320063</v>
      </c>
      <c r="N14" s="2702">
        <f t="shared" si="1"/>
        <v>6694.700802793046</v>
      </c>
    </row>
    <row r="15" spans="1:14">
      <c r="A15" s="2598" t="s">
        <v>1447</v>
      </c>
      <c r="B15" s="2607">
        <f>'Mercado potencial'!E75</f>
        <v>71.332241006000018</v>
      </c>
      <c r="C15" s="2607">
        <f>'Mercado potencial'!F75</f>
        <v>299.96121858933344</v>
      </c>
      <c r="D15" s="2607">
        <f>'Mercado potencial'!G75</f>
        <v>645.9966197087939</v>
      </c>
      <c r="F15" s="2598" t="s">
        <v>1447</v>
      </c>
      <c r="G15" s="2698">
        <f>B15*'Costeo Productos'!$C$48</f>
        <v>2.0743209505410496</v>
      </c>
      <c r="H15" s="2698">
        <f>C15*'Costeo Productos'!$C$48</f>
        <v>8.7227855356085175</v>
      </c>
      <c r="I15" s="2698">
        <f>D15*'Costeo Productos'!$C$48</f>
        <v>18.785394981883965</v>
      </c>
      <c r="K15" s="2598" t="s">
        <v>1447</v>
      </c>
      <c r="L15" s="2702">
        <f t="shared" si="0"/>
        <v>1005.6573920981829</v>
      </c>
      <c r="M15" s="2702">
        <f t="shared" si="1"/>
        <v>3348.0657126309088</v>
      </c>
      <c r="N15" s="2702">
        <f t="shared" si="1"/>
        <v>6912.8654192487584</v>
      </c>
    </row>
    <row r="16" spans="1:14">
      <c r="A16" s="2598" t="s">
        <v>1448</v>
      </c>
      <c r="B16" s="2607">
        <f>'Mercado potencial'!E76</f>
        <v>89.165301257500019</v>
      </c>
      <c r="C16" s="2607">
        <f>'Mercado potencial'!F76</f>
        <v>321.45234248216678</v>
      </c>
      <c r="D16" s="2607">
        <f>'Mercado potencial'!G76</f>
        <v>671.00427501874231</v>
      </c>
      <c r="F16" s="2598" t="s">
        <v>1448</v>
      </c>
      <c r="G16" s="2698">
        <f>B16*'Costeo Productos'!$C$48</f>
        <v>2.5929011881763118</v>
      </c>
      <c r="H16" s="2698">
        <f>C16*'Costeo Productos'!$C$48</f>
        <v>9.3477412066048586</v>
      </c>
      <c r="I16" s="2698">
        <f>D16*'Costeo Productos'!$C$48</f>
        <v>19.512610370069677</v>
      </c>
      <c r="K16" s="2598" t="s">
        <v>1448</v>
      </c>
      <c r="L16" s="2702">
        <f t="shared" si="0"/>
        <v>1161.2314633887618</v>
      </c>
      <c r="M16" s="2702">
        <f t="shared" si="1"/>
        <v>3594.276327217633</v>
      </c>
      <c r="N16" s="2702">
        <f t="shared" si="1"/>
        <v>7181.0300357044734</v>
      </c>
    </row>
    <row r="17" spans="1:14">
      <c r="A17" s="2598" t="s">
        <v>1449</v>
      </c>
      <c r="B17" s="2607">
        <f>'Mercado potencial'!E77</f>
        <v>106.99836150900003</v>
      </c>
      <c r="C17" s="2607">
        <f>'Mercado potencial'!F77</f>
        <v>342.94346637500013</v>
      </c>
      <c r="D17" s="2607">
        <f>'Mercado potencial'!G77</f>
        <v>696.0119303286906</v>
      </c>
      <c r="F17" s="2598" t="s">
        <v>1449</v>
      </c>
      <c r="G17" s="2698">
        <f>B17*'Costeo Productos'!$C$48</f>
        <v>3.1114814258115744</v>
      </c>
      <c r="H17" s="2698">
        <f>C17*'Costeo Productos'!$C$48</f>
        <v>9.9726968776012015</v>
      </c>
      <c r="I17" s="2698">
        <f>D17*'Costeo Productos'!$C$48</f>
        <v>20.239825758255385</v>
      </c>
      <c r="K17" s="2598" t="s">
        <v>1449</v>
      </c>
      <c r="L17" s="2702">
        <f t="shared" si="0"/>
        <v>1366.8055346793403</v>
      </c>
      <c r="M17" s="2702">
        <f t="shared" si="1"/>
        <v>3812.2967250239099</v>
      </c>
      <c r="N17" s="2702">
        <f t="shared" si="1"/>
        <v>7449.1946521601885</v>
      </c>
    </row>
    <row r="18" spans="1:14">
      <c r="A18" s="2598" t="s">
        <v>1450</v>
      </c>
      <c r="B18" s="2607">
        <f>'Mercado potencial'!E78</f>
        <v>124.83142176050004</v>
      </c>
      <c r="C18" s="2607">
        <f>'Mercado potencial'!F78</f>
        <v>366.43459026783347</v>
      </c>
      <c r="D18" s="2607">
        <f>'Mercado potencial'!G78</f>
        <v>721.01958563863923</v>
      </c>
      <c r="F18" s="2598" t="s">
        <v>1450</v>
      </c>
      <c r="G18" s="2698">
        <f>B18*'Costeo Productos'!$C$48</f>
        <v>3.630061663446837</v>
      </c>
      <c r="H18" s="2698">
        <f>C18*'Costeo Productos'!$C$48</f>
        <v>10.655811970516352</v>
      </c>
      <c r="I18" s="2698">
        <f>D18*'Costeo Productos'!$C$48</f>
        <v>20.967041146441105</v>
      </c>
      <c r="K18" s="2598" t="s">
        <v>1450</v>
      </c>
      <c r="L18" s="2702">
        <f t="shared" si="0"/>
        <v>1522.3796059699191</v>
      </c>
      <c r="M18" s="2702">
        <f t="shared" si="1"/>
        <v>4202.6172024521311</v>
      </c>
      <c r="N18" s="2702">
        <f t="shared" si="1"/>
        <v>7667.3592686159009</v>
      </c>
    </row>
    <row r="19" spans="1:14">
      <c r="A19" s="2598" t="s">
        <v>1451</v>
      </c>
      <c r="B19" s="2607">
        <f>'Mercado potencial'!E79</f>
        <v>142.66448201200004</v>
      </c>
      <c r="C19" s="2607">
        <f>'Mercado potencial'!F79</f>
        <v>392.92571416066676</v>
      </c>
      <c r="D19" s="2607">
        <f>'Mercado potencial'!G79</f>
        <v>746.02724094858752</v>
      </c>
      <c r="F19" s="2598" t="s">
        <v>1451</v>
      </c>
      <c r="G19" s="2698">
        <f>B19*'Costeo Productos'!$C$48</f>
        <v>4.1486419010820992</v>
      </c>
      <c r="H19" s="2698">
        <f>C19*'Costeo Productos'!$C$48</f>
        <v>11.426166196309714</v>
      </c>
      <c r="I19" s="2698">
        <f>D19*'Costeo Productos'!$C$48</f>
        <v>21.694256534626813</v>
      </c>
      <c r="K19" s="2598" t="s">
        <v>1451</v>
      </c>
      <c r="L19" s="2702">
        <f t="shared" si="0"/>
        <v>1727.9536772604979</v>
      </c>
      <c r="M19" s="2702">
        <f t="shared" si="1"/>
        <v>4624.9804597998445</v>
      </c>
      <c r="N19" s="2702">
        <f t="shared" si="1"/>
        <v>7935.523885071616</v>
      </c>
    </row>
    <row r="20" spans="1:14">
      <c r="A20" s="2598" t="s">
        <v>1452</v>
      </c>
      <c r="B20" s="2607">
        <f>'Mercado potencial'!E80</f>
        <v>160.49754226350004</v>
      </c>
      <c r="C20" s="2607">
        <f>'Mercado potencial'!F80</f>
        <v>444.45473242200018</v>
      </c>
      <c r="D20" s="2607">
        <f>'Mercado potencial'!G80</f>
        <v>771.03489625853592</v>
      </c>
      <c r="F20" s="2598" t="s">
        <v>1452</v>
      </c>
      <c r="G20" s="2698">
        <f>B20*'Costeo Productos'!$C$48</f>
        <v>4.6672221387173618</v>
      </c>
      <c r="H20" s="2698">
        <f>C20*'Costeo Productos'!$C$48</f>
        <v>12.924615153371157</v>
      </c>
      <c r="I20" s="2698">
        <f>D20*'Costeo Productos'!$C$48</f>
        <v>22.421471922812525</v>
      </c>
      <c r="K20" s="2598" t="s">
        <v>1452</v>
      </c>
      <c r="L20" s="2702">
        <f t="shared" si="0"/>
        <v>1883.5277485510765</v>
      </c>
      <c r="M20" s="2702">
        <f t="shared" si="1"/>
        <v>4970.1722873768394</v>
      </c>
      <c r="N20" s="2702">
        <f t="shared" si="1"/>
        <v>8203.6885015273292</v>
      </c>
    </row>
    <row r="21" spans="1:14">
      <c r="A21" s="2598" t="s">
        <v>1453</v>
      </c>
      <c r="B21" s="2607">
        <f>'Mercado potencial'!E81</f>
        <v>178.33060251500004</v>
      </c>
      <c r="C21" s="2607">
        <f>'Mercado potencial'!F81</f>
        <v>478.29182110433345</v>
      </c>
      <c r="D21" s="2607">
        <f>'Mercado potencial'!G81</f>
        <v>796.04255156848444</v>
      </c>
      <c r="F21" s="2598" t="s">
        <v>1453</v>
      </c>
      <c r="G21" s="2698">
        <f>B21*'Costeo Productos'!$C$48</f>
        <v>5.1858023763526235</v>
      </c>
      <c r="H21" s="2698">
        <f>C21*'Costeo Productos'!$C$48</f>
        <v>13.90858791196114</v>
      </c>
      <c r="I21" s="2698">
        <f>D21*'Costeo Productos'!$C$48</f>
        <v>23.148687310998241</v>
      </c>
      <c r="K21" s="2598" t="s">
        <v>1453</v>
      </c>
      <c r="L21" s="2702">
        <f t="shared" si="0"/>
        <v>2089.101819841655</v>
      </c>
      <c r="M21" s="2702">
        <f>ROUNDUP(H21,0)*($C$7+$C$8)+SUM(H22:H23)*$C$6</f>
        <v>5315.3641149538353</v>
      </c>
      <c r="N21" s="2702">
        <f>ROUNDUP(I21,0)*($C$7+$C$8)+SUM(I22:I23)*$C$6</f>
        <v>8471.8531179830425</v>
      </c>
    </row>
    <row r="22" spans="1:14">
      <c r="A22" s="2598" t="s">
        <v>1454</v>
      </c>
      <c r="B22" s="2607">
        <f>'Mercado potencial'!E82</f>
        <v>196.16366276650004</v>
      </c>
      <c r="C22" s="2607">
        <f>'Mercado potencial'!F82</f>
        <v>512.12890978666678</v>
      </c>
      <c r="D22" s="2607">
        <f>'Mercado potencial'!G82</f>
        <v>821.05020687843273</v>
      </c>
      <c r="F22" s="2598" t="s">
        <v>1454</v>
      </c>
      <c r="G22" s="2698">
        <f>B22*'Costeo Productos'!$C$48</f>
        <v>5.7043826139878862</v>
      </c>
      <c r="H22" s="2698">
        <f>C22*'Costeo Productos'!$C$48</f>
        <v>14.892560670551125</v>
      </c>
      <c r="I22" s="2698">
        <f>D22*'Costeo Productos'!$C$48</f>
        <v>23.87590269918395</v>
      </c>
      <c r="K22" s="2598" t="s">
        <v>1454</v>
      </c>
      <c r="L22" s="2702">
        <f>ROUNDUP(G22,0)*($C$7+$C$8)+(G23+H12)*$C$6</f>
        <v>2201.5417806565292</v>
      </c>
      <c r="M22" s="2702">
        <f>ROUNDUP(H22,0)*($C$7+$C$8)+(H23+I12)*$C$6</f>
        <v>5622.0423369701903</v>
      </c>
      <c r="N22" s="2702">
        <f>ROUNDUP(I22,0)*($C$7+$C$8)+(I23*2)*$C$6</f>
        <v>8580.9354262109009</v>
      </c>
    </row>
    <row r="23" spans="1:14">
      <c r="A23" s="2598" t="s">
        <v>1455</v>
      </c>
      <c r="B23" s="2607">
        <f>'Mercado potencial'!E83</f>
        <v>213.99672301800007</v>
      </c>
      <c r="C23" s="2607">
        <f>'Mercado potencial'!F83</f>
        <v>545.96599846900017</v>
      </c>
      <c r="D23" s="2607">
        <f>'Mercado potencial'!G83</f>
        <v>846.05786218838114</v>
      </c>
      <c r="F23" s="2598" t="s">
        <v>1455</v>
      </c>
      <c r="G23" s="2698">
        <f>B23*'Costeo Productos'!$C$48</f>
        <v>6.2229628516231488</v>
      </c>
      <c r="H23" s="2698">
        <f>C23*'Costeo Productos'!$C$48</f>
        <v>15.87653342914111</v>
      </c>
      <c r="I23" s="2698">
        <f>D23*'Costeo Productos'!$C$48</f>
        <v>24.603118087369666</v>
      </c>
      <c r="K23" s="2598" t="s">
        <v>1455</v>
      </c>
      <c r="L23" s="2702">
        <f>ROUNDUP(G23,0)*($C$7+$C$8)+SUM(H12:H13)*$C$6</f>
        <v>2333.93350092743</v>
      </c>
      <c r="M23" s="2702">
        <f>ROUNDUP(H23,0)*($C$7+$C$8)+SUM(I12:I13)*$C$6</f>
        <v>5890.2069534259053</v>
      </c>
      <c r="N23" s="2702">
        <f>ROUNDUP(I23,0)*($C$7+$C$8)+(I23*2)*$C$6</f>
        <v>8630.9354262109009</v>
      </c>
    </row>
    <row r="24" spans="1:14">
      <c r="A24" s="2603" t="s">
        <v>1456</v>
      </c>
      <c r="B24" s="2608">
        <f>SUM(B12:B23)</f>
        <v>1346.4795188625003</v>
      </c>
      <c r="C24" s="2608">
        <f>SUM(C12:C23)</f>
        <v>4437.8553946410011</v>
      </c>
      <c r="D24" s="2608">
        <f>SUM(D12:D23)</f>
        <v>8502.1890958039785</v>
      </c>
      <c r="F24" s="2603" t="s">
        <v>1456</v>
      </c>
      <c r="G24" s="2608">
        <f>SUM(G12:G23)</f>
        <v>39.15523522127932</v>
      </c>
      <c r="H24" s="2608">
        <f>SUM(H12:H23)</f>
        <v>129.05155215579353</v>
      </c>
      <c r="I24" s="2608">
        <f>SUM(I12:I23)</f>
        <v>247.24120142817893</v>
      </c>
      <c r="K24" s="2603" t="s">
        <v>1456</v>
      </c>
      <c r="L24" s="2703">
        <f>SUM(L12:L23)</f>
        <v>17000.619897141263</v>
      </c>
      <c r="M24" s="2703">
        <f>SUM(M12:M23)</f>
        <v>49994.20406892251</v>
      </c>
      <c r="N24" s="2703">
        <f>SUM(N12:N23)</f>
        <v>90312.994291745097</v>
      </c>
    </row>
    <row r="25" spans="1:14">
      <c r="A25" s="2704" t="s">
        <v>1663</v>
      </c>
    </row>
    <row r="26" spans="1:14">
      <c r="A26" s="2704" t="s">
        <v>1602</v>
      </c>
    </row>
    <row r="27" spans="1:14">
      <c r="A27" s="2704" t="s">
        <v>1603</v>
      </c>
    </row>
    <row r="28" spans="1:14">
      <c r="A28" s="2609" t="s">
        <v>1604</v>
      </c>
    </row>
    <row r="30" spans="1:14" ht="25.5">
      <c r="A30" s="2596" t="s">
        <v>1605</v>
      </c>
      <c r="B30" s="2597">
        <v>2016</v>
      </c>
      <c r="C30" s="2597">
        <v>2017</v>
      </c>
      <c r="D30" s="2597">
        <v>2018</v>
      </c>
      <c r="F30" s="2596" t="s">
        <v>1599</v>
      </c>
      <c r="G30" s="2597">
        <v>2016</v>
      </c>
      <c r="H30" s="2597">
        <v>2017</v>
      </c>
      <c r="I30" s="2597">
        <v>2018</v>
      </c>
    </row>
    <row r="31" spans="1:14">
      <c r="A31" s="2598" t="s">
        <v>1444</v>
      </c>
      <c r="B31" s="2702">
        <f>600</f>
        <v>600</v>
      </c>
      <c r="C31" s="2702">
        <f t="shared" ref="C31:C36" si="2">$B$42+B31</f>
        <v>2400</v>
      </c>
      <c r="D31" s="2702">
        <f t="shared" ref="D31:D42" si="3">$C$42</f>
        <v>5400</v>
      </c>
      <c r="F31" s="2598" t="s">
        <v>1444</v>
      </c>
      <c r="G31" s="2705">
        <f>(L12+B31)/(B12*1000)</f>
        <v>0.45694740172162129</v>
      </c>
      <c r="H31" s="2705">
        <f t="shared" ref="H31:I43" si="4">(M12+C31)/(C12*1000)</f>
        <v>2.244068879769132E-2</v>
      </c>
      <c r="I31" s="2705">
        <f t="shared" si="4"/>
        <v>2.0243266030548615E-2</v>
      </c>
    </row>
    <row r="32" spans="1:14">
      <c r="A32" s="2598" t="s">
        <v>1445</v>
      </c>
      <c r="B32" s="2702">
        <f>600*2</f>
        <v>1200</v>
      </c>
      <c r="C32" s="2702">
        <f t="shared" si="2"/>
        <v>3000</v>
      </c>
      <c r="D32" s="2702">
        <f t="shared" si="3"/>
        <v>5400</v>
      </c>
      <c r="F32" s="2598" t="s">
        <v>1445</v>
      </c>
      <c r="G32" s="2705">
        <f t="shared" ref="G32:G42" si="5">(L13+B32)/(B13*1000)</f>
        <v>0.25635846421671793</v>
      </c>
      <c r="H32" s="2705">
        <f t="shared" si="4"/>
        <v>2.5218805288751121E-2</v>
      </c>
      <c r="I32" s="2705">
        <f t="shared" si="4"/>
        <v>1.9843803834078421E-2</v>
      </c>
    </row>
    <row r="33" spans="1:9">
      <c r="A33" s="2598" t="s">
        <v>1446</v>
      </c>
      <c r="B33" s="2702">
        <f>600*3</f>
        <v>1800</v>
      </c>
      <c r="C33" s="2702">
        <f t="shared" si="2"/>
        <v>3600</v>
      </c>
      <c r="D33" s="2702">
        <f t="shared" si="3"/>
        <v>5400</v>
      </c>
      <c r="F33" s="2598" t="s">
        <v>1446</v>
      </c>
      <c r="G33" s="2705">
        <f t="shared" si="5"/>
        <v>4.8600432457816679E-2</v>
      </c>
      <c r="H33" s="2705">
        <f t="shared" si="4"/>
        <v>2.4277576443891571E-2</v>
      </c>
      <c r="I33" s="2705">
        <f t="shared" si="4"/>
        <v>1.9476514875753782E-2</v>
      </c>
    </row>
    <row r="34" spans="1:9">
      <c r="A34" s="2598" t="s">
        <v>1447</v>
      </c>
      <c r="B34" s="2702">
        <f>B33</f>
        <v>1800</v>
      </c>
      <c r="C34" s="2702">
        <f t="shared" si="2"/>
        <v>3600</v>
      </c>
      <c r="D34" s="2702">
        <f t="shared" si="3"/>
        <v>5400</v>
      </c>
      <c r="F34" s="2598" t="s">
        <v>1447</v>
      </c>
      <c r="G34" s="2705">
        <f t="shared" si="5"/>
        <v>3.9332247978332673E-2</v>
      </c>
      <c r="H34" s="2705">
        <f t="shared" si="4"/>
        <v>2.3163213382404828E-2</v>
      </c>
      <c r="I34" s="2705">
        <f t="shared" si="4"/>
        <v>1.906026292335589E-2</v>
      </c>
    </row>
    <row r="35" spans="1:9">
      <c r="A35" s="2598" t="s">
        <v>1448</v>
      </c>
      <c r="B35" s="2702">
        <f t="shared" ref="B35:B42" si="6">B34</f>
        <v>1800</v>
      </c>
      <c r="C35" s="2702">
        <f t="shared" si="2"/>
        <v>3600</v>
      </c>
      <c r="D35" s="2702">
        <f t="shared" si="3"/>
        <v>5400</v>
      </c>
      <c r="F35" s="2598" t="s">
        <v>1448</v>
      </c>
      <c r="G35" s="2705">
        <f t="shared" si="5"/>
        <v>3.3210581040230398E-2</v>
      </c>
      <c r="H35" s="2705">
        <f t="shared" si="4"/>
        <v>2.2380537879006901E-2</v>
      </c>
      <c r="I35" s="2705">
        <f t="shared" si="4"/>
        <v>1.8749552728785614E-2</v>
      </c>
    </row>
    <row r="36" spans="1:9">
      <c r="A36" s="2598" t="s">
        <v>1449</v>
      </c>
      <c r="B36" s="2702">
        <f t="shared" si="6"/>
        <v>1800</v>
      </c>
      <c r="C36" s="2702">
        <f t="shared" si="2"/>
        <v>3600</v>
      </c>
      <c r="D36" s="2702">
        <f t="shared" si="3"/>
        <v>5400</v>
      </c>
      <c r="F36" s="2598" t="s">
        <v>1449</v>
      </c>
      <c r="G36" s="2705">
        <f t="shared" si="5"/>
        <v>2.9596766623505428E-2</v>
      </c>
      <c r="H36" s="2705">
        <f t="shared" si="4"/>
        <v>2.1613756936015652E-2</v>
      </c>
      <c r="I36" s="2705">
        <f t="shared" si="4"/>
        <v>1.8461170121167575E-2</v>
      </c>
    </row>
    <row r="37" spans="1:9">
      <c r="A37" s="2598" t="s">
        <v>1450</v>
      </c>
      <c r="B37" s="2702">
        <f t="shared" si="6"/>
        <v>1800</v>
      </c>
      <c r="C37" s="2702">
        <f t="shared" ref="C37:C42" si="7">$B$42+B37+B31</f>
        <v>4200</v>
      </c>
      <c r="D37" s="2702">
        <f t="shared" si="3"/>
        <v>5400</v>
      </c>
      <c r="F37" s="2598" t="s">
        <v>1450</v>
      </c>
      <c r="G37" s="2705">
        <f t="shared" si="5"/>
        <v>2.6614930432693411E-2</v>
      </c>
      <c r="H37" s="2705">
        <f t="shared" si="4"/>
        <v>2.2930742417931971E-2</v>
      </c>
      <c r="I37" s="2705">
        <f t="shared" si="4"/>
        <v>1.8123445644048015E-2</v>
      </c>
    </row>
    <row r="38" spans="1:9">
      <c r="A38" s="2598" t="s">
        <v>1451</v>
      </c>
      <c r="B38" s="2702">
        <f t="shared" si="6"/>
        <v>1800</v>
      </c>
      <c r="C38" s="2702">
        <f t="shared" si="7"/>
        <v>4800</v>
      </c>
      <c r="D38" s="2702">
        <f t="shared" si="3"/>
        <v>5400</v>
      </c>
      <c r="F38" s="2598" t="s">
        <v>1451</v>
      </c>
      <c r="G38" s="2705">
        <f t="shared" si="5"/>
        <v>2.4729025946091818E-2</v>
      </c>
      <c r="H38" s="2705">
        <f t="shared" si="4"/>
        <v>2.3986672595181655E-2</v>
      </c>
      <c r="I38" s="2705">
        <f t="shared" si="4"/>
        <v>1.7875384641605378E-2</v>
      </c>
    </row>
    <row r="39" spans="1:9">
      <c r="A39" s="2598" t="s">
        <v>1452</v>
      </c>
      <c r="B39" s="2702">
        <f t="shared" si="6"/>
        <v>1800</v>
      </c>
      <c r="C39" s="2702">
        <f t="shared" si="7"/>
        <v>5400</v>
      </c>
      <c r="D39" s="2702">
        <f t="shared" si="3"/>
        <v>5400</v>
      </c>
      <c r="F39" s="2598" t="s">
        <v>1452</v>
      </c>
      <c r="G39" s="2705">
        <f t="shared" si="5"/>
        <v>2.2950680095172867E-2</v>
      </c>
      <c r="H39" s="2705">
        <f t="shared" si="4"/>
        <v>2.3332347550595059E-2</v>
      </c>
      <c r="I39" s="2705">
        <f t="shared" si="4"/>
        <v>1.764341480202716E-2</v>
      </c>
    </row>
    <row r="40" spans="1:9">
      <c r="A40" s="2598" t="s">
        <v>1453</v>
      </c>
      <c r="B40" s="2702">
        <f t="shared" si="6"/>
        <v>1800</v>
      </c>
      <c r="C40" s="2702">
        <f t="shared" si="7"/>
        <v>5400</v>
      </c>
      <c r="D40" s="2702">
        <f t="shared" si="3"/>
        <v>5400</v>
      </c>
      <c r="F40" s="2598" t="s">
        <v>1453</v>
      </c>
      <c r="G40" s="2705">
        <f t="shared" si="5"/>
        <v>2.1808381539643644E-2</v>
      </c>
      <c r="H40" s="2705">
        <f t="shared" si="4"/>
        <v>2.2403402362626664E-2</v>
      </c>
      <c r="I40" s="2705">
        <f t="shared" si="4"/>
        <v>1.7426019614969829E-2</v>
      </c>
    </row>
    <row r="41" spans="1:9">
      <c r="A41" s="2598" t="s">
        <v>1454</v>
      </c>
      <c r="B41" s="2702">
        <f t="shared" si="6"/>
        <v>1800</v>
      </c>
      <c r="C41" s="2702">
        <f t="shared" si="7"/>
        <v>5400</v>
      </c>
      <c r="D41" s="2702">
        <f t="shared" si="3"/>
        <v>5400</v>
      </c>
      <c r="F41" s="2598" t="s">
        <v>1454</v>
      </c>
      <c r="G41" s="2705">
        <f t="shared" si="5"/>
        <v>2.0398996043521547E-2</v>
      </c>
      <c r="H41" s="2705">
        <f t="shared" si="4"/>
        <v>2.1522007694432927E-2</v>
      </c>
      <c r="I41" s="2705">
        <f t="shared" si="4"/>
        <v>1.7028112664833617E-2</v>
      </c>
    </row>
    <row r="42" spans="1:9">
      <c r="A42" s="2598" t="s">
        <v>1455</v>
      </c>
      <c r="B42" s="2702">
        <f t="shared" si="6"/>
        <v>1800</v>
      </c>
      <c r="C42" s="2702">
        <f t="shared" si="7"/>
        <v>5400</v>
      </c>
      <c r="D42" s="2702">
        <f t="shared" si="3"/>
        <v>5400</v>
      </c>
      <c r="F42" s="2598" t="s">
        <v>1455</v>
      </c>
      <c r="G42" s="2705">
        <f t="shared" si="5"/>
        <v>1.9317742078600472E-2</v>
      </c>
      <c r="H42" s="2705">
        <f t="shared" si="4"/>
        <v>2.0679322494598463E-2</v>
      </c>
      <c r="I42" s="2705">
        <f t="shared" si="4"/>
        <v>1.6583895798709343E-2</v>
      </c>
    </row>
    <row r="43" spans="1:9">
      <c r="A43" s="2603" t="s">
        <v>1456</v>
      </c>
      <c r="B43" s="2703">
        <f>SUM(B31:B42)</f>
        <v>19800</v>
      </c>
      <c r="C43" s="2703">
        <f>SUM(C31:C42)</f>
        <v>50400</v>
      </c>
      <c r="D43" s="2703">
        <f>SUM(D31:D42)</f>
        <v>64800</v>
      </c>
      <c r="F43" s="2603" t="s">
        <v>1456</v>
      </c>
      <c r="G43" s="2706">
        <f t="shared" ref="G43" si="8">(L24+B43)/(B24*1000)</f>
        <v>2.7330991211979416E-2</v>
      </c>
      <c r="H43" s="2706">
        <f t="shared" si="4"/>
        <v>2.262223419675978E-2</v>
      </c>
      <c r="I43" s="2706">
        <f t="shared" si="4"/>
        <v>1.8243889020099172E-2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indexed="43"/>
  </sheetPr>
  <dimension ref="A1:K122"/>
  <sheetViews>
    <sheetView showGridLines="0" workbookViewId="0">
      <selection activeCell="A7" sqref="A7"/>
    </sheetView>
  </sheetViews>
  <sheetFormatPr baseColWidth="10" defaultRowHeight="12.75"/>
  <cols>
    <col min="1" max="1" width="23" customWidth="1"/>
    <col min="2" max="2" width="13" customWidth="1"/>
    <col min="3" max="3" width="13.7109375" customWidth="1"/>
    <col min="4" max="4" width="12.5703125" customWidth="1"/>
    <col min="5" max="5" width="11.85546875" bestFit="1" customWidth="1"/>
    <col min="8" max="8" width="16.42578125" customWidth="1"/>
    <col min="9" max="9" width="14" customWidth="1"/>
    <col min="10" max="10" width="16.140625" customWidth="1"/>
    <col min="11" max="11" width="13.42578125" customWidth="1"/>
    <col min="12" max="12" width="13.85546875" customWidth="1"/>
  </cols>
  <sheetData>
    <row r="1" spans="1:1">
      <c r="A1" s="2609" t="s">
        <v>1554</v>
      </c>
    </row>
    <row r="2" spans="1:1">
      <c r="A2" s="2609" t="s">
        <v>1555</v>
      </c>
    </row>
    <row r="3" spans="1:1">
      <c r="A3" s="2609" t="s">
        <v>1556</v>
      </c>
    </row>
    <row r="5" spans="1:1">
      <c r="A5" s="2609" t="s">
        <v>1577</v>
      </c>
    </row>
    <row r="6" spans="1:1">
      <c r="A6" s="2609" t="s">
        <v>1584</v>
      </c>
    </row>
    <row r="7" spans="1:1">
      <c r="A7" s="2609" t="s">
        <v>1585</v>
      </c>
    </row>
    <row r="9" spans="1:1">
      <c r="A9" s="2609" t="s">
        <v>1578</v>
      </c>
    </row>
    <row r="10" spans="1:1">
      <c r="A10" s="2609" t="s">
        <v>1579</v>
      </c>
    </row>
    <row r="11" spans="1:1">
      <c r="A11" s="2609" t="s">
        <v>1580</v>
      </c>
    </row>
    <row r="13" spans="1:1">
      <c r="A13" s="2609" t="s">
        <v>1581</v>
      </c>
    </row>
    <row r="14" spans="1:1">
      <c r="A14" s="2609" t="s">
        <v>1582</v>
      </c>
    </row>
    <row r="15" spans="1:1">
      <c r="A15" s="2609" t="s">
        <v>1583</v>
      </c>
    </row>
    <row r="16" spans="1:1">
      <c r="A16" s="2642" t="s">
        <v>1587</v>
      </c>
    </row>
    <row r="17" spans="1:6">
      <c r="A17" s="2609"/>
      <c r="B17" s="2609" t="s">
        <v>1588</v>
      </c>
      <c r="C17" s="2645">
        <f>2*20000</f>
        <v>40000</v>
      </c>
    </row>
    <row r="18" spans="1:6">
      <c r="A18" s="2609"/>
      <c r="B18" s="2609" t="s">
        <v>1383</v>
      </c>
      <c r="C18" s="2645">
        <f>(15000+15000+15000+25000+60000)/24</f>
        <v>5416.666666666667</v>
      </c>
      <c r="D18" s="2609" t="s">
        <v>1597</v>
      </c>
    </row>
    <row r="19" spans="1:6">
      <c r="A19" s="2609"/>
      <c r="B19" s="2609" t="s">
        <v>1589</v>
      </c>
      <c r="C19" s="2645">
        <v>20000</v>
      </c>
    </row>
    <row r="20" spans="1:6">
      <c r="A20" s="2609"/>
      <c r="B20" s="2609" t="s">
        <v>1590</v>
      </c>
      <c r="C20" s="2645">
        <v>2500</v>
      </c>
    </row>
    <row r="21" spans="1:6">
      <c r="A21" s="2609"/>
      <c r="B21" s="2642" t="s">
        <v>1593</v>
      </c>
      <c r="C21" s="2701">
        <f>SUM(C17:C20)</f>
        <v>67916.666666666657</v>
      </c>
    </row>
    <row r="22" spans="1:6">
      <c r="A22" s="2609" t="s">
        <v>1586</v>
      </c>
    </row>
    <row r="23" spans="1:6">
      <c r="A23" s="2609" t="s">
        <v>1591</v>
      </c>
    </row>
    <row r="24" spans="1:6">
      <c r="A24" s="2609" t="s">
        <v>1592</v>
      </c>
    </row>
    <row r="25" spans="1:6">
      <c r="A25" s="2609"/>
    </row>
    <row r="26" spans="1:6">
      <c r="A26" s="2642" t="s">
        <v>1629</v>
      </c>
    </row>
    <row r="27" spans="1:6" ht="15">
      <c r="A27" s="2596" t="s">
        <v>1629</v>
      </c>
      <c r="B27" s="2597">
        <v>2016</v>
      </c>
      <c r="C27" s="2597">
        <v>2017</v>
      </c>
      <c r="D27" s="2597">
        <v>2018</v>
      </c>
      <c r="F27" s="2609" t="s">
        <v>1632</v>
      </c>
    </row>
    <row r="28" spans="1:6">
      <c r="A28" s="2598" t="s">
        <v>1444</v>
      </c>
      <c r="B28" s="2607">
        <v>0</v>
      </c>
      <c r="C28" s="2607">
        <f>'Mercado potencial'!F72*0.3*0.87</f>
        <v>57.92662094957852</v>
      </c>
      <c r="D28" s="2607">
        <f>'Mercado potencial'!G72*0.3*0.87</f>
        <v>149.0241236363056</v>
      </c>
      <c r="F28" s="2609" t="s">
        <v>1630</v>
      </c>
    </row>
    <row r="29" spans="1:6">
      <c r="A29" s="2598" t="s">
        <v>1445</v>
      </c>
      <c r="B29" s="2607">
        <v>0</v>
      </c>
      <c r="C29" s="2607">
        <f>'Mercado potencial'!F73*0.3*0.87</f>
        <v>60.783097191459014</v>
      </c>
      <c r="D29" s="2607">
        <f>'Mercado potencial'!G73*0.3*0.87</f>
        <v>155.55112167220213</v>
      </c>
      <c r="F29" s="2609" t="s">
        <v>1633</v>
      </c>
    </row>
    <row r="30" spans="1:6">
      <c r="A30" s="2598" t="s">
        <v>1446</v>
      </c>
      <c r="B30" s="2607">
        <f>'Mercado potencial'!E74*0.3*0.87</f>
        <v>13.963286176924504</v>
      </c>
      <c r="C30" s="2607">
        <f>'Mercado potencial'!F74*0.3*0.87</f>
        <v>72.68069471578653</v>
      </c>
      <c r="D30" s="2607">
        <f>'Mercado potencial'!G74*0.3*0.87</f>
        <v>162.07811970809863</v>
      </c>
      <c r="F30" s="2609" t="s">
        <v>1631</v>
      </c>
    </row>
    <row r="31" spans="1:6">
      <c r="A31" s="2598" t="s">
        <v>1447</v>
      </c>
      <c r="B31" s="2607">
        <f>'Mercado potencial'!E75*0.3*0.87</f>
        <v>18.617714902566004</v>
      </c>
      <c r="C31" s="2607">
        <f>'Mercado potencial'!F75*0.3*0.87</f>
        <v>78.289878051816032</v>
      </c>
      <c r="D31" s="2607">
        <f>'Mercado potencial'!G75*0.3*0.87</f>
        <v>168.60511774399521</v>
      </c>
    </row>
    <row r="32" spans="1:6">
      <c r="A32" s="2598" t="s">
        <v>1448</v>
      </c>
      <c r="B32" s="2607">
        <f>'Mercado potencial'!E76*0.3*0.87</f>
        <v>23.272143628207505</v>
      </c>
      <c r="C32" s="2607">
        <f>'Mercado potencial'!F76*0.3*0.87</f>
        <v>83.899061387845521</v>
      </c>
      <c r="D32" s="2607">
        <f>'Mercado potencial'!G76*0.3*0.87</f>
        <v>175.13211577989173</v>
      </c>
      <c r="F32" s="2609" t="s">
        <v>1636</v>
      </c>
    </row>
    <row r="33" spans="1:4">
      <c r="A33" s="2598" t="s">
        <v>1449</v>
      </c>
      <c r="B33" s="2607">
        <f>'Mercado potencial'!E77*0.3*0.87</f>
        <v>27.926572353849007</v>
      </c>
      <c r="C33" s="2607">
        <f>'Mercado potencial'!F77*0.3*0.87</f>
        <v>89.508244723875038</v>
      </c>
      <c r="D33" s="2607">
        <f>'Mercado potencial'!G77*0.3*0.87</f>
        <v>181.65911381578823</v>
      </c>
    </row>
    <row r="34" spans="1:4">
      <c r="A34" s="2598" t="s">
        <v>1450</v>
      </c>
      <c r="B34" s="2607">
        <f>'Mercado potencial'!E78*0.3*0.87</f>
        <v>32.581001079490505</v>
      </c>
      <c r="C34" s="2607">
        <f>'Mercado potencial'!F78*0.3*0.87</f>
        <v>95.639428059904532</v>
      </c>
      <c r="D34" s="2607">
        <f>'Mercado potencial'!G78*0.3*0.87</f>
        <v>188.18611185168481</v>
      </c>
    </row>
    <row r="35" spans="1:4">
      <c r="A35" s="2598" t="s">
        <v>1451</v>
      </c>
      <c r="B35" s="2607">
        <f>'Mercado potencial'!E79*0.3*0.87</f>
        <v>37.235429805132007</v>
      </c>
      <c r="C35" s="2607">
        <f>'Mercado potencial'!F79*0.3*0.87</f>
        <v>102.55361139593401</v>
      </c>
      <c r="D35" s="2607">
        <f>'Mercado potencial'!G79*0.3*0.87</f>
        <v>194.71310988758134</v>
      </c>
    </row>
    <row r="36" spans="1:4">
      <c r="A36" s="2598" t="s">
        <v>1452</v>
      </c>
      <c r="B36" s="2607">
        <f>'Mercado potencial'!E80*0.3*0.87</f>
        <v>41.889858530773509</v>
      </c>
      <c r="C36" s="2607">
        <f>'Mercado potencial'!F80*0.3*0.87</f>
        <v>116.00268516214203</v>
      </c>
      <c r="D36" s="2607">
        <f>'Mercado potencial'!G80*0.3*0.87</f>
        <v>201.24010792347786</v>
      </c>
    </row>
    <row r="37" spans="1:4">
      <c r="A37" s="2598" t="s">
        <v>1453</v>
      </c>
      <c r="B37" s="2607">
        <f>'Mercado potencial'!E81*0.3*0.87</f>
        <v>46.544287256415011</v>
      </c>
      <c r="C37" s="2607">
        <f>'Mercado potencial'!F81*0.3*0.87</f>
        <v>124.83416530823102</v>
      </c>
      <c r="D37" s="2607">
        <f>'Mercado potencial'!G81*0.3*0.87</f>
        <v>207.76710595937442</v>
      </c>
    </row>
    <row r="38" spans="1:4">
      <c r="A38" s="2598" t="s">
        <v>1454</v>
      </c>
      <c r="B38" s="2607">
        <f>'Mercado potencial'!E82*0.3*0.87</f>
        <v>51.198715982056505</v>
      </c>
      <c r="C38" s="2607">
        <f>'Mercado potencial'!F82*0.3*0.87</f>
        <v>133.66564545432004</v>
      </c>
      <c r="D38" s="2607">
        <f>'Mercado potencial'!G82*0.3*0.87</f>
        <v>214.29410399527094</v>
      </c>
    </row>
    <row r="39" spans="1:4">
      <c r="A39" s="2598" t="s">
        <v>1455</v>
      </c>
      <c r="B39" s="2607">
        <f>'Mercado potencial'!E83*0.3*0.87</f>
        <v>55.853144707698014</v>
      </c>
      <c r="C39" s="2607">
        <f>'Mercado potencial'!F83*0.3*0.87</f>
        <v>142.49712560040905</v>
      </c>
      <c r="D39" s="2607">
        <f>'Mercado potencial'!G83*0.3*0.87</f>
        <v>220.82110203116747</v>
      </c>
    </row>
    <row r="40" spans="1:4">
      <c r="A40" s="2603" t="s">
        <v>1456</v>
      </c>
      <c r="B40" s="2608">
        <f>SUM(B28:B39)</f>
        <v>349.08215442311251</v>
      </c>
      <c r="C40" s="2608">
        <f>SUM(C28:C39)</f>
        <v>1158.2802580013013</v>
      </c>
      <c r="D40" s="2608">
        <f>SUM(D28:D39)</f>
        <v>2219.0713540048382</v>
      </c>
    </row>
    <row r="42" spans="1:4">
      <c r="A42" s="2642" t="s">
        <v>1643</v>
      </c>
    </row>
    <row r="43" spans="1:4">
      <c r="A43" s="2609" t="s">
        <v>1637</v>
      </c>
    </row>
    <row r="44" spans="1:4">
      <c r="A44" s="2609" t="s">
        <v>1638</v>
      </c>
      <c r="B44" s="2657">
        <f>525/100-1+0.123+0.098</f>
        <v>4.4710000000000001</v>
      </c>
    </row>
    <row r="45" spans="1:4">
      <c r="A45" s="2609" t="s">
        <v>1639</v>
      </c>
      <c r="C45" s="2712">
        <v>1.3</v>
      </c>
    </row>
    <row r="46" spans="1:4">
      <c r="A46" s="2609" t="s">
        <v>1640</v>
      </c>
    </row>
    <row r="47" spans="1:4">
      <c r="A47" s="2609" t="s">
        <v>1642</v>
      </c>
    </row>
    <row r="48" spans="1:4">
      <c r="A48" s="2609" t="s">
        <v>1641</v>
      </c>
      <c r="C48" s="2713">
        <f>C45*1.3*B44</f>
        <v>7.5559900000000013</v>
      </c>
    </row>
    <row r="49" spans="1:11">
      <c r="A49" s="2609"/>
    </row>
    <row r="50" spans="1:11" ht="25.5">
      <c r="A50" s="2596" t="s">
        <v>1644</v>
      </c>
      <c r="B50" s="2597">
        <v>2016</v>
      </c>
      <c r="C50" s="2597">
        <v>2017</v>
      </c>
      <c r="D50" s="2597">
        <v>2018</v>
      </c>
      <c r="H50" s="2596" t="s">
        <v>1645</v>
      </c>
      <c r="I50" s="2597">
        <v>2016</v>
      </c>
      <c r="J50" s="2597">
        <v>2017</v>
      </c>
      <c r="K50" s="2597">
        <v>2018</v>
      </c>
    </row>
    <row r="51" spans="1:11">
      <c r="A51" s="2598" t="s">
        <v>1444</v>
      </c>
      <c r="B51" s="2761">
        <f>ROUND('Costo logístico'!G12/(0.4*0.5*0.4*0.75),0)</f>
        <v>1</v>
      </c>
      <c r="C51" s="2761">
        <f>ROUND('Costo logístico'!H12/(0.4*0.5*0.4*0.75),0)</f>
        <v>108</v>
      </c>
      <c r="D51" s="2761">
        <f>ROUND('Costo logístico'!I12/(0.4*0.5*0.4*0.75),0)</f>
        <v>277</v>
      </c>
      <c r="H51" s="2598" t="s">
        <v>1444</v>
      </c>
      <c r="I51" s="2607">
        <f>B51*$C$48/1000</f>
        <v>7.5559900000000011E-3</v>
      </c>
      <c r="J51" s="2607">
        <f t="shared" ref="J51:K62" si="0">C51*$C$48/1000</f>
        <v>0.81604692000000012</v>
      </c>
      <c r="K51" s="2607">
        <f t="shared" si="0"/>
        <v>2.0930092300000007</v>
      </c>
    </row>
    <row r="52" spans="1:11">
      <c r="A52" s="2598" t="s">
        <v>1445</v>
      </c>
      <c r="B52" s="2761">
        <f>ROUND('Costo logístico'!G13/(0.4*0.5*0.4*0.75),0)</f>
        <v>3</v>
      </c>
      <c r="C52" s="2761">
        <f>ROUND('Costo logístico'!H13/(0.4*0.5*0.4*0.75),0)</f>
        <v>113</v>
      </c>
      <c r="D52" s="2761">
        <f>ROUND('Costo logístico'!I13/(0.4*0.5*0.4*0.75),0)</f>
        <v>289</v>
      </c>
      <c r="H52" s="2598" t="s">
        <v>1445</v>
      </c>
      <c r="I52" s="2607">
        <f t="shared" ref="I52:I62" si="1">B52*$C$48/1000</f>
        <v>2.2667970000000003E-2</v>
      </c>
      <c r="J52" s="2607">
        <f t="shared" si="0"/>
        <v>0.85382687000000013</v>
      </c>
      <c r="K52" s="2607">
        <f t="shared" si="0"/>
        <v>2.1836811100000006</v>
      </c>
    </row>
    <row r="53" spans="1:11">
      <c r="A53" s="2598" t="s">
        <v>1446</v>
      </c>
      <c r="B53" s="2761">
        <f>ROUND('Costo logístico'!G14/(0.4*0.5*0.4*0.75),0)</f>
        <v>26</v>
      </c>
      <c r="C53" s="2761">
        <f>ROUND('Costo logístico'!H14/(0.4*0.5*0.4*0.75),0)</f>
        <v>135</v>
      </c>
      <c r="D53" s="2761">
        <f>ROUND('Costo logístico'!I14/(0.4*0.5*0.4*0.75),0)</f>
        <v>301</v>
      </c>
      <c r="H53" s="2598" t="s">
        <v>1446</v>
      </c>
      <c r="I53" s="2607">
        <f t="shared" si="1"/>
        <v>0.19645574000000005</v>
      </c>
      <c r="J53" s="2607">
        <f t="shared" si="0"/>
        <v>1.0200586500000002</v>
      </c>
      <c r="K53" s="2607">
        <f t="shared" si="0"/>
        <v>2.2743529900000001</v>
      </c>
    </row>
    <row r="54" spans="1:11">
      <c r="A54" s="2598" t="s">
        <v>1447</v>
      </c>
      <c r="B54" s="2761">
        <f>ROUND('Costo logístico'!G15/(0.4*0.5*0.4*0.75),0)</f>
        <v>35</v>
      </c>
      <c r="C54" s="2761">
        <f>ROUND('Costo logístico'!H15/(0.4*0.5*0.4*0.75),0)</f>
        <v>145</v>
      </c>
      <c r="D54" s="2761">
        <f>ROUND('Costo logístico'!I15/(0.4*0.5*0.4*0.75),0)</f>
        <v>313</v>
      </c>
      <c r="H54" s="2598" t="s">
        <v>1447</v>
      </c>
      <c r="I54" s="2607">
        <f t="shared" si="1"/>
        <v>0.26445965000000005</v>
      </c>
      <c r="J54" s="2607">
        <f t="shared" si="0"/>
        <v>1.0956185500000002</v>
      </c>
      <c r="K54" s="2607">
        <f t="shared" si="0"/>
        <v>2.3650248700000001</v>
      </c>
    </row>
    <row r="55" spans="1:11">
      <c r="A55" s="2598" t="s">
        <v>1448</v>
      </c>
      <c r="B55" s="2761">
        <f>ROUND('Costo logístico'!G16/(0.4*0.5*0.4*0.75),0)</f>
        <v>43</v>
      </c>
      <c r="C55" s="2761">
        <f>ROUND('Costo logístico'!H16/(0.4*0.5*0.4*0.75),0)</f>
        <v>156</v>
      </c>
      <c r="D55" s="2761">
        <f>ROUND('Costo logístico'!I16/(0.4*0.5*0.4*0.75),0)</f>
        <v>325</v>
      </c>
      <c r="H55" s="2598" t="s">
        <v>1448</v>
      </c>
      <c r="I55" s="2607">
        <f t="shared" si="1"/>
        <v>0.32490757000000009</v>
      </c>
      <c r="J55" s="2607">
        <f t="shared" si="0"/>
        <v>1.1787344400000002</v>
      </c>
      <c r="K55" s="2607">
        <f t="shared" si="0"/>
        <v>2.4556967500000004</v>
      </c>
    </row>
    <row r="56" spans="1:11">
      <c r="A56" s="2598" t="s">
        <v>1449</v>
      </c>
      <c r="B56" s="2761">
        <f>ROUND('Costo logístico'!G17/(0.4*0.5*0.4*0.75),0)</f>
        <v>52</v>
      </c>
      <c r="C56" s="2761">
        <f>ROUND('Costo logístico'!H17/(0.4*0.5*0.4*0.75),0)</f>
        <v>166</v>
      </c>
      <c r="D56" s="2761">
        <f>ROUND('Costo logístico'!I17/(0.4*0.5*0.4*0.75),0)</f>
        <v>337</v>
      </c>
      <c r="H56" s="2598" t="s">
        <v>1449</v>
      </c>
      <c r="I56" s="2607">
        <f t="shared" si="1"/>
        <v>0.39291148000000009</v>
      </c>
      <c r="J56" s="2607">
        <f t="shared" si="0"/>
        <v>1.2542943400000002</v>
      </c>
      <c r="K56" s="2607">
        <f t="shared" si="0"/>
        <v>2.5463686300000004</v>
      </c>
    </row>
    <row r="57" spans="1:11">
      <c r="A57" s="2598" t="s">
        <v>1450</v>
      </c>
      <c r="B57" s="2761">
        <f>ROUND('Costo logístico'!G18/(0.4*0.5*0.4*0.75),0)</f>
        <v>61</v>
      </c>
      <c r="C57" s="2761">
        <f>ROUND('Costo logístico'!H18/(0.4*0.5*0.4*0.75),0)</f>
        <v>178</v>
      </c>
      <c r="D57" s="2761">
        <f>ROUND('Costo logístico'!I18/(0.4*0.5*0.4*0.75),0)</f>
        <v>349</v>
      </c>
      <c r="H57" s="2598" t="s">
        <v>1450</v>
      </c>
      <c r="I57" s="2607">
        <f t="shared" si="1"/>
        <v>0.46091539000000004</v>
      </c>
      <c r="J57" s="2607">
        <f t="shared" si="0"/>
        <v>1.3449662200000003</v>
      </c>
      <c r="K57" s="2607">
        <f t="shared" si="0"/>
        <v>2.6370405100000003</v>
      </c>
    </row>
    <row r="58" spans="1:11">
      <c r="A58" s="2598" t="s">
        <v>1451</v>
      </c>
      <c r="B58" s="2761">
        <f>ROUND('Costo logístico'!G19/(0.4*0.5*0.4*0.75),0)</f>
        <v>69</v>
      </c>
      <c r="C58" s="2761">
        <f>ROUND('Costo logístico'!H19/(0.4*0.5*0.4*0.75),0)</f>
        <v>190</v>
      </c>
      <c r="D58" s="2761">
        <f>ROUND('Costo logístico'!I19/(0.4*0.5*0.4*0.75),0)</f>
        <v>362</v>
      </c>
      <c r="H58" s="2598" t="s">
        <v>1451</v>
      </c>
      <c r="I58" s="2607">
        <f t="shared" si="1"/>
        <v>0.52136331000000002</v>
      </c>
      <c r="J58" s="2607">
        <f t="shared" si="0"/>
        <v>1.4356381000000003</v>
      </c>
      <c r="K58" s="2607">
        <f t="shared" si="0"/>
        <v>2.7352683800000004</v>
      </c>
    </row>
    <row r="59" spans="1:11">
      <c r="A59" s="2598" t="s">
        <v>1452</v>
      </c>
      <c r="B59" s="2761">
        <f>ROUND('Costo logístico'!G20/(0.4*0.5*0.4*0.75),0)</f>
        <v>78</v>
      </c>
      <c r="C59" s="2761">
        <f>ROUND('Costo logístico'!H20/(0.4*0.5*0.4*0.75),0)</f>
        <v>215</v>
      </c>
      <c r="D59" s="2761">
        <f>ROUND('Costo logístico'!I20/(0.4*0.5*0.4*0.75),0)</f>
        <v>374</v>
      </c>
      <c r="H59" s="2598" t="s">
        <v>1452</v>
      </c>
      <c r="I59" s="2607">
        <f t="shared" si="1"/>
        <v>0.58936722000000008</v>
      </c>
      <c r="J59" s="2607">
        <f t="shared" si="0"/>
        <v>1.6245378500000003</v>
      </c>
      <c r="K59" s="2607">
        <f t="shared" si="0"/>
        <v>2.8259402600000003</v>
      </c>
    </row>
    <row r="60" spans="1:11">
      <c r="A60" s="2598" t="s">
        <v>1453</v>
      </c>
      <c r="B60" s="2761">
        <f>ROUND('Costo logístico'!G21/(0.4*0.5*0.4*0.75),0)</f>
        <v>86</v>
      </c>
      <c r="C60" s="2761">
        <f>ROUND('Costo logístico'!H21/(0.4*0.5*0.4*0.75),0)</f>
        <v>232</v>
      </c>
      <c r="D60" s="2761">
        <f>ROUND('Costo logístico'!I21/(0.4*0.5*0.4*0.75),0)</f>
        <v>386</v>
      </c>
      <c r="H60" s="2598" t="s">
        <v>1453</v>
      </c>
      <c r="I60" s="2607">
        <f t="shared" si="1"/>
        <v>0.64981514000000018</v>
      </c>
      <c r="J60" s="2607">
        <f t="shared" si="0"/>
        <v>1.7529896800000004</v>
      </c>
      <c r="K60" s="2607">
        <f t="shared" si="0"/>
        <v>2.9166121400000007</v>
      </c>
    </row>
    <row r="61" spans="1:11">
      <c r="A61" s="2598" t="s">
        <v>1454</v>
      </c>
      <c r="B61" s="2761">
        <f>ROUND('Costo logístico'!G22/(0.4*0.5*0.4*0.75),0)</f>
        <v>95</v>
      </c>
      <c r="C61" s="2761">
        <f>ROUND('Costo logístico'!H22/(0.4*0.5*0.4*0.75),0)</f>
        <v>248</v>
      </c>
      <c r="D61" s="2761">
        <f>ROUND('Costo logístico'!I22/(0.4*0.5*0.4*0.75),0)</f>
        <v>398</v>
      </c>
      <c r="H61" s="2598" t="s">
        <v>1454</v>
      </c>
      <c r="I61" s="2607">
        <f t="shared" si="1"/>
        <v>0.71781905000000013</v>
      </c>
      <c r="J61" s="2607">
        <f t="shared" si="0"/>
        <v>1.8738855200000002</v>
      </c>
      <c r="K61" s="2607">
        <f t="shared" si="0"/>
        <v>3.0072840200000006</v>
      </c>
    </row>
    <row r="62" spans="1:11">
      <c r="A62" s="2598" t="s">
        <v>1455</v>
      </c>
      <c r="B62" s="2761">
        <f>ROUND('Costo logístico'!G23/(0.4*0.5*0.4*0.75),0)</f>
        <v>104</v>
      </c>
      <c r="C62" s="2761">
        <f>ROUND('Costo logístico'!H23/(0.4*0.5*0.4*0.75),0)</f>
        <v>265</v>
      </c>
      <c r="D62" s="2761">
        <f>ROUND('Costo logístico'!I23/(0.4*0.5*0.4*0.75),0)</f>
        <v>410</v>
      </c>
      <c r="H62" s="2598" t="s">
        <v>1455</v>
      </c>
      <c r="I62" s="2607">
        <f t="shared" si="1"/>
        <v>0.78582296000000018</v>
      </c>
      <c r="J62" s="2607">
        <f t="shared" si="0"/>
        <v>2.0023373500000003</v>
      </c>
      <c r="K62" s="2607">
        <f t="shared" si="0"/>
        <v>3.0979559000000005</v>
      </c>
    </row>
    <row r="63" spans="1:11">
      <c r="A63" s="2603" t="s">
        <v>1456</v>
      </c>
      <c r="B63" s="2762">
        <f>SUM(B51:B62)</f>
        <v>653</v>
      </c>
      <c r="C63" s="2762">
        <f>SUM(C51:C62)</f>
        <v>2151</v>
      </c>
      <c r="D63" s="2762">
        <f>SUM(D51:D62)</f>
        <v>4121</v>
      </c>
      <c r="H63" s="2603" t="s">
        <v>1456</v>
      </c>
      <c r="I63" s="2608">
        <f>SUM(I51:I62)</f>
        <v>4.9340614700000005</v>
      </c>
      <c r="J63" s="2608">
        <f>SUM(J51:J62)</f>
        <v>16.252934490000005</v>
      </c>
      <c r="K63" s="2608">
        <f>SUM(K51:K62)</f>
        <v>31.138234790000006</v>
      </c>
    </row>
    <row r="64" spans="1:11">
      <c r="A64" s="2609"/>
    </row>
    <row r="65" spans="1:11">
      <c r="A65" s="2642" t="s">
        <v>1668</v>
      </c>
    </row>
    <row r="66" spans="1:11">
      <c r="A66" s="2609" t="s">
        <v>1669</v>
      </c>
      <c r="E66" s="2609" t="s">
        <v>1680</v>
      </c>
    </row>
    <row r="67" spans="1:11">
      <c r="A67" s="2609" t="s">
        <v>1670</v>
      </c>
      <c r="B67" s="2609" t="s">
        <v>1671</v>
      </c>
    </row>
    <row r="68" spans="1:11" ht="25.5">
      <c r="A68" s="2609" t="s">
        <v>1672</v>
      </c>
      <c r="B68" s="2609" t="s">
        <v>1673</v>
      </c>
      <c r="C68" s="2609" t="s">
        <v>1674</v>
      </c>
      <c r="H68" s="2596" t="s">
        <v>1682</v>
      </c>
      <c r="I68" s="2597">
        <v>2016</v>
      </c>
      <c r="J68" s="2597">
        <v>2017</v>
      </c>
      <c r="K68" s="2597">
        <v>2018</v>
      </c>
    </row>
    <row r="69" spans="1:11">
      <c r="A69" s="2609" t="s">
        <v>1675</v>
      </c>
      <c r="B69" s="2609" t="s">
        <v>1676</v>
      </c>
      <c r="H69" s="2598" t="s">
        <v>1444</v>
      </c>
      <c r="I69" s="2852">
        <f>20%*I81</f>
        <v>10.771836150900004</v>
      </c>
      <c r="J69" s="2852">
        <f>20%*J81</f>
        <v>35.502843157128012</v>
      </c>
      <c r="K69" s="2852">
        <f>20%*K81</f>
        <v>68.017512766431835</v>
      </c>
    </row>
    <row r="70" spans="1:11">
      <c r="A70" s="2609" t="s">
        <v>1679</v>
      </c>
      <c r="B70" s="2609"/>
      <c r="C70" s="2609" t="s">
        <v>1671</v>
      </c>
      <c r="H70" s="2598" t="s">
        <v>1445</v>
      </c>
      <c r="I70" s="2852"/>
      <c r="J70" s="2852"/>
      <c r="K70" s="2852"/>
    </row>
    <row r="71" spans="1:11">
      <c r="A71" s="2733" t="s">
        <v>1677</v>
      </c>
      <c r="B71" s="2609" t="s">
        <v>1676</v>
      </c>
      <c r="H71" s="2598" t="s">
        <v>1446</v>
      </c>
      <c r="I71" s="2852"/>
      <c r="J71" s="2852"/>
      <c r="K71" s="2852"/>
    </row>
    <row r="72" spans="1:11">
      <c r="A72" s="2609" t="s">
        <v>1678</v>
      </c>
      <c r="B72" s="2609" t="s">
        <v>1681</v>
      </c>
      <c r="H72" s="2598" t="s">
        <v>1447</v>
      </c>
      <c r="I72" s="2852">
        <f>30%*I81</f>
        <v>16.157754226350004</v>
      </c>
      <c r="J72" s="2852">
        <f>30%*J81</f>
        <v>53.254264735692018</v>
      </c>
      <c r="K72" s="2852">
        <f>30%*K81</f>
        <v>102.02626914964775</v>
      </c>
    </row>
    <row r="73" spans="1:11">
      <c r="A73" s="2609"/>
      <c r="H73" s="2598" t="s">
        <v>1448</v>
      </c>
      <c r="I73" s="2852"/>
      <c r="J73" s="2852"/>
      <c r="K73" s="2852"/>
    </row>
    <row r="74" spans="1:11">
      <c r="A74" s="2609"/>
      <c r="H74" s="2598" t="s">
        <v>1449</v>
      </c>
      <c r="I74" s="2852"/>
      <c r="J74" s="2852"/>
      <c r="K74" s="2852"/>
    </row>
    <row r="75" spans="1:11">
      <c r="A75" s="2752" t="s">
        <v>1749</v>
      </c>
      <c r="B75" s="2753" t="s">
        <v>1756</v>
      </c>
      <c r="C75" s="2753" t="s">
        <v>1757</v>
      </c>
      <c r="D75" s="2753" t="s">
        <v>1763</v>
      </c>
      <c r="E75" s="2753" t="s">
        <v>1759</v>
      </c>
      <c r="F75" s="2753" t="s">
        <v>1769</v>
      </c>
      <c r="H75" s="2598" t="s">
        <v>1450</v>
      </c>
      <c r="I75" s="2852">
        <f>30%*I81</f>
        <v>16.157754226350004</v>
      </c>
      <c r="J75" s="2852">
        <f>30%*J81</f>
        <v>53.254264735692018</v>
      </c>
      <c r="K75" s="2852">
        <f>30%*K81</f>
        <v>102.02626914964775</v>
      </c>
    </row>
    <row r="76" spans="1:11">
      <c r="A76" s="2754">
        <v>2016</v>
      </c>
      <c r="B76" s="2755"/>
      <c r="C76" s="2755"/>
      <c r="D76" s="2755"/>
      <c r="E76" s="2755"/>
      <c r="F76" s="2755"/>
      <c r="H76" s="2598" t="s">
        <v>1451</v>
      </c>
      <c r="I76" s="2852"/>
      <c r="J76" s="2852"/>
      <c r="K76" s="2852"/>
    </row>
    <row r="77" spans="1:11">
      <c r="A77" s="2690" t="s">
        <v>1750</v>
      </c>
      <c r="B77" s="2690" t="s">
        <v>20</v>
      </c>
      <c r="C77" s="2690" t="s">
        <v>20</v>
      </c>
      <c r="D77" s="2690" t="s">
        <v>20</v>
      </c>
      <c r="E77" s="2690" t="s">
        <v>20</v>
      </c>
      <c r="F77" s="2756"/>
      <c r="H77" s="2598" t="s">
        <v>1452</v>
      </c>
      <c r="I77" s="2852"/>
      <c r="J77" s="2852"/>
      <c r="K77" s="2852"/>
    </row>
    <row r="78" spans="1:11">
      <c r="A78" s="2690" t="s">
        <v>1751</v>
      </c>
      <c r="B78" s="2690" t="s">
        <v>1430</v>
      </c>
      <c r="C78" s="2690" t="s">
        <v>1764</v>
      </c>
      <c r="D78" s="2690" t="s">
        <v>1766</v>
      </c>
      <c r="E78" s="2757">
        <f>$J$84*10%</f>
        <v>600</v>
      </c>
      <c r="F78" s="2756">
        <f>$I$84*10%</f>
        <v>200</v>
      </c>
      <c r="H78" s="2598" t="s">
        <v>1453</v>
      </c>
      <c r="I78" s="2852">
        <f>20%*I81</f>
        <v>10.771836150900004</v>
      </c>
      <c r="J78" s="2852">
        <f>20%*J81</f>
        <v>35.502843157128012</v>
      </c>
      <c r="K78" s="2852">
        <f>20%*K81</f>
        <v>68.017512766431835</v>
      </c>
    </row>
    <row r="79" spans="1:11">
      <c r="A79" s="2690"/>
      <c r="B79" s="2690" t="s">
        <v>1430</v>
      </c>
      <c r="C79" s="2690" t="s">
        <v>1764</v>
      </c>
      <c r="D79" s="2690" t="s">
        <v>1771</v>
      </c>
      <c r="E79" s="2757">
        <f>$J$84*10%</f>
        <v>600</v>
      </c>
      <c r="F79" s="2756">
        <f>$I$84*10%</f>
        <v>200</v>
      </c>
      <c r="H79" s="2598" t="s">
        <v>1454</v>
      </c>
      <c r="I79" s="2852"/>
      <c r="J79" s="2852"/>
      <c r="K79" s="2852"/>
    </row>
    <row r="80" spans="1:11">
      <c r="A80" s="2690"/>
      <c r="B80" s="2690" t="s">
        <v>1430</v>
      </c>
      <c r="C80" s="2690" t="s">
        <v>1764</v>
      </c>
      <c r="D80" s="2690" t="s">
        <v>1765</v>
      </c>
      <c r="E80" s="2757">
        <f>$J$84*30%</f>
        <v>1800</v>
      </c>
      <c r="F80" s="2756">
        <f>$I$84*30%</f>
        <v>600</v>
      </c>
      <c r="H80" s="2598" t="s">
        <v>1455</v>
      </c>
      <c r="I80" s="2852"/>
      <c r="J80" s="2852"/>
      <c r="K80" s="2852"/>
    </row>
    <row r="81" spans="1:11">
      <c r="A81" s="2690"/>
      <c r="B81" s="2690" t="s">
        <v>1430</v>
      </c>
      <c r="C81" s="2690" t="s">
        <v>1767</v>
      </c>
      <c r="D81" s="2690" t="s">
        <v>1765</v>
      </c>
      <c r="E81" s="2757">
        <f>J85</f>
        <v>6000</v>
      </c>
      <c r="F81" s="2756">
        <f>I85</f>
        <v>10</v>
      </c>
      <c r="H81" s="2603" t="s">
        <v>1456</v>
      </c>
      <c r="I81" s="2608">
        <f>'Mercado potencial'!E84*4%</f>
        <v>53.859180754500017</v>
      </c>
      <c r="J81" s="2608">
        <f>'Mercado potencial'!F84*4%</f>
        <v>177.51421578564006</v>
      </c>
      <c r="K81" s="2608">
        <f>'Mercado potencial'!G84*4%</f>
        <v>340.08756383215916</v>
      </c>
    </row>
    <row r="82" spans="1:11">
      <c r="A82" s="2690" t="s">
        <v>1752</v>
      </c>
      <c r="B82" s="2690" t="s">
        <v>1430</v>
      </c>
      <c r="C82" s="2690" t="s">
        <v>1773</v>
      </c>
      <c r="D82" s="2690" t="s">
        <v>1781</v>
      </c>
      <c r="E82" s="2757">
        <f>H86</f>
        <v>10274.43686978283</v>
      </c>
      <c r="F82" s="2756">
        <v>1</v>
      </c>
    </row>
    <row r="83" spans="1:11">
      <c r="A83" s="2690" t="s">
        <v>1753</v>
      </c>
      <c r="B83" s="2690" t="s">
        <v>1431</v>
      </c>
      <c r="C83" s="2690" t="s">
        <v>1764</v>
      </c>
      <c r="D83" s="2690" t="s">
        <v>1766</v>
      </c>
      <c r="E83" s="2757">
        <f>$J$84*10%</f>
        <v>600</v>
      </c>
      <c r="F83" s="2756">
        <f>$I$84*10%</f>
        <v>200</v>
      </c>
      <c r="H83" s="2609" t="s">
        <v>1500</v>
      </c>
      <c r="I83" s="2609" t="s">
        <v>1769</v>
      </c>
      <c r="J83" s="2609" t="s">
        <v>1770</v>
      </c>
      <c r="K83" s="2609"/>
    </row>
    <row r="84" spans="1:11">
      <c r="A84" s="2690"/>
      <c r="B84" s="2690" t="s">
        <v>1431</v>
      </c>
      <c r="C84" s="2690" t="s">
        <v>1764</v>
      </c>
      <c r="D84" s="2690" t="s">
        <v>1771</v>
      </c>
      <c r="E84" s="2757">
        <f>$J$84*10%</f>
        <v>600</v>
      </c>
      <c r="F84" s="2756">
        <f>$I$84*10%</f>
        <v>200</v>
      </c>
      <c r="G84" s="2609" t="s">
        <v>1768</v>
      </c>
      <c r="H84" s="2645">
        <v>3</v>
      </c>
      <c r="I84">
        <v>2000</v>
      </c>
      <c r="J84" s="2645">
        <f>H84*I84</f>
        <v>6000</v>
      </c>
    </row>
    <row r="85" spans="1:11">
      <c r="A85" s="2690"/>
      <c r="B85" s="2690" t="s">
        <v>1431</v>
      </c>
      <c r="C85" s="2690" t="s">
        <v>1764</v>
      </c>
      <c r="D85" s="2690" t="s">
        <v>1765</v>
      </c>
      <c r="E85" s="2757">
        <f>$J$84*30%</f>
        <v>1800</v>
      </c>
      <c r="F85" s="2756">
        <f>$I$84*30%</f>
        <v>600</v>
      </c>
      <c r="G85" s="2609" t="s">
        <v>1772</v>
      </c>
      <c r="H85" s="2645">
        <v>600</v>
      </c>
      <c r="I85">
        <v>10</v>
      </c>
      <c r="J85" s="2645">
        <f>H85*I85</f>
        <v>6000</v>
      </c>
    </row>
    <row r="86" spans="1:11">
      <c r="A86" s="2690"/>
      <c r="B86" s="2690" t="s">
        <v>1431</v>
      </c>
      <c r="C86" s="2690" t="s">
        <v>1767</v>
      </c>
      <c r="D86" s="2690" t="s">
        <v>1765</v>
      </c>
      <c r="E86" s="2757">
        <f>E81</f>
        <v>6000</v>
      </c>
      <c r="F86" s="2756">
        <f>F81</f>
        <v>10</v>
      </c>
      <c r="G86" s="2609" t="s">
        <v>1773</v>
      </c>
      <c r="H86" s="2645">
        <f>('Costeo Productos'!D51*56+'Costeo Productos'!D53*7+'Costeo Productos'!D57*18)/I86</f>
        <v>10274.43686978283</v>
      </c>
      <c r="I86">
        <v>11</v>
      </c>
      <c r="J86" s="2645">
        <f>H86*I86</f>
        <v>113018.80556761114</v>
      </c>
    </row>
    <row r="87" spans="1:11">
      <c r="A87" s="2690" t="s">
        <v>1754</v>
      </c>
      <c r="B87" s="2690" t="s">
        <v>1431</v>
      </c>
      <c r="C87" s="2690" t="s">
        <v>1773</v>
      </c>
      <c r="D87" s="2690" t="s">
        <v>1775</v>
      </c>
      <c r="E87" s="2757">
        <f>H86</f>
        <v>10274.43686978283</v>
      </c>
      <c r="F87" s="2756">
        <v>1</v>
      </c>
      <c r="G87" s="2609" t="s">
        <v>1789</v>
      </c>
      <c r="H87" s="2645">
        <v>600</v>
      </c>
      <c r="I87">
        <v>15</v>
      </c>
      <c r="J87" s="2645">
        <f>H87*I87</f>
        <v>9000</v>
      </c>
    </row>
    <row r="88" spans="1:11" ht="25.5">
      <c r="A88" s="2690" t="s">
        <v>1755</v>
      </c>
      <c r="B88" s="2690" t="s">
        <v>1758</v>
      </c>
      <c r="C88" s="2690" t="s">
        <v>1776</v>
      </c>
      <c r="D88" s="2758" t="s">
        <v>1778</v>
      </c>
      <c r="E88" s="2757">
        <v>15000</v>
      </c>
      <c r="F88" s="2756"/>
    </row>
    <row r="89" spans="1:11">
      <c r="A89" s="2759" t="s">
        <v>1692</v>
      </c>
      <c r="B89" s="2759"/>
      <c r="C89" s="2759"/>
      <c r="D89" s="2759"/>
      <c r="E89" s="2760">
        <f>SUM(E77:E88)</f>
        <v>53548.873739565664</v>
      </c>
      <c r="F89" s="2759"/>
    </row>
    <row r="90" spans="1:11">
      <c r="A90" s="2754">
        <v>2017</v>
      </c>
      <c r="B90" s="2755"/>
      <c r="C90" s="2755"/>
      <c r="D90" s="2755"/>
      <c r="E90" s="2755"/>
      <c r="F90" s="2755"/>
    </row>
    <row r="91" spans="1:11">
      <c r="A91" s="2690" t="s">
        <v>1750</v>
      </c>
      <c r="B91" s="2690" t="s">
        <v>1761</v>
      </c>
      <c r="C91" s="2690" t="s">
        <v>1764</v>
      </c>
      <c r="D91" s="2690" t="s">
        <v>1766</v>
      </c>
      <c r="E91" s="2757">
        <f>$J$84*10%*2</f>
        <v>1200</v>
      </c>
      <c r="F91" s="2756">
        <f>$I$84*10%*2</f>
        <v>400</v>
      </c>
    </row>
    <row r="92" spans="1:11">
      <c r="A92" s="2690"/>
      <c r="B92" s="2690" t="s">
        <v>1761</v>
      </c>
      <c r="C92" s="2690" t="s">
        <v>1764</v>
      </c>
      <c r="D92" s="2690" t="s">
        <v>1771</v>
      </c>
      <c r="E92" s="2757">
        <f>$J$84*10%*2</f>
        <v>1200</v>
      </c>
      <c r="F92" s="2756">
        <f>$I$84*10%*2</f>
        <v>400</v>
      </c>
    </row>
    <row r="93" spans="1:11">
      <c r="A93" s="2690"/>
      <c r="B93" s="2690" t="s">
        <v>1761</v>
      </c>
      <c r="C93" s="2690" t="s">
        <v>1764</v>
      </c>
      <c r="D93" s="2690" t="s">
        <v>1765</v>
      </c>
      <c r="E93" s="2757">
        <f>$J$84*30%*2</f>
        <v>3600</v>
      </c>
      <c r="F93" s="2756">
        <f>$I$84*30%*2</f>
        <v>1200</v>
      </c>
    </row>
    <row r="94" spans="1:11">
      <c r="A94" s="2690"/>
      <c r="B94" s="2690" t="s">
        <v>1432</v>
      </c>
      <c r="C94" s="2690" t="s">
        <v>1767</v>
      </c>
      <c r="D94" s="2690" t="s">
        <v>1765</v>
      </c>
      <c r="E94" s="2757">
        <f>E86</f>
        <v>6000</v>
      </c>
      <c r="F94" s="2756">
        <f>F86</f>
        <v>10</v>
      </c>
    </row>
    <row r="95" spans="1:11">
      <c r="A95" s="2690"/>
      <c r="B95" s="2690" t="s">
        <v>1431</v>
      </c>
      <c r="C95" s="2690" t="s">
        <v>1788</v>
      </c>
      <c r="D95" s="2690" t="s">
        <v>1790</v>
      </c>
      <c r="E95" s="2757">
        <f>J87</f>
        <v>9000</v>
      </c>
      <c r="F95" s="2756">
        <f>I87</f>
        <v>15</v>
      </c>
    </row>
    <row r="96" spans="1:11">
      <c r="A96" s="2690" t="s">
        <v>1751</v>
      </c>
      <c r="B96" s="2690" t="s">
        <v>1761</v>
      </c>
      <c r="C96" s="2690" t="s">
        <v>1773</v>
      </c>
      <c r="D96" s="2690" t="s">
        <v>1787</v>
      </c>
      <c r="E96" s="2757">
        <f>H86*2</f>
        <v>20548.873739565661</v>
      </c>
      <c r="F96" s="2756">
        <v>2</v>
      </c>
    </row>
    <row r="97" spans="1:6">
      <c r="A97" s="2690"/>
      <c r="B97" s="2690" t="s">
        <v>1762</v>
      </c>
      <c r="C97" s="2690" t="s">
        <v>1776</v>
      </c>
      <c r="D97" s="2690" t="s">
        <v>1786</v>
      </c>
      <c r="E97" s="2757">
        <v>30000</v>
      </c>
      <c r="F97" s="2756">
        <v>1</v>
      </c>
    </row>
    <row r="98" spans="1:6">
      <c r="A98" s="2690" t="s">
        <v>1752</v>
      </c>
      <c r="B98" s="2690" t="s">
        <v>1758</v>
      </c>
      <c r="C98" s="2690" t="s">
        <v>1773</v>
      </c>
      <c r="D98" s="2690" t="s">
        <v>1774</v>
      </c>
      <c r="E98" s="2757">
        <f>H86*2</f>
        <v>20548.873739565661</v>
      </c>
      <c r="F98" s="2756">
        <v>2</v>
      </c>
    </row>
    <row r="99" spans="1:6">
      <c r="A99" s="2690"/>
      <c r="B99" s="2690" t="s">
        <v>1431</v>
      </c>
      <c r="C99" s="2690" t="s">
        <v>1764</v>
      </c>
      <c r="D99" s="2690" t="s">
        <v>1766</v>
      </c>
      <c r="E99" s="2757">
        <f>$J$84*10%</f>
        <v>600</v>
      </c>
      <c r="F99" s="2756">
        <f>$I$84*10%</f>
        <v>200</v>
      </c>
    </row>
    <row r="100" spans="1:6">
      <c r="A100" s="2690"/>
      <c r="B100" s="2690" t="s">
        <v>1431</v>
      </c>
      <c r="C100" s="2690" t="s">
        <v>1764</v>
      </c>
      <c r="D100" s="2690" t="s">
        <v>1771</v>
      </c>
      <c r="E100" s="2757">
        <f>$J$84*10%</f>
        <v>600</v>
      </c>
      <c r="F100" s="2756">
        <f>$I$84*10%</f>
        <v>200</v>
      </c>
    </row>
    <row r="101" spans="1:6">
      <c r="A101" s="2690"/>
      <c r="B101" s="2690" t="s">
        <v>1431</v>
      </c>
      <c r="C101" s="2690" t="s">
        <v>1764</v>
      </c>
      <c r="D101" s="2690" t="s">
        <v>1765</v>
      </c>
      <c r="E101" s="2757">
        <f>$J$84*30%</f>
        <v>1800</v>
      </c>
      <c r="F101" s="2756">
        <f>$I$84*30%</f>
        <v>600</v>
      </c>
    </row>
    <row r="102" spans="1:6">
      <c r="A102" s="2690" t="s">
        <v>1753</v>
      </c>
      <c r="B102" s="2690" t="s">
        <v>1760</v>
      </c>
      <c r="C102" s="2690" t="s">
        <v>1773</v>
      </c>
      <c r="D102" s="2690" t="s">
        <v>1783</v>
      </c>
      <c r="E102" s="2757">
        <f>H86*2</f>
        <v>20548.873739565661</v>
      </c>
      <c r="F102" s="2756">
        <v>2</v>
      </c>
    </row>
    <row r="103" spans="1:6">
      <c r="A103" s="2690"/>
      <c r="B103" s="2690" t="s">
        <v>1762</v>
      </c>
      <c r="C103" s="2690" t="s">
        <v>1776</v>
      </c>
      <c r="D103" s="2690" t="s">
        <v>1779</v>
      </c>
      <c r="E103" s="2757">
        <v>20000</v>
      </c>
      <c r="F103" s="2756">
        <v>1</v>
      </c>
    </row>
    <row r="104" spans="1:6">
      <c r="A104" s="2690" t="s">
        <v>1754</v>
      </c>
      <c r="B104" s="2690" t="s">
        <v>1761</v>
      </c>
      <c r="C104" s="2690" t="s">
        <v>1773</v>
      </c>
      <c r="D104" s="2690" t="s">
        <v>1782</v>
      </c>
      <c r="E104" s="2757">
        <f>H86*2</f>
        <v>20548.873739565661</v>
      </c>
      <c r="F104" s="2756">
        <v>2</v>
      </c>
    </row>
    <row r="105" spans="1:6">
      <c r="A105" s="2690" t="s">
        <v>1755</v>
      </c>
      <c r="B105" s="2690" t="s">
        <v>1758</v>
      </c>
      <c r="C105" s="2690" t="s">
        <v>1777</v>
      </c>
      <c r="D105" s="2690" t="s">
        <v>1780</v>
      </c>
      <c r="E105" s="2757">
        <v>20000</v>
      </c>
      <c r="F105" s="2756">
        <v>1</v>
      </c>
    </row>
    <row r="106" spans="1:6">
      <c r="A106" s="2759" t="s">
        <v>1693</v>
      </c>
      <c r="B106" s="2759"/>
      <c r="C106" s="2759"/>
      <c r="D106" s="2759"/>
      <c r="E106" s="2760">
        <f>SUM(E91:E105)</f>
        <v>176195.49495826266</v>
      </c>
      <c r="F106" s="2759"/>
    </row>
    <row r="107" spans="1:6">
      <c r="A107" s="2754">
        <v>2018</v>
      </c>
      <c r="B107" s="2755"/>
      <c r="C107" s="2755"/>
      <c r="D107" s="2755"/>
      <c r="E107" s="2755"/>
      <c r="F107" s="2755"/>
    </row>
    <row r="108" spans="1:6">
      <c r="A108" s="2690" t="s">
        <v>1750</v>
      </c>
      <c r="B108" s="2690" t="s">
        <v>1761</v>
      </c>
      <c r="C108" s="2690" t="s">
        <v>1764</v>
      </c>
      <c r="D108" s="2690" t="s">
        <v>1766</v>
      </c>
      <c r="E108" s="2757">
        <f t="shared" ref="E108:F110" si="2">E91</f>
        <v>1200</v>
      </c>
      <c r="F108" s="2756">
        <f t="shared" si="2"/>
        <v>400</v>
      </c>
    </row>
    <row r="109" spans="1:6">
      <c r="A109" s="2690"/>
      <c r="B109" s="2690" t="s">
        <v>1761</v>
      </c>
      <c r="C109" s="2690" t="s">
        <v>1764</v>
      </c>
      <c r="D109" s="2690" t="s">
        <v>1771</v>
      </c>
      <c r="E109" s="2757">
        <f t="shared" si="2"/>
        <v>1200</v>
      </c>
      <c r="F109" s="2756">
        <f t="shared" si="2"/>
        <v>400</v>
      </c>
    </row>
    <row r="110" spans="1:6">
      <c r="A110" s="2690"/>
      <c r="B110" s="2690" t="s">
        <v>1761</v>
      </c>
      <c r="C110" s="2690" t="s">
        <v>1764</v>
      </c>
      <c r="D110" s="2690" t="s">
        <v>1765</v>
      </c>
      <c r="E110" s="2757">
        <f t="shared" si="2"/>
        <v>3600</v>
      </c>
      <c r="F110" s="2756">
        <f t="shared" si="2"/>
        <v>1200</v>
      </c>
    </row>
    <row r="111" spans="1:6">
      <c r="A111" s="2690" t="s">
        <v>1751</v>
      </c>
      <c r="B111" s="2690" t="s">
        <v>1761</v>
      </c>
      <c r="C111" s="2690" t="s">
        <v>1777</v>
      </c>
      <c r="D111" s="2690" t="s">
        <v>1785</v>
      </c>
      <c r="E111" s="2757">
        <v>25000</v>
      </c>
      <c r="F111" s="2756">
        <v>1</v>
      </c>
    </row>
    <row r="112" spans="1:6">
      <c r="A112" s="2690"/>
      <c r="B112" s="2690" t="s">
        <v>1762</v>
      </c>
      <c r="C112" s="2690" t="s">
        <v>1767</v>
      </c>
      <c r="D112" s="2690" t="s">
        <v>1765</v>
      </c>
      <c r="E112" s="2757">
        <f>E94*6</f>
        <v>36000</v>
      </c>
      <c r="F112" s="2756">
        <f>F94*6</f>
        <v>60</v>
      </c>
    </row>
    <row r="113" spans="1:6">
      <c r="A113" s="2690"/>
      <c r="B113" s="2690" t="s">
        <v>1762</v>
      </c>
      <c r="C113" s="2690" t="s">
        <v>1788</v>
      </c>
      <c r="D113" s="2690" t="s">
        <v>1790</v>
      </c>
      <c r="E113" s="2757">
        <f>E95*3</f>
        <v>27000</v>
      </c>
      <c r="F113" s="2756">
        <f>F95*3</f>
        <v>45</v>
      </c>
    </row>
    <row r="114" spans="1:6">
      <c r="A114" s="2690" t="s">
        <v>1752</v>
      </c>
      <c r="B114" s="2690" t="s">
        <v>1430</v>
      </c>
      <c r="C114" s="2690" t="s">
        <v>1773</v>
      </c>
      <c r="D114" s="2690" t="s">
        <v>1784</v>
      </c>
      <c r="E114" s="2757">
        <f>E96</f>
        <v>20548.873739565661</v>
      </c>
      <c r="F114" s="2756">
        <v>1</v>
      </c>
    </row>
    <row r="115" spans="1:6">
      <c r="A115" s="2690" t="s">
        <v>1753</v>
      </c>
      <c r="B115" s="2690" t="s">
        <v>1762</v>
      </c>
      <c r="C115" s="2690" t="s">
        <v>1776</v>
      </c>
      <c r="D115" s="2690" t="s">
        <v>1786</v>
      </c>
      <c r="E115" s="2757">
        <v>30000</v>
      </c>
      <c r="F115" s="2756">
        <v>1</v>
      </c>
    </row>
    <row r="116" spans="1:6">
      <c r="A116" s="2690" t="s">
        <v>1754</v>
      </c>
      <c r="B116" s="2690" t="s">
        <v>1761</v>
      </c>
      <c r="C116" s="2690" t="s">
        <v>1791</v>
      </c>
      <c r="D116" s="2690" t="s">
        <v>1792</v>
      </c>
      <c r="E116" s="2757">
        <v>165000</v>
      </c>
      <c r="F116" s="2756">
        <v>2</v>
      </c>
    </row>
    <row r="117" spans="1:6">
      <c r="A117" s="2690"/>
      <c r="B117" s="2690" t="s">
        <v>1762</v>
      </c>
      <c r="C117" s="2690" t="s">
        <v>1764</v>
      </c>
      <c r="D117" s="2690" t="s">
        <v>1766</v>
      </c>
      <c r="E117" s="2757">
        <f>E99*3</f>
        <v>1800</v>
      </c>
      <c r="F117" s="2756">
        <f>F99*3</f>
        <v>600</v>
      </c>
    </row>
    <row r="118" spans="1:6">
      <c r="A118" s="2690"/>
      <c r="B118" s="2690" t="s">
        <v>1762</v>
      </c>
      <c r="C118" s="2690" t="s">
        <v>1764</v>
      </c>
      <c r="D118" s="2690" t="s">
        <v>1771</v>
      </c>
      <c r="E118" s="2757">
        <f t="shared" ref="E118:F118" si="3">E100*3</f>
        <v>1800</v>
      </c>
      <c r="F118" s="2756">
        <f t="shared" si="3"/>
        <v>600</v>
      </c>
    </row>
    <row r="119" spans="1:6">
      <c r="A119" s="2690"/>
      <c r="B119" s="2690" t="s">
        <v>1762</v>
      </c>
      <c r="C119" s="2690" t="s">
        <v>1764</v>
      </c>
      <c r="D119" s="2690" t="s">
        <v>1765</v>
      </c>
      <c r="E119" s="2757">
        <f t="shared" ref="E119:F119" si="4">E101*3</f>
        <v>5400</v>
      </c>
      <c r="F119" s="2756">
        <f t="shared" si="4"/>
        <v>1800</v>
      </c>
    </row>
    <row r="120" spans="1:6">
      <c r="A120" s="2690" t="s">
        <v>1755</v>
      </c>
      <c r="B120" s="2690" t="s">
        <v>1762</v>
      </c>
      <c r="C120" s="2690" t="s">
        <v>1776</v>
      </c>
      <c r="D120" s="2690" t="s">
        <v>1779</v>
      </c>
      <c r="E120" s="2757">
        <v>20000</v>
      </c>
      <c r="F120" s="2756">
        <v>1</v>
      </c>
    </row>
    <row r="121" spans="1:6">
      <c r="A121" s="2690"/>
      <c r="B121" s="2690" t="s">
        <v>1430</v>
      </c>
      <c r="C121" s="2690" t="s">
        <v>1764</v>
      </c>
      <c r="D121" s="2690" t="s">
        <v>1793</v>
      </c>
      <c r="E121" s="2757">
        <v>2000</v>
      </c>
      <c r="F121" s="2756"/>
    </row>
    <row r="122" spans="1:6">
      <c r="A122" s="2759" t="s">
        <v>1694</v>
      </c>
      <c r="B122" s="2759"/>
      <c r="C122" s="2759"/>
      <c r="D122" s="2759"/>
      <c r="E122" s="2760">
        <f>SUM(E108:E121)</f>
        <v>340548.87373956566</v>
      </c>
      <c r="F122" s="2759"/>
    </row>
  </sheetData>
  <mergeCells count="12">
    <mergeCell ref="K69:K71"/>
    <mergeCell ref="K72:K74"/>
    <mergeCell ref="K75:K77"/>
    <mergeCell ref="K78:K80"/>
    <mergeCell ref="I69:I71"/>
    <mergeCell ref="I72:I74"/>
    <mergeCell ref="I75:I77"/>
    <mergeCell ref="I78:I80"/>
    <mergeCell ref="J69:J71"/>
    <mergeCell ref="J72:J74"/>
    <mergeCell ref="J75:J77"/>
    <mergeCell ref="J78:J8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tabColor indexed="43"/>
  </sheetPr>
  <dimension ref="B1:I19"/>
  <sheetViews>
    <sheetView showGridLines="0" topLeftCell="A3" workbookViewId="0">
      <selection activeCell="F15" sqref="F15"/>
    </sheetView>
  </sheetViews>
  <sheetFormatPr baseColWidth="10" defaultColWidth="11.42578125" defaultRowHeight="12.75"/>
  <cols>
    <col min="1" max="1" width="4.42578125" style="2488" customWidth="1"/>
    <col min="2" max="2" width="36" style="2488" customWidth="1"/>
    <col min="3" max="3" width="19.42578125" style="2488" customWidth="1"/>
    <col min="4" max="5" width="11.42578125" style="2488"/>
    <col min="6" max="6" width="17.140625" style="2488" customWidth="1"/>
    <col min="7" max="8" width="16.42578125" style="2488" customWidth="1"/>
    <col min="9" max="9" width="26" style="2488" customWidth="1"/>
    <col min="10" max="256" width="11.42578125" style="2488"/>
    <col min="257" max="257" width="4.42578125" style="2488" customWidth="1"/>
    <col min="258" max="258" width="36" style="2488" customWidth="1"/>
    <col min="259" max="259" width="19.42578125" style="2488" customWidth="1"/>
    <col min="260" max="261" width="11.42578125" style="2488"/>
    <col min="262" max="262" width="17.140625" style="2488" customWidth="1"/>
    <col min="263" max="264" width="16.42578125" style="2488" customWidth="1"/>
    <col min="265" max="265" width="26" style="2488" customWidth="1"/>
    <col min="266" max="512" width="11.42578125" style="2488"/>
    <col min="513" max="513" width="4.42578125" style="2488" customWidth="1"/>
    <col min="514" max="514" width="36" style="2488" customWidth="1"/>
    <col min="515" max="515" width="19.42578125" style="2488" customWidth="1"/>
    <col min="516" max="517" width="11.42578125" style="2488"/>
    <col min="518" max="518" width="17.140625" style="2488" customWidth="1"/>
    <col min="519" max="520" width="16.42578125" style="2488" customWidth="1"/>
    <col min="521" max="521" width="26" style="2488" customWidth="1"/>
    <col min="522" max="768" width="11.42578125" style="2488"/>
    <col min="769" max="769" width="4.42578125" style="2488" customWidth="1"/>
    <col min="770" max="770" width="36" style="2488" customWidth="1"/>
    <col min="771" max="771" width="19.42578125" style="2488" customWidth="1"/>
    <col min="772" max="773" width="11.42578125" style="2488"/>
    <col min="774" max="774" width="17.140625" style="2488" customWidth="1"/>
    <col min="775" max="776" width="16.42578125" style="2488" customWidth="1"/>
    <col min="777" max="777" width="26" style="2488" customWidth="1"/>
    <col min="778" max="1024" width="11.42578125" style="2488"/>
    <col min="1025" max="1025" width="4.42578125" style="2488" customWidth="1"/>
    <col min="1026" max="1026" width="36" style="2488" customWidth="1"/>
    <col min="1027" max="1027" width="19.42578125" style="2488" customWidth="1"/>
    <col min="1028" max="1029" width="11.42578125" style="2488"/>
    <col min="1030" max="1030" width="17.140625" style="2488" customWidth="1"/>
    <col min="1031" max="1032" width="16.42578125" style="2488" customWidth="1"/>
    <col min="1033" max="1033" width="26" style="2488" customWidth="1"/>
    <col min="1034" max="1280" width="11.42578125" style="2488"/>
    <col min="1281" max="1281" width="4.42578125" style="2488" customWidth="1"/>
    <col min="1282" max="1282" width="36" style="2488" customWidth="1"/>
    <col min="1283" max="1283" width="19.42578125" style="2488" customWidth="1"/>
    <col min="1284" max="1285" width="11.42578125" style="2488"/>
    <col min="1286" max="1286" width="17.140625" style="2488" customWidth="1"/>
    <col min="1287" max="1288" width="16.42578125" style="2488" customWidth="1"/>
    <col min="1289" max="1289" width="26" style="2488" customWidth="1"/>
    <col min="1290" max="1536" width="11.42578125" style="2488"/>
    <col min="1537" max="1537" width="4.42578125" style="2488" customWidth="1"/>
    <col min="1538" max="1538" width="36" style="2488" customWidth="1"/>
    <col min="1539" max="1539" width="19.42578125" style="2488" customWidth="1"/>
    <col min="1540" max="1541" width="11.42578125" style="2488"/>
    <col min="1542" max="1542" width="17.140625" style="2488" customWidth="1"/>
    <col min="1543" max="1544" width="16.42578125" style="2488" customWidth="1"/>
    <col min="1545" max="1545" width="26" style="2488" customWidth="1"/>
    <col min="1546" max="1792" width="11.42578125" style="2488"/>
    <col min="1793" max="1793" width="4.42578125" style="2488" customWidth="1"/>
    <col min="1794" max="1794" width="36" style="2488" customWidth="1"/>
    <col min="1795" max="1795" width="19.42578125" style="2488" customWidth="1"/>
    <col min="1796" max="1797" width="11.42578125" style="2488"/>
    <col min="1798" max="1798" width="17.140625" style="2488" customWidth="1"/>
    <col min="1799" max="1800" width="16.42578125" style="2488" customWidth="1"/>
    <col min="1801" max="1801" width="26" style="2488" customWidth="1"/>
    <col min="1802" max="2048" width="11.42578125" style="2488"/>
    <col min="2049" max="2049" width="4.42578125" style="2488" customWidth="1"/>
    <col min="2050" max="2050" width="36" style="2488" customWidth="1"/>
    <col min="2051" max="2051" width="19.42578125" style="2488" customWidth="1"/>
    <col min="2052" max="2053" width="11.42578125" style="2488"/>
    <col min="2054" max="2054" width="17.140625" style="2488" customWidth="1"/>
    <col min="2055" max="2056" width="16.42578125" style="2488" customWidth="1"/>
    <col min="2057" max="2057" width="26" style="2488" customWidth="1"/>
    <col min="2058" max="2304" width="11.42578125" style="2488"/>
    <col min="2305" max="2305" width="4.42578125" style="2488" customWidth="1"/>
    <col min="2306" max="2306" width="36" style="2488" customWidth="1"/>
    <col min="2307" max="2307" width="19.42578125" style="2488" customWidth="1"/>
    <col min="2308" max="2309" width="11.42578125" style="2488"/>
    <col min="2310" max="2310" width="17.140625" style="2488" customWidth="1"/>
    <col min="2311" max="2312" width="16.42578125" style="2488" customWidth="1"/>
    <col min="2313" max="2313" width="26" style="2488" customWidth="1"/>
    <col min="2314" max="2560" width="11.42578125" style="2488"/>
    <col min="2561" max="2561" width="4.42578125" style="2488" customWidth="1"/>
    <col min="2562" max="2562" width="36" style="2488" customWidth="1"/>
    <col min="2563" max="2563" width="19.42578125" style="2488" customWidth="1"/>
    <col min="2564" max="2565" width="11.42578125" style="2488"/>
    <col min="2566" max="2566" width="17.140625" style="2488" customWidth="1"/>
    <col min="2567" max="2568" width="16.42578125" style="2488" customWidth="1"/>
    <col min="2569" max="2569" width="26" style="2488" customWidth="1"/>
    <col min="2570" max="2816" width="11.42578125" style="2488"/>
    <col min="2817" max="2817" width="4.42578125" style="2488" customWidth="1"/>
    <col min="2818" max="2818" width="36" style="2488" customWidth="1"/>
    <col min="2819" max="2819" width="19.42578125" style="2488" customWidth="1"/>
    <col min="2820" max="2821" width="11.42578125" style="2488"/>
    <col min="2822" max="2822" width="17.140625" style="2488" customWidth="1"/>
    <col min="2823" max="2824" width="16.42578125" style="2488" customWidth="1"/>
    <col min="2825" max="2825" width="26" style="2488" customWidth="1"/>
    <col min="2826" max="3072" width="11.42578125" style="2488"/>
    <col min="3073" max="3073" width="4.42578125" style="2488" customWidth="1"/>
    <col min="3074" max="3074" width="36" style="2488" customWidth="1"/>
    <col min="3075" max="3075" width="19.42578125" style="2488" customWidth="1"/>
    <col min="3076" max="3077" width="11.42578125" style="2488"/>
    <col min="3078" max="3078" width="17.140625" style="2488" customWidth="1"/>
    <col min="3079" max="3080" width="16.42578125" style="2488" customWidth="1"/>
    <col min="3081" max="3081" width="26" style="2488" customWidth="1"/>
    <col min="3082" max="3328" width="11.42578125" style="2488"/>
    <col min="3329" max="3329" width="4.42578125" style="2488" customWidth="1"/>
    <col min="3330" max="3330" width="36" style="2488" customWidth="1"/>
    <col min="3331" max="3331" width="19.42578125" style="2488" customWidth="1"/>
    <col min="3332" max="3333" width="11.42578125" style="2488"/>
    <col min="3334" max="3334" width="17.140625" style="2488" customWidth="1"/>
    <col min="3335" max="3336" width="16.42578125" style="2488" customWidth="1"/>
    <col min="3337" max="3337" width="26" style="2488" customWidth="1"/>
    <col min="3338" max="3584" width="11.42578125" style="2488"/>
    <col min="3585" max="3585" width="4.42578125" style="2488" customWidth="1"/>
    <col min="3586" max="3586" width="36" style="2488" customWidth="1"/>
    <col min="3587" max="3587" width="19.42578125" style="2488" customWidth="1"/>
    <col min="3588" max="3589" width="11.42578125" style="2488"/>
    <col min="3590" max="3590" width="17.140625" style="2488" customWidth="1"/>
    <col min="3591" max="3592" width="16.42578125" style="2488" customWidth="1"/>
    <col min="3593" max="3593" width="26" style="2488" customWidth="1"/>
    <col min="3594" max="3840" width="11.42578125" style="2488"/>
    <col min="3841" max="3841" width="4.42578125" style="2488" customWidth="1"/>
    <col min="3842" max="3842" width="36" style="2488" customWidth="1"/>
    <col min="3843" max="3843" width="19.42578125" style="2488" customWidth="1"/>
    <col min="3844" max="3845" width="11.42578125" style="2488"/>
    <col min="3846" max="3846" width="17.140625" style="2488" customWidth="1"/>
    <col min="3847" max="3848" width="16.42578125" style="2488" customWidth="1"/>
    <col min="3849" max="3849" width="26" style="2488" customWidth="1"/>
    <col min="3850" max="4096" width="11.42578125" style="2488"/>
    <col min="4097" max="4097" width="4.42578125" style="2488" customWidth="1"/>
    <col min="4098" max="4098" width="36" style="2488" customWidth="1"/>
    <col min="4099" max="4099" width="19.42578125" style="2488" customWidth="1"/>
    <col min="4100" max="4101" width="11.42578125" style="2488"/>
    <col min="4102" max="4102" width="17.140625" style="2488" customWidth="1"/>
    <col min="4103" max="4104" width="16.42578125" style="2488" customWidth="1"/>
    <col min="4105" max="4105" width="26" style="2488" customWidth="1"/>
    <col min="4106" max="4352" width="11.42578125" style="2488"/>
    <col min="4353" max="4353" width="4.42578125" style="2488" customWidth="1"/>
    <col min="4354" max="4354" width="36" style="2488" customWidth="1"/>
    <col min="4355" max="4355" width="19.42578125" style="2488" customWidth="1"/>
    <col min="4356" max="4357" width="11.42578125" style="2488"/>
    <col min="4358" max="4358" width="17.140625" style="2488" customWidth="1"/>
    <col min="4359" max="4360" width="16.42578125" style="2488" customWidth="1"/>
    <col min="4361" max="4361" width="26" style="2488" customWidth="1"/>
    <col min="4362" max="4608" width="11.42578125" style="2488"/>
    <col min="4609" max="4609" width="4.42578125" style="2488" customWidth="1"/>
    <col min="4610" max="4610" width="36" style="2488" customWidth="1"/>
    <col min="4611" max="4611" width="19.42578125" style="2488" customWidth="1"/>
    <col min="4612" max="4613" width="11.42578125" style="2488"/>
    <col min="4614" max="4614" width="17.140625" style="2488" customWidth="1"/>
    <col min="4615" max="4616" width="16.42578125" style="2488" customWidth="1"/>
    <col min="4617" max="4617" width="26" style="2488" customWidth="1"/>
    <col min="4618" max="4864" width="11.42578125" style="2488"/>
    <col min="4865" max="4865" width="4.42578125" style="2488" customWidth="1"/>
    <col min="4866" max="4866" width="36" style="2488" customWidth="1"/>
    <col min="4867" max="4867" width="19.42578125" style="2488" customWidth="1"/>
    <col min="4868" max="4869" width="11.42578125" style="2488"/>
    <col min="4870" max="4870" width="17.140625" style="2488" customWidth="1"/>
    <col min="4871" max="4872" width="16.42578125" style="2488" customWidth="1"/>
    <col min="4873" max="4873" width="26" style="2488" customWidth="1"/>
    <col min="4874" max="5120" width="11.42578125" style="2488"/>
    <col min="5121" max="5121" width="4.42578125" style="2488" customWidth="1"/>
    <col min="5122" max="5122" width="36" style="2488" customWidth="1"/>
    <col min="5123" max="5123" width="19.42578125" style="2488" customWidth="1"/>
    <col min="5124" max="5125" width="11.42578125" style="2488"/>
    <col min="5126" max="5126" width="17.140625" style="2488" customWidth="1"/>
    <col min="5127" max="5128" width="16.42578125" style="2488" customWidth="1"/>
    <col min="5129" max="5129" width="26" style="2488" customWidth="1"/>
    <col min="5130" max="5376" width="11.42578125" style="2488"/>
    <col min="5377" max="5377" width="4.42578125" style="2488" customWidth="1"/>
    <col min="5378" max="5378" width="36" style="2488" customWidth="1"/>
    <col min="5379" max="5379" width="19.42578125" style="2488" customWidth="1"/>
    <col min="5380" max="5381" width="11.42578125" style="2488"/>
    <col min="5382" max="5382" width="17.140625" style="2488" customWidth="1"/>
    <col min="5383" max="5384" width="16.42578125" style="2488" customWidth="1"/>
    <col min="5385" max="5385" width="26" style="2488" customWidth="1"/>
    <col min="5386" max="5632" width="11.42578125" style="2488"/>
    <col min="5633" max="5633" width="4.42578125" style="2488" customWidth="1"/>
    <col min="5634" max="5634" width="36" style="2488" customWidth="1"/>
    <col min="5635" max="5635" width="19.42578125" style="2488" customWidth="1"/>
    <col min="5636" max="5637" width="11.42578125" style="2488"/>
    <col min="5638" max="5638" width="17.140625" style="2488" customWidth="1"/>
    <col min="5639" max="5640" width="16.42578125" style="2488" customWidth="1"/>
    <col min="5641" max="5641" width="26" style="2488" customWidth="1"/>
    <col min="5642" max="5888" width="11.42578125" style="2488"/>
    <col min="5889" max="5889" width="4.42578125" style="2488" customWidth="1"/>
    <col min="5890" max="5890" width="36" style="2488" customWidth="1"/>
    <col min="5891" max="5891" width="19.42578125" style="2488" customWidth="1"/>
    <col min="5892" max="5893" width="11.42578125" style="2488"/>
    <col min="5894" max="5894" width="17.140625" style="2488" customWidth="1"/>
    <col min="5895" max="5896" width="16.42578125" style="2488" customWidth="1"/>
    <col min="5897" max="5897" width="26" style="2488" customWidth="1"/>
    <col min="5898" max="6144" width="11.42578125" style="2488"/>
    <col min="6145" max="6145" width="4.42578125" style="2488" customWidth="1"/>
    <col min="6146" max="6146" width="36" style="2488" customWidth="1"/>
    <col min="6147" max="6147" width="19.42578125" style="2488" customWidth="1"/>
    <col min="6148" max="6149" width="11.42578125" style="2488"/>
    <col min="6150" max="6150" width="17.140625" style="2488" customWidth="1"/>
    <col min="6151" max="6152" width="16.42578125" style="2488" customWidth="1"/>
    <col min="6153" max="6153" width="26" style="2488" customWidth="1"/>
    <col min="6154" max="6400" width="11.42578125" style="2488"/>
    <col min="6401" max="6401" width="4.42578125" style="2488" customWidth="1"/>
    <col min="6402" max="6402" width="36" style="2488" customWidth="1"/>
    <col min="6403" max="6403" width="19.42578125" style="2488" customWidth="1"/>
    <col min="6404" max="6405" width="11.42578125" style="2488"/>
    <col min="6406" max="6406" width="17.140625" style="2488" customWidth="1"/>
    <col min="6407" max="6408" width="16.42578125" style="2488" customWidth="1"/>
    <col min="6409" max="6409" width="26" style="2488" customWidth="1"/>
    <col min="6410" max="6656" width="11.42578125" style="2488"/>
    <col min="6657" max="6657" width="4.42578125" style="2488" customWidth="1"/>
    <col min="6658" max="6658" width="36" style="2488" customWidth="1"/>
    <col min="6659" max="6659" width="19.42578125" style="2488" customWidth="1"/>
    <col min="6660" max="6661" width="11.42578125" style="2488"/>
    <col min="6662" max="6662" width="17.140625" style="2488" customWidth="1"/>
    <col min="6663" max="6664" width="16.42578125" style="2488" customWidth="1"/>
    <col min="6665" max="6665" width="26" style="2488" customWidth="1"/>
    <col min="6666" max="6912" width="11.42578125" style="2488"/>
    <col min="6913" max="6913" width="4.42578125" style="2488" customWidth="1"/>
    <col min="6914" max="6914" width="36" style="2488" customWidth="1"/>
    <col min="6915" max="6915" width="19.42578125" style="2488" customWidth="1"/>
    <col min="6916" max="6917" width="11.42578125" style="2488"/>
    <col min="6918" max="6918" width="17.140625" style="2488" customWidth="1"/>
    <col min="6919" max="6920" width="16.42578125" style="2488" customWidth="1"/>
    <col min="6921" max="6921" width="26" style="2488" customWidth="1"/>
    <col min="6922" max="7168" width="11.42578125" style="2488"/>
    <col min="7169" max="7169" width="4.42578125" style="2488" customWidth="1"/>
    <col min="7170" max="7170" width="36" style="2488" customWidth="1"/>
    <col min="7171" max="7171" width="19.42578125" style="2488" customWidth="1"/>
    <col min="7172" max="7173" width="11.42578125" style="2488"/>
    <col min="7174" max="7174" width="17.140625" style="2488" customWidth="1"/>
    <col min="7175" max="7176" width="16.42578125" style="2488" customWidth="1"/>
    <col min="7177" max="7177" width="26" style="2488" customWidth="1"/>
    <col min="7178" max="7424" width="11.42578125" style="2488"/>
    <col min="7425" max="7425" width="4.42578125" style="2488" customWidth="1"/>
    <col min="7426" max="7426" width="36" style="2488" customWidth="1"/>
    <col min="7427" max="7427" width="19.42578125" style="2488" customWidth="1"/>
    <col min="7428" max="7429" width="11.42578125" style="2488"/>
    <col min="7430" max="7430" width="17.140625" style="2488" customWidth="1"/>
    <col min="7431" max="7432" width="16.42578125" style="2488" customWidth="1"/>
    <col min="7433" max="7433" width="26" style="2488" customWidth="1"/>
    <col min="7434" max="7680" width="11.42578125" style="2488"/>
    <col min="7681" max="7681" width="4.42578125" style="2488" customWidth="1"/>
    <col min="7682" max="7682" width="36" style="2488" customWidth="1"/>
    <col min="7683" max="7683" width="19.42578125" style="2488" customWidth="1"/>
    <col min="7684" max="7685" width="11.42578125" style="2488"/>
    <col min="7686" max="7686" width="17.140625" style="2488" customWidth="1"/>
    <col min="7687" max="7688" width="16.42578125" style="2488" customWidth="1"/>
    <col min="7689" max="7689" width="26" style="2488" customWidth="1"/>
    <col min="7690" max="7936" width="11.42578125" style="2488"/>
    <col min="7937" max="7937" width="4.42578125" style="2488" customWidth="1"/>
    <col min="7938" max="7938" width="36" style="2488" customWidth="1"/>
    <col min="7939" max="7939" width="19.42578125" style="2488" customWidth="1"/>
    <col min="7940" max="7941" width="11.42578125" style="2488"/>
    <col min="7942" max="7942" width="17.140625" style="2488" customWidth="1"/>
    <col min="7943" max="7944" width="16.42578125" style="2488" customWidth="1"/>
    <col min="7945" max="7945" width="26" style="2488" customWidth="1"/>
    <col min="7946" max="8192" width="11.42578125" style="2488"/>
    <col min="8193" max="8193" width="4.42578125" style="2488" customWidth="1"/>
    <col min="8194" max="8194" width="36" style="2488" customWidth="1"/>
    <col min="8195" max="8195" width="19.42578125" style="2488" customWidth="1"/>
    <col min="8196" max="8197" width="11.42578125" style="2488"/>
    <col min="8198" max="8198" width="17.140625" style="2488" customWidth="1"/>
    <col min="8199" max="8200" width="16.42578125" style="2488" customWidth="1"/>
    <col min="8201" max="8201" width="26" style="2488" customWidth="1"/>
    <col min="8202" max="8448" width="11.42578125" style="2488"/>
    <col min="8449" max="8449" width="4.42578125" style="2488" customWidth="1"/>
    <col min="8450" max="8450" width="36" style="2488" customWidth="1"/>
    <col min="8451" max="8451" width="19.42578125" style="2488" customWidth="1"/>
    <col min="8452" max="8453" width="11.42578125" style="2488"/>
    <col min="8454" max="8454" width="17.140625" style="2488" customWidth="1"/>
    <col min="8455" max="8456" width="16.42578125" style="2488" customWidth="1"/>
    <col min="8457" max="8457" width="26" style="2488" customWidth="1"/>
    <col min="8458" max="8704" width="11.42578125" style="2488"/>
    <col min="8705" max="8705" width="4.42578125" style="2488" customWidth="1"/>
    <col min="8706" max="8706" width="36" style="2488" customWidth="1"/>
    <col min="8707" max="8707" width="19.42578125" style="2488" customWidth="1"/>
    <col min="8708" max="8709" width="11.42578125" style="2488"/>
    <col min="8710" max="8710" width="17.140625" style="2488" customWidth="1"/>
    <col min="8711" max="8712" width="16.42578125" style="2488" customWidth="1"/>
    <col min="8713" max="8713" width="26" style="2488" customWidth="1"/>
    <col min="8714" max="8960" width="11.42578125" style="2488"/>
    <col min="8961" max="8961" width="4.42578125" style="2488" customWidth="1"/>
    <col min="8962" max="8962" width="36" style="2488" customWidth="1"/>
    <col min="8963" max="8963" width="19.42578125" style="2488" customWidth="1"/>
    <col min="8964" max="8965" width="11.42578125" style="2488"/>
    <col min="8966" max="8966" width="17.140625" style="2488" customWidth="1"/>
    <col min="8967" max="8968" width="16.42578125" style="2488" customWidth="1"/>
    <col min="8969" max="8969" width="26" style="2488" customWidth="1"/>
    <col min="8970" max="9216" width="11.42578125" style="2488"/>
    <col min="9217" max="9217" width="4.42578125" style="2488" customWidth="1"/>
    <col min="9218" max="9218" width="36" style="2488" customWidth="1"/>
    <col min="9219" max="9219" width="19.42578125" style="2488" customWidth="1"/>
    <col min="9220" max="9221" width="11.42578125" style="2488"/>
    <col min="9222" max="9222" width="17.140625" style="2488" customWidth="1"/>
    <col min="9223" max="9224" width="16.42578125" style="2488" customWidth="1"/>
    <col min="9225" max="9225" width="26" style="2488" customWidth="1"/>
    <col min="9226" max="9472" width="11.42578125" style="2488"/>
    <col min="9473" max="9473" width="4.42578125" style="2488" customWidth="1"/>
    <col min="9474" max="9474" width="36" style="2488" customWidth="1"/>
    <col min="9475" max="9475" width="19.42578125" style="2488" customWidth="1"/>
    <col min="9476" max="9477" width="11.42578125" style="2488"/>
    <col min="9478" max="9478" width="17.140625" style="2488" customWidth="1"/>
    <col min="9479" max="9480" width="16.42578125" style="2488" customWidth="1"/>
    <col min="9481" max="9481" width="26" style="2488" customWidth="1"/>
    <col min="9482" max="9728" width="11.42578125" style="2488"/>
    <col min="9729" max="9729" width="4.42578125" style="2488" customWidth="1"/>
    <col min="9730" max="9730" width="36" style="2488" customWidth="1"/>
    <col min="9731" max="9731" width="19.42578125" style="2488" customWidth="1"/>
    <col min="9732" max="9733" width="11.42578125" style="2488"/>
    <col min="9734" max="9734" width="17.140625" style="2488" customWidth="1"/>
    <col min="9735" max="9736" width="16.42578125" style="2488" customWidth="1"/>
    <col min="9737" max="9737" width="26" style="2488" customWidth="1"/>
    <col min="9738" max="9984" width="11.42578125" style="2488"/>
    <col min="9985" max="9985" width="4.42578125" style="2488" customWidth="1"/>
    <col min="9986" max="9986" width="36" style="2488" customWidth="1"/>
    <col min="9987" max="9987" width="19.42578125" style="2488" customWidth="1"/>
    <col min="9988" max="9989" width="11.42578125" style="2488"/>
    <col min="9990" max="9990" width="17.140625" style="2488" customWidth="1"/>
    <col min="9991" max="9992" width="16.42578125" style="2488" customWidth="1"/>
    <col min="9993" max="9993" width="26" style="2488" customWidth="1"/>
    <col min="9994" max="10240" width="11.42578125" style="2488"/>
    <col min="10241" max="10241" width="4.42578125" style="2488" customWidth="1"/>
    <col min="10242" max="10242" width="36" style="2488" customWidth="1"/>
    <col min="10243" max="10243" width="19.42578125" style="2488" customWidth="1"/>
    <col min="10244" max="10245" width="11.42578125" style="2488"/>
    <col min="10246" max="10246" width="17.140625" style="2488" customWidth="1"/>
    <col min="10247" max="10248" width="16.42578125" style="2488" customWidth="1"/>
    <col min="10249" max="10249" width="26" style="2488" customWidth="1"/>
    <col min="10250" max="10496" width="11.42578125" style="2488"/>
    <col min="10497" max="10497" width="4.42578125" style="2488" customWidth="1"/>
    <col min="10498" max="10498" width="36" style="2488" customWidth="1"/>
    <col min="10499" max="10499" width="19.42578125" style="2488" customWidth="1"/>
    <col min="10500" max="10501" width="11.42578125" style="2488"/>
    <col min="10502" max="10502" width="17.140625" style="2488" customWidth="1"/>
    <col min="10503" max="10504" width="16.42578125" style="2488" customWidth="1"/>
    <col min="10505" max="10505" width="26" style="2488" customWidth="1"/>
    <col min="10506" max="10752" width="11.42578125" style="2488"/>
    <col min="10753" max="10753" width="4.42578125" style="2488" customWidth="1"/>
    <col min="10754" max="10754" width="36" style="2488" customWidth="1"/>
    <col min="10755" max="10755" width="19.42578125" style="2488" customWidth="1"/>
    <col min="10756" max="10757" width="11.42578125" style="2488"/>
    <col min="10758" max="10758" width="17.140625" style="2488" customWidth="1"/>
    <col min="10759" max="10760" width="16.42578125" style="2488" customWidth="1"/>
    <col min="10761" max="10761" width="26" style="2488" customWidth="1"/>
    <col min="10762" max="11008" width="11.42578125" style="2488"/>
    <col min="11009" max="11009" width="4.42578125" style="2488" customWidth="1"/>
    <col min="11010" max="11010" width="36" style="2488" customWidth="1"/>
    <col min="11011" max="11011" width="19.42578125" style="2488" customWidth="1"/>
    <col min="11012" max="11013" width="11.42578125" style="2488"/>
    <col min="11014" max="11014" width="17.140625" style="2488" customWidth="1"/>
    <col min="11015" max="11016" width="16.42578125" style="2488" customWidth="1"/>
    <col min="11017" max="11017" width="26" style="2488" customWidth="1"/>
    <col min="11018" max="11264" width="11.42578125" style="2488"/>
    <col min="11265" max="11265" width="4.42578125" style="2488" customWidth="1"/>
    <col min="11266" max="11266" width="36" style="2488" customWidth="1"/>
    <col min="11267" max="11267" width="19.42578125" style="2488" customWidth="1"/>
    <col min="11268" max="11269" width="11.42578125" style="2488"/>
    <col min="11270" max="11270" width="17.140625" style="2488" customWidth="1"/>
    <col min="11271" max="11272" width="16.42578125" style="2488" customWidth="1"/>
    <col min="11273" max="11273" width="26" style="2488" customWidth="1"/>
    <col min="11274" max="11520" width="11.42578125" style="2488"/>
    <col min="11521" max="11521" width="4.42578125" style="2488" customWidth="1"/>
    <col min="11522" max="11522" width="36" style="2488" customWidth="1"/>
    <col min="11523" max="11523" width="19.42578125" style="2488" customWidth="1"/>
    <col min="11524" max="11525" width="11.42578125" style="2488"/>
    <col min="11526" max="11526" width="17.140625" style="2488" customWidth="1"/>
    <col min="11527" max="11528" width="16.42578125" style="2488" customWidth="1"/>
    <col min="11529" max="11529" width="26" style="2488" customWidth="1"/>
    <col min="11530" max="11776" width="11.42578125" style="2488"/>
    <col min="11777" max="11777" width="4.42578125" style="2488" customWidth="1"/>
    <col min="11778" max="11778" width="36" style="2488" customWidth="1"/>
    <col min="11779" max="11779" width="19.42578125" style="2488" customWidth="1"/>
    <col min="11780" max="11781" width="11.42578125" style="2488"/>
    <col min="11782" max="11782" width="17.140625" style="2488" customWidth="1"/>
    <col min="11783" max="11784" width="16.42578125" style="2488" customWidth="1"/>
    <col min="11785" max="11785" width="26" style="2488" customWidth="1"/>
    <col min="11786" max="12032" width="11.42578125" style="2488"/>
    <col min="12033" max="12033" width="4.42578125" style="2488" customWidth="1"/>
    <col min="12034" max="12034" width="36" style="2488" customWidth="1"/>
    <col min="12035" max="12035" width="19.42578125" style="2488" customWidth="1"/>
    <col min="12036" max="12037" width="11.42578125" style="2488"/>
    <col min="12038" max="12038" width="17.140625" style="2488" customWidth="1"/>
    <col min="12039" max="12040" width="16.42578125" style="2488" customWidth="1"/>
    <col min="12041" max="12041" width="26" style="2488" customWidth="1"/>
    <col min="12042" max="12288" width="11.42578125" style="2488"/>
    <col min="12289" max="12289" width="4.42578125" style="2488" customWidth="1"/>
    <col min="12290" max="12290" width="36" style="2488" customWidth="1"/>
    <col min="12291" max="12291" width="19.42578125" style="2488" customWidth="1"/>
    <col min="12292" max="12293" width="11.42578125" style="2488"/>
    <col min="12294" max="12294" width="17.140625" style="2488" customWidth="1"/>
    <col min="12295" max="12296" width="16.42578125" style="2488" customWidth="1"/>
    <col min="12297" max="12297" width="26" style="2488" customWidth="1"/>
    <col min="12298" max="12544" width="11.42578125" style="2488"/>
    <col min="12545" max="12545" width="4.42578125" style="2488" customWidth="1"/>
    <col min="12546" max="12546" width="36" style="2488" customWidth="1"/>
    <col min="12547" max="12547" width="19.42578125" style="2488" customWidth="1"/>
    <col min="12548" max="12549" width="11.42578125" style="2488"/>
    <col min="12550" max="12550" width="17.140625" style="2488" customWidth="1"/>
    <col min="12551" max="12552" width="16.42578125" style="2488" customWidth="1"/>
    <col min="12553" max="12553" width="26" style="2488" customWidth="1"/>
    <col min="12554" max="12800" width="11.42578125" style="2488"/>
    <col min="12801" max="12801" width="4.42578125" style="2488" customWidth="1"/>
    <col min="12802" max="12802" width="36" style="2488" customWidth="1"/>
    <col min="12803" max="12803" width="19.42578125" style="2488" customWidth="1"/>
    <col min="12804" max="12805" width="11.42578125" style="2488"/>
    <col min="12806" max="12806" width="17.140625" style="2488" customWidth="1"/>
    <col min="12807" max="12808" width="16.42578125" style="2488" customWidth="1"/>
    <col min="12809" max="12809" width="26" style="2488" customWidth="1"/>
    <col min="12810" max="13056" width="11.42578125" style="2488"/>
    <col min="13057" max="13057" width="4.42578125" style="2488" customWidth="1"/>
    <col min="13058" max="13058" width="36" style="2488" customWidth="1"/>
    <col min="13059" max="13059" width="19.42578125" style="2488" customWidth="1"/>
    <col min="13060" max="13061" width="11.42578125" style="2488"/>
    <col min="13062" max="13062" width="17.140625" style="2488" customWidth="1"/>
    <col min="13063" max="13064" width="16.42578125" style="2488" customWidth="1"/>
    <col min="13065" max="13065" width="26" style="2488" customWidth="1"/>
    <col min="13066" max="13312" width="11.42578125" style="2488"/>
    <col min="13313" max="13313" width="4.42578125" style="2488" customWidth="1"/>
    <col min="13314" max="13314" width="36" style="2488" customWidth="1"/>
    <col min="13315" max="13315" width="19.42578125" style="2488" customWidth="1"/>
    <col min="13316" max="13317" width="11.42578125" style="2488"/>
    <col min="13318" max="13318" width="17.140625" style="2488" customWidth="1"/>
    <col min="13319" max="13320" width="16.42578125" style="2488" customWidth="1"/>
    <col min="13321" max="13321" width="26" style="2488" customWidth="1"/>
    <col min="13322" max="13568" width="11.42578125" style="2488"/>
    <col min="13569" max="13569" width="4.42578125" style="2488" customWidth="1"/>
    <col min="13570" max="13570" width="36" style="2488" customWidth="1"/>
    <col min="13571" max="13571" width="19.42578125" style="2488" customWidth="1"/>
    <col min="13572" max="13573" width="11.42578125" style="2488"/>
    <col min="13574" max="13574" width="17.140625" style="2488" customWidth="1"/>
    <col min="13575" max="13576" width="16.42578125" style="2488" customWidth="1"/>
    <col min="13577" max="13577" width="26" style="2488" customWidth="1"/>
    <col min="13578" max="13824" width="11.42578125" style="2488"/>
    <col min="13825" max="13825" width="4.42578125" style="2488" customWidth="1"/>
    <col min="13826" max="13826" width="36" style="2488" customWidth="1"/>
    <col min="13827" max="13827" width="19.42578125" style="2488" customWidth="1"/>
    <col min="13828" max="13829" width="11.42578125" style="2488"/>
    <col min="13830" max="13830" width="17.140625" style="2488" customWidth="1"/>
    <col min="13831" max="13832" width="16.42578125" style="2488" customWidth="1"/>
    <col min="13833" max="13833" width="26" style="2488" customWidth="1"/>
    <col min="13834" max="14080" width="11.42578125" style="2488"/>
    <col min="14081" max="14081" width="4.42578125" style="2488" customWidth="1"/>
    <col min="14082" max="14082" width="36" style="2488" customWidth="1"/>
    <col min="14083" max="14083" width="19.42578125" style="2488" customWidth="1"/>
    <col min="14084" max="14085" width="11.42578125" style="2488"/>
    <col min="14086" max="14086" width="17.140625" style="2488" customWidth="1"/>
    <col min="14087" max="14088" width="16.42578125" style="2488" customWidth="1"/>
    <col min="14089" max="14089" width="26" style="2488" customWidth="1"/>
    <col min="14090" max="14336" width="11.42578125" style="2488"/>
    <col min="14337" max="14337" width="4.42578125" style="2488" customWidth="1"/>
    <col min="14338" max="14338" width="36" style="2488" customWidth="1"/>
    <col min="14339" max="14339" width="19.42578125" style="2488" customWidth="1"/>
    <col min="14340" max="14341" width="11.42578125" style="2488"/>
    <col min="14342" max="14342" width="17.140625" style="2488" customWidth="1"/>
    <col min="14343" max="14344" width="16.42578125" style="2488" customWidth="1"/>
    <col min="14345" max="14345" width="26" style="2488" customWidth="1"/>
    <col min="14346" max="14592" width="11.42578125" style="2488"/>
    <col min="14593" max="14593" width="4.42578125" style="2488" customWidth="1"/>
    <col min="14594" max="14594" width="36" style="2488" customWidth="1"/>
    <col min="14595" max="14595" width="19.42578125" style="2488" customWidth="1"/>
    <col min="14596" max="14597" width="11.42578125" style="2488"/>
    <col min="14598" max="14598" width="17.140625" style="2488" customWidth="1"/>
    <col min="14599" max="14600" width="16.42578125" style="2488" customWidth="1"/>
    <col min="14601" max="14601" width="26" style="2488" customWidth="1"/>
    <col min="14602" max="14848" width="11.42578125" style="2488"/>
    <col min="14849" max="14849" width="4.42578125" style="2488" customWidth="1"/>
    <col min="14850" max="14850" width="36" style="2488" customWidth="1"/>
    <col min="14851" max="14851" width="19.42578125" style="2488" customWidth="1"/>
    <col min="14852" max="14853" width="11.42578125" style="2488"/>
    <col min="14854" max="14854" width="17.140625" style="2488" customWidth="1"/>
    <col min="14855" max="14856" width="16.42578125" style="2488" customWidth="1"/>
    <col min="14857" max="14857" width="26" style="2488" customWidth="1"/>
    <col min="14858" max="15104" width="11.42578125" style="2488"/>
    <col min="15105" max="15105" width="4.42578125" style="2488" customWidth="1"/>
    <col min="15106" max="15106" width="36" style="2488" customWidth="1"/>
    <col min="15107" max="15107" width="19.42578125" style="2488" customWidth="1"/>
    <col min="15108" max="15109" width="11.42578125" style="2488"/>
    <col min="15110" max="15110" width="17.140625" style="2488" customWidth="1"/>
    <col min="15111" max="15112" width="16.42578125" style="2488" customWidth="1"/>
    <col min="15113" max="15113" width="26" style="2488" customWidth="1"/>
    <col min="15114" max="15360" width="11.42578125" style="2488"/>
    <col min="15361" max="15361" width="4.42578125" style="2488" customWidth="1"/>
    <col min="15362" max="15362" width="36" style="2488" customWidth="1"/>
    <col min="15363" max="15363" width="19.42578125" style="2488" customWidth="1"/>
    <col min="15364" max="15365" width="11.42578125" style="2488"/>
    <col min="15366" max="15366" width="17.140625" style="2488" customWidth="1"/>
    <col min="15367" max="15368" width="16.42578125" style="2488" customWidth="1"/>
    <col min="15369" max="15369" width="26" style="2488" customWidth="1"/>
    <col min="15370" max="15616" width="11.42578125" style="2488"/>
    <col min="15617" max="15617" width="4.42578125" style="2488" customWidth="1"/>
    <col min="15618" max="15618" width="36" style="2488" customWidth="1"/>
    <col min="15619" max="15619" width="19.42578125" style="2488" customWidth="1"/>
    <col min="15620" max="15621" width="11.42578125" style="2488"/>
    <col min="15622" max="15622" width="17.140625" style="2488" customWidth="1"/>
    <col min="15623" max="15624" width="16.42578125" style="2488" customWidth="1"/>
    <col min="15625" max="15625" width="26" style="2488" customWidth="1"/>
    <col min="15626" max="15872" width="11.42578125" style="2488"/>
    <col min="15873" max="15873" width="4.42578125" style="2488" customWidth="1"/>
    <col min="15874" max="15874" width="36" style="2488" customWidth="1"/>
    <col min="15875" max="15875" width="19.42578125" style="2488" customWidth="1"/>
    <col min="15876" max="15877" width="11.42578125" style="2488"/>
    <col min="15878" max="15878" width="17.140625" style="2488" customWidth="1"/>
    <col min="15879" max="15880" width="16.42578125" style="2488" customWidth="1"/>
    <col min="15881" max="15881" width="26" style="2488" customWidth="1"/>
    <col min="15882" max="16128" width="11.42578125" style="2488"/>
    <col min="16129" max="16129" width="4.42578125" style="2488" customWidth="1"/>
    <col min="16130" max="16130" width="36" style="2488" customWidth="1"/>
    <col min="16131" max="16131" width="19.42578125" style="2488" customWidth="1"/>
    <col min="16132" max="16133" width="11.42578125" style="2488"/>
    <col min="16134" max="16134" width="17.140625" style="2488" customWidth="1"/>
    <col min="16135" max="16136" width="16.42578125" style="2488" customWidth="1"/>
    <col min="16137" max="16137" width="26" style="2488" customWidth="1"/>
    <col min="16138" max="16384" width="11.42578125" style="2488"/>
  </cols>
  <sheetData>
    <row r="1" spans="2:9" ht="13.5" thickBot="1"/>
    <row r="2" spans="2:9" ht="21" thickBot="1">
      <c r="B2" s="2836" t="s">
        <v>1370</v>
      </c>
      <c r="C2" s="2837"/>
      <c r="D2" s="2837"/>
      <c r="E2" s="2837"/>
      <c r="F2" s="2837"/>
      <c r="G2" s="2837"/>
      <c r="H2" s="2837"/>
      <c r="I2" s="2838"/>
    </row>
    <row r="3" spans="2:9">
      <c r="B3" s="2481"/>
      <c r="C3" s="2481"/>
      <c r="D3" s="2481"/>
      <c r="E3" s="2481"/>
      <c r="F3" s="2481"/>
      <c r="G3" s="2481"/>
      <c r="H3" s="2481"/>
      <c r="I3" s="2481"/>
    </row>
    <row r="4" spans="2:9">
      <c r="B4" s="2529" t="s">
        <v>1370</v>
      </c>
      <c r="C4" s="2481"/>
      <c r="D4" s="2481"/>
      <c r="E4" s="2481"/>
      <c r="F4" s="2481"/>
      <c r="G4" s="2481"/>
      <c r="H4" s="2481"/>
      <c r="I4" s="2481"/>
    </row>
    <row r="5" spans="2:9">
      <c r="B5" s="2529"/>
      <c r="C5" s="2481"/>
      <c r="D5" s="2481"/>
      <c r="E5" s="2481"/>
      <c r="F5" s="2481"/>
      <c r="G5" s="2481"/>
      <c r="H5" s="2481"/>
      <c r="I5" s="2481"/>
    </row>
    <row r="6" spans="2:9">
      <c r="B6" s="2482" t="s">
        <v>1371</v>
      </c>
      <c r="C6" s="2559">
        <v>60</v>
      </c>
      <c r="D6" s="2481"/>
      <c r="E6" s="2481"/>
      <c r="F6" s="2481"/>
      <c r="G6" s="2481"/>
      <c r="H6" s="2481"/>
      <c r="I6" s="2481"/>
    </row>
    <row r="7" spans="2:9" ht="13.5" thickBot="1">
      <c r="B7" s="2482"/>
      <c r="C7" s="2559"/>
      <c r="D7" s="2481"/>
      <c r="E7" s="2481"/>
      <c r="F7" s="2481"/>
      <c r="G7" s="2481"/>
      <c r="H7" s="2481"/>
      <c r="I7" s="2481"/>
    </row>
    <row r="8" spans="2:9" ht="24" customHeight="1">
      <c r="B8" s="2530" t="s">
        <v>1340</v>
      </c>
      <c r="C8" s="2531" t="s">
        <v>1372</v>
      </c>
      <c r="D8" s="2533" t="s">
        <v>1200</v>
      </c>
      <c r="E8" s="2532" t="s">
        <v>1362</v>
      </c>
      <c r="F8" s="2532" t="s">
        <v>1373</v>
      </c>
      <c r="G8" s="2533" t="s">
        <v>1343</v>
      </c>
      <c r="H8" s="2533" t="s">
        <v>1344</v>
      </c>
      <c r="I8" s="2534" t="s">
        <v>1365</v>
      </c>
    </row>
    <row r="9" spans="2:9" ht="24" customHeight="1">
      <c r="B9" s="2560" t="s">
        <v>1466</v>
      </c>
      <c r="C9" s="2561">
        <f>Sistemas!E6</f>
        <v>178000</v>
      </c>
      <c r="D9" s="2536">
        <v>1</v>
      </c>
      <c r="E9" s="2537">
        <v>1</v>
      </c>
      <c r="F9" s="2561">
        <f t="shared" ref="F9:F18" si="0">+C9*D9*E9</f>
        <v>178000</v>
      </c>
      <c r="G9" s="2484">
        <f t="shared" ref="G9:G18" si="1">F9/$C$6</f>
        <v>2966.6666666666665</v>
      </c>
      <c r="H9" s="2485">
        <f t="shared" ref="H9:H18" si="2">+G9*12</f>
        <v>35600</v>
      </c>
      <c r="I9" s="2562" t="s">
        <v>1684</v>
      </c>
    </row>
    <row r="10" spans="2:9" ht="24" customHeight="1">
      <c r="B10" s="2483" t="s">
        <v>1655</v>
      </c>
      <c r="C10" s="2561">
        <f>Oficinas!C4*60</f>
        <v>23986.086474672949</v>
      </c>
      <c r="D10" s="2536">
        <v>1</v>
      </c>
      <c r="E10" s="2537">
        <v>1</v>
      </c>
      <c r="F10" s="2561">
        <f t="shared" si="0"/>
        <v>23986.086474672949</v>
      </c>
      <c r="G10" s="2484">
        <f t="shared" si="1"/>
        <v>399.76810791121585</v>
      </c>
      <c r="H10" s="2485">
        <f t="shared" si="2"/>
        <v>4797.2172949345904</v>
      </c>
      <c r="I10" s="2556" t="s">
        <v>1685</v>
      </c>
    </row>
    <row r="11" spans="2:9" ht="24" customHeight="1">
      <c r="B11" s="2483" t="s">
        <v>1658</v>
      </c>
      <c r="C11" s="2561">
        <v>12000</v>
      </c>
      <c r="D11" s="2536">
        <v>4</v>
      </c>
      <c r="E11" s="2537">
        <v>1</v>
      </c>
      <c r="F11" s="2561">
        <f t="shared" si="0"/>
        <v>48000</v>
      </c>
      <c r="G11" s="2484">
        <f t="shared" si="1"/>
        <v>800</v>
      </c>
      <c r="H11" s="2485">
        <f t="shared" si="2"/>
        <v>9600</v>
      </c>
      <c r="I11" s="2556" t="s">
        <v>1684</v>
      </c>
    </row>
    <row r="12" spans="2:9" ht="24" customHeight="1">
      <c r="B12" s="2483" t="s">
        <v>1659</v>
      </c>
      <c r="C12" s="2561">
        <v>2000</v>
      </c>
      <c r="D12" s="2536">
        <v>1</v>
      </c>
      <c r="E12" s="2537">
        <v>1</v>
      </c>
      <c r="F12" s="2561">
        <f t="shared" si="0"/>
        <v>2000</v>
      </c>
      <c r="G12" s="2484">
        <f t="shared" si="1"/>
        <v>33.333333333333336</v>
      </c>
      <c r="H12" s="2485">
        <f t="shared" si="2"/>
        <v>400</v>
      </c>
      <c r="I12" s="2556" t="s">
        <v>1684</v>
      </c>
    </row>
    <row r="13" spans="2:9" ht="24" customHeight="1">
      <c r="B13" s="2483" t="s">
        <v>1660</v>
      </c>
      <c r="C13" s="2561">
        <v>15000</v>
      </c>
      <c r="D13" s="2536">
        <v>1</v>
      </c>
      <c r="E13" s="2537">
        <v>1</v>
      </c>
      <c r="F13" s="2561">
        <f t="shared" si="0"/>
        <v>15000</v>
      </c>
      <c r="G13" s="2484">
        <f t="shared" si="1"/>
        <v>250</v>
      </c>
      <c r="H13" s="2485">
        <f t="shared" si="2"/>
        <v>3000</v>
      </c>
      <c r="I13" s="2539" t="s">
        <v>1685</v>
      </c>
    </row>
    <row r="14" spans="2:9" ht="24" customHeight="1">
      <c r="B14" s="2483" t="s">
        <v>1661</v>
      </c>
      <c r="C14" s="2561">
        <v>60000</v>
      </c>
      <c r="D14" s="2536">
        <v>1</v>
      </c>
      <c r="E14" s="2537">
        <v>1</v>
      </c>
      <c r="F14" s="2561">
        <f t="shared" si="0"/>
        <v>60000</v>
      </c>
      <c r="G14" s="2484">
        <f t="shared" si="1"/>
        <v>1000</v>
      </c>
      <c r="H14" s="2485">
        <f t="shared" si="2"/>
        <v>12000</v>
      </c>
      <c r="I14" s="2539" t="s">
        <v>1685</v>
      </c>
    </row>
    <row r="15" spans="2:9" ht="24" customHeight="1">
      <c r="B15" s="2483"/>
      <c r="C15" s="2561">
        <v>0</v>
      </c>
      <c r="D15" s="2536">
        <v>0</v>
      </c>
      <c r="E15" s="2537">
        <v>1</v>
      </c>
      <c r="F15" s="2561">
        <f t="shared" si="0"/>
        <v>0</v>
      </c>
      <c r="G15" s="2484">
        <f t="shared" si="1"/>
        <v>0</v>
      </c>
      <c r="H15" s="2485">
        <f t="shared" si="2"/>
        <v>0</v>
      </c>
      <c r="I15" s="2539"/>
    </row>
    <row r="16" spans="2:9" ht="24" customHeight="1">
      <c r="B16" s="2483"/>
      <c r="C16" s="2561">
        <v>0</v>
      </c>
      <c r="D16" s="2536">
        <v>0</v>
      </c>
      <c r="E16" s="2537">
        <v>1</v>
      </c>
      <c r="F16" s="2561">
        <f t="shared" si="0"/>
        <v>0</v>
      </c>
      <c r="G16" s="2484">
        <f t="shared" si="1"/>
        <v>0</v>
      </c>
      <c r="H16" s="2485">
        <f t="shared" si="2"/>
        <v>0</v>
      </c>
      <c r="I16" s="2539"/>
    </row>
    <row r="17" spans="2:9" ht="24" customHeight="1">
      <c r="B17" s="2483"/>
      <c r="C17" s="2561">
        <v>0</v>
      </c>
      <c r="D17" s="2536">
        <v>0</v>
      </c>
      <c r="E17" s="2537">
        <v>1</v>
      </c>
      <c r="F17" s="2561">
        <f t="shared" si="0"/>
        <v>0</v>
      </c>
      <c r="G17" s="2484">
        <f t="shared" si="1"/>
        <v>0</v>
      </c>
      <c r="H17" s="2485">
        <f t="shared" si="2"/>
        <v>0</v>
      </c>
      <c r="I17" s="2539"/>
    </row>
    <row r="18" spans="2:9" ht="24" customHeight="1" thickBot="1">
      <c r="B18" s="2563"/>
      <c r="C18" s="2561">
        <v>0</v>
      </c>
      <c r="D18" s="2536">
        <v>0</v>
      </c>
      <c r="E18" s="2537">
        <v>1</v>
      </c>
      <c r="F18" s="2561">
        <f t="shared" si="0"/>
        <v>0</v>
      </c>
      <c r="G18" s="2484">
        <f t="shared" si="1"/>
        <v>0</v>
      </c>
      <c r="H18" s="2485">
        <f t="shared" si="2"/>
        <v>0</v>
      </c>
      <c r="I18" s="2538"/>
    </row>
    <row r="19" spans="2:9" ht="24" customHeight="1" thickBot="1">
      <c r="B19" s="2853" t="s">
        <v>1200</v>
      </c>
      <c r="C19" s="2854"/>
      <c r="D19" s="2564"/>
      <c r="E19" s="2564"/>
      <c r="F19" s="2565">
        <f>SUM(F9:F18)</f>
        <v>326986.08647467295</v>
      </c>
      <c r="G19" s="2486">
        <f>SUM(G9:G18)</f>
        <v>5449.7681079112153</v>
      </c>
      <c r="H19" s="2487">
        <f>SUM(H9:H18)</f>
        <v>65397.217294934591</v>
      </c>
      <c r="I19" s="2564"/>
    </row>
  </sheetData>
  <mergeCells count="2">
    <mergeCell ref="B2:I2"/>
    <mergeCell ref="B19:C19"/>
  </mergeCells>
  <conditionalFormatting sqref="B9:B18">
    <cfRule type="expression" dxfId="88" priority="1" stopIfTrue="1">
      <formula>D9&gt;0</formula>
    </cfRule>
  </conditionalFormatting>
  <pageMargins left="0.22" right="0.17" top="0.49" bottom="1" header="0" footer="0"/>
  <pageSetup paperSize="9" scale="88" orientation="landscape" r:id="rId1"/>
  <headerFooter alignWithMargins="0"/>
</worksheet>
</file>

<file path=xl/worksheets/sheet17.xml><?xml version="1.0" encoding="utf-8"?>
<worksheet xmlns="http://schemas.openxmlformats.org/spreadsheetml/2006/main" xmlns:r="http://schemas.openxmlformats.org/officeDocument/2006/relationships">
  <sheetPr>
    <tabColor indexed="43"/>
  </sheetPr>
  <dimension ref="B1:H17"/>
  <sheetViews>
    <sheetView showGridLines="0" topLeftCell="A2" workbookViewId="0">
      <selection activeCell="E20" sqref="E20"/>
    </sheetView>
  </sheetViews>
  <sheetFormatPr baseColWidth="10" defaultColWidth="11.42578125" defaultRowHeight="12.75"/>
  <cols>
    <col min="1" max="1" width="4.7109375" style="2488" customWidth="1"/>
    <col min="2" max="2" width="34" style="2488" customWidth="1"/>
    <col min="3" max="3" width="18.28515625" style="2488" customWidth="1"/>
    <col min="4" max="5" width="13.7109375" style="2488" customWidth="1"/>
    <col min="6" max="7" width="16.42578125" style="2488" customWidth="1"/>
    <col min="8" max="8" width="34.42578125" style="2488" customWidth="1"/>
    <col min="9" max="256" width="11.42578125" style="2488"/>
    <col min="257" max="257" width="4.7109375" style="2488" customWidth="1"/>
    <col min="258" max="258" width="34" style="2488" customWidth="1"/>
    <col min="259" max="259" width="18.28515625" style="2488" customWidth="1"/>
    <col min="260" max="261" width="13.7109375" style="2488" customWidth="1"/>
    <col min="262" max="263" width="16.42578125" style="2488" customWidth="1"/>
    <col min="264" max="264" width="33" style="2488" customWidth="1"/>
    <col min="265" max="512" width="11.42578125" style="2488"/>
    <col min="513" max="513" width="4.7109375" style="2488" customWidth="1"/>
    <col min="514" max="514" width="34" style="2488" customWidth="1"/>
    <col min="515" max="515" width="18.28515625" style="2488" customWidth="1"/>
    <col min="516" max="517" width="13.7109375" style="2488" customWidth="1"/>
    <col min="518" max="519" width="16.42578125" style="2488" customWidth="1"/>
    <col min="520" max="520" width="33" style="2488" customWidth="1"/>
    <col min="521" max="768" width="11.42578125" style="2488"/>
    <col min="769" max="769" width="4.7109375" style="2488" customWidth="1"/>
    <col min="770" max="770" width="34" style="2488" customWidth="1"/>
    <col min="771" max="771" width="18.28515625" style="2488" customWidth="1"/>
    <col min="772" max="773" width="13.7109375" style="2488" customWidth="1"/>
    <col min="774" max="775" width="16.42578125" style="2488" customWidth="1"/>
    <col min="776" max="776" width="33" style="2488" customWidth="1"/>
    <col min="777" max="1024" width="11.42578125" style="2488"/>
    <col min="1025" max="1025" width="4.7109375" style="2488" customWidth="1"/>
    <col min="1026" max="1026" width="34" style="2488" customWidth="1"/>
    <col min="1027" max="1027" width="18.28515625" style="2488" customWidth="1"/>
    <col min="1028" max="1029" width="13.7109375" style="2488" customWidth="1"/>
    <col min="1030" max="1031" width="16.42578125" style="2488" customWidth="1"/>
    <col min="1032" max="1032" width="33" style="2488" customWidth="1"/>
    <col min="1033" max="1280" width="11.42578125" style="2488"/>
    <col min="1281" max="1281" width="4.7109375" style="2488" customWidth="1"/>
    <col min="1282" max="1282" width="34" style="2488" customWidth="1"/>
    <col min="1283" max="1283" width="18.28515625" style="2488" customWidth="1"/>
    <col min="1284" max="1285" width="13.7109375" style="2488" customWidth="1"/>
    <col min="1286" max="1287" width="16.42578125" style="2488" customWidth="1"/>
    <col min="1288" max="1288" width="33" style="2488" customWidth="1"/>
    <col min="1289" max="1536" width="11.42578125" style="2488"/>
    <col min="1537" max="1537" width="4.7109375" style="2488" customWidth="1"/>
    <col min="1538" max="1538" width="34" style="2488" customWidth="1"/>
    <col min="1539" max="1539" width="18.28515625" style="2488" customWidth="1"/>
    <col min="1540" max="1541" width="13.7109375" style="2488" customWidth="1"/>
    <col min="1542" max="1543" width="16.42578125" style="2488" customWidth="1"/>
    <col min="1544" max="1544" width="33" style="2488" customWidth="1"/>
    <col min="1545" max="1792" width="11.42578125" style="2488"/>
    <col min="1793" max="1793" width="4.7109375" style="2488" customWidth="1"/>
    <col min="1794" max="1794" width="34" style="2488" customWidth="1"/>
    <col min="1795" max="1795" width="18.28515625" style="2488" customWidth="1"/>
    <col min="1796" max="1797" width="13.7109375" style="2488" customWidth="1"/>
    <col min="1798" max="1799" width="16.42578125" style="2488" customWidth="1"/>
    <col min="1800" max="1800" width="33" style="2488" customWidth="1"/>
    <col min="1801" max="2048" width="11.42578125" style="2488"/>
    <col min="2049" max="2049" width="4.7109375" style="2488" customWidth="1"/>
    <col min="2050" max="2050" width="34" style="2488" customWidth="1"/>
    <col min="2051" max="2051" width="18.28515625" style="2488" customWidth="1"/>
    <col min="2052" max="2053" width="13.7109375" style="2488" customWidth="1"/>
    <col min="2054" max="2055" width="16.42578125" style="2488" customWidth="1"/>
    <col min="2056" max="2056" width="33" style="2488" customWidth="1"/>
    <col min="2057" max="2304" width="11.42578125" style="2488"/>
    <col min="2305" max="2305" width="4.7109375" style="2488" customWidth="1"/>
    <col min="2306" max="2306" width="34" style="2488" customWidth="1"/>
    <col min="2307" max="2307" width="18.28515625" style="2488" customWidth="1"/>
    <col min="2308" max="2309" width="13.7109375" style="2488" customWidth="1"/>
    <col min="2310" max="2311" width="16.42578125" style="2488" customWidth="1"/>
    <col min="2312" max="2312" width="33" style="2488" customWidth="1"/>
    <col min="2313" max="2560" width="11.42578125" style="2488"/>
    <col min="2561" max="2561" width="4.7109375" style="2488" customWidth="1"/>
    <col min="2562" max="2562" width="34" style="2488" customWidth="1"/>
    <col min="2563" max="2563" width="18.28515625" style="2488" customWidth="1"/>
    <col min="2564" max="2565" width="13.7109375" style="2488" customWidth="1"/>
    <col min="2566" max="2567" width="16.42578125" style="2488" customWidth="1"/>
    <col min="2568" max="2568" width="33" style="2488" customWidth="1"/>
    <col min="2569" max="2816" width="11.42578125" style="2488"/>
    <col min="2817" max="2817" width="4.7109375" style="2488" customWidth="1"/>
    <col min="2818" max="2818" width="34" style="2488" customWidth="1"/>
    <col min="2819" max="2819" width="18.28515625" style="2488" customWidth="1"/>
    <col min="2820" max="2821" width="13.7109375" style="2488" customWidth="1"/>
    <col min="2822" max="2823" width="16.42578125" style="2488" customWidth="1"/>
    <col min="2824" max="2824" width="33" style="2488" customWidth="1"/>
    <col min="2825" max="3072" width="11.42578125" style="2488"/>
    <col min="3073" max="3073" width="4.7109375" style="2488" customWidth="1"/>
    <col min="3074" max="3074" width="34" style="2488" customWidth="1"/>
    <col min="3075" max="3075" width="18.28515625" style="2488" customWidth="1"/>
    <col min="3076" max="3077" width="13.7109375" style="2488" customWidth="1"/>
    <col min="3078" max="3079" width="16.42578125" style="2488" customWidth="1"/>
    <col min="3080" max="3080" width="33" style="2488" customWidth="1"/>
    <col min="3081" max="3328" width="11.42578125" style="2488"/>
    <col min="3329" max="3329" width="4.7109375" style="2488" customWidth="1"/>
    <col min="3330" max="3330" width="34" style="2488" customWidth="1"/>
    <col min="3331" max="3331" width="18.28515625" style="2488" customWidth="1"/>
    <col min="3332" max="3333" width="13.7109375" style="2488" customWidth="1"/>
    <col min="3334" max="3335" width="16.42578125" style="2488" customWidth="1"/>
    <col min="3336" max="3336" width="33" style="2488" customWidth="1"/>
    <col min="3337" max="3584" width="11.42578125" style="2488"/>
    <col min="3585" max="3585" width="4.7109375" style="2488" customWidth="1"/>
    <col min="3586" max="3586" width="34" style="2488" customWidth="1"/>
    <col min="3587" max="3587" width="18.28515625" style="2488" customWidth="1"/>
    <col min="3588" max="3589" width="13.7109375" style="2488" customWidth="1"/>
    <col min="3590" max="3591" width="16.42578125" style="2488" customWidth="1"/>
    <col min="3592" max="3592" width="33" style="2488" customWidth="1"/>
    <col min="3593" max="3840" width="11.42578125" style="2488"/>
    <col min="3841" max="3841" width="4.7109375" style="2488" customWidth="1"/>
    <col min="3842" max="3842" width="34" style="2488" customWidth="1"/>
    <col min="3843" max="3843" width="18.28515625" style="2488" customWidth="1"/>
    <col min="3844" max="3845" width="13.7109375" style="2488" customWidth="1"/>
    <col min="3846" max="3847" width="16.42578125" style="2488" customWidth="1"/>
    <col min="3848" max="3848" width="33" style="2488" customWidth="1"/>
    <col min="3849" max="4096" width="11.42578125" style="2488"/>
    <col min="4097" max="4097" width="4.7109375" style="2488" customWidth="1"/>
    <col min="4098" max="4098" width="34" style="2488" customWidth="1"/>
    <col min="4099" max="4099" width="18.28515625" style="2488" customWidth="1"/>
    <col min="4100" max="4101" width="13.7109375" style="2488" customWidth="1"/>
    <col min="4102" max="4103" width="16.42578125" style="2488" customWidth="1"/>
    <col min="4104" max="4104" width="33" style="2488" customWidth="1"/>
    <col min="4105" max="4352" width="11.42578125" style="2488"/>
    <col min="4353" max="4353" width="4.7109375" style="2488" customWidth="1"/>
    <col min="4354" max="4354" width="34" style="2488" customWidth="1"/>
    <col min="4355" max="4355" width="18.28515625" style="2488" customWidth="1"/>
    <col min="4356" max="4357" width="13.7109375" style="2488" customWidth="1"/>
    <col min="4358" max="4359" width="16.42578125" style="2488" customWidth="1"/>
    <col min="4360" max="4360" width="33" style="2488" customWidth="1"/>
    <col min="4361" max="4608" width="11.42578125" style="2488"/>
    <col min="4609" max="4609" width="4.7109375" style="2488" customWidth="1"/>
    <col min="4610" max="4610" width="34" style="2488" customWidth="1"/>
    <col min="4611" max="4611" width="18.28515625" style="2488" customWidth="1"/>
    <col min="4612" max="4613" width="13.7109375" style="2488" customWidth="1"/>
    <col min="4614" max="4615" width="16.42578125" style="2488" customWidth="1"/>
    <col min="4616" max="4616" width="33" style="2488" customWidth="1"/>
    <col min="4617" max="4864" width="11.42578125" style="2488"/>
    <col min="4865" max="4865" width="4.7109375" style="2488" customWidth="1"/>
    <col min="4866" max="4866" width="34" style="2488" customWidth="1"/>
    <col min="4867" max="4867" width="18.28515625" style="2488" customWidth="1"/>
    <col min="4868" max="4869" width="13.7109375" style="2488" customWidth="1"/>
    <col min="4870" max="4871" width="16.42578125" style="2488" customWidth="1"/>
    <col min="4872" max="4872" width="33" style="2488" customWidth="1"/>
    <col min="4873" max="5120" width="11.42578125" style="2488"/>
    <col min="5121" max="5121" width="4.7109375" style="2488" customWidth="1"/>
    <col min="5122" max="5122" width="34" style="2488" customWidth="1"/>
    <col min="5123" max="5123" width="18.28515625" style="2488" customWidth="1"/>
    <col min="5124" max="5125" width="13.7109375" style="2488" customWidth="1"/>
    <col min="5126" max="5127" width="16.42578125" style="2488" customWidth="1"/>
    <col min="5128" max="5128" width="33" style="2488" customWidth="1"/>
    <col min="5129" max="5376" width="11.42578125" style="2488"/>
    <col min="5377" max="5377" width="4.7109375" style="2488" customWidth="1"/>
    <col min="5378" max="5378" width="34" style="2488" customWidth="1"/>
    <col min="5379" max="5379" width="18.28515625" style="2488" customWidth="1"/>
    <col min="5380" max="5381" width="13.7109375" style="2488" customWidth="1"/>
    <col min="5382" max="5383" width="16.42578125" style="2488" customWidth="1"/>
    <col min="5384" max="5384" width="33" style="2488" customWidth="1"/>
    <col min="5385" max="5632" width="11.42578125" style="2488"/>
    <col min="5633" max="5633" width="4.7109375" style="2488" customWidth="1"/>
    <col min="5634" max="5634" width="34" style="2488" customWidth="1"/>
    <col min="5635" max="5635" width="18.28515625" style="2488" customWidth="1"/>
    <col min="5636" max="5637" width="13.7109375" style="2488" customWidth="1"/>
    <col min="5638" max="5639" width="16.42578125" style="2488" customWidth="1"/>
    <col min="5640" max="5640" width="33" style="2488" customWidth="1"/>
    <col min="5641" max="5888" width="11.42578125" style="2488"/>
    <col min="5889" max="5889" width="4.7109375" style="2488" customWidth="1"/>
    <col min="5890" max="5890" width="34" style="2488" customWidth="1"/>
    <col min="5891" max="5891" width="18.28515625" style="2488" customWidth="1"/>
    <col min="5892" max="5893" width="13.7109375" style="2488" customWidth="1"/>
    <col min="5894" max="5895" width="16.42578125" style="2488" customWidth="1"/>
    <col min="5896" max="5896" width="33" style="2488" customWidth="1"/>
    <col min="5897" max="6144" width="11.42578125" style="2488"/>
    <col min="6145" max="6145" width="4.7109375" style="2488" customWidth="1"/>
    <col min="6146" max="6146" width="34" style="2488" customWidth="1"/>
    <col min="6147" max="6147" width="18.28515625" style="2488" customWidth="1"/>
    <col min="6148" max="6149" width="13.7109375" style="2488" customWidth="1"/>
    <col min="6150" max="6151" width="16.42578125" style="2488" customWidth="1"/>
    <col min="6152" max="6152" width="33" style="2488" customWidth="1"/>
    <col min="6153" max="6400" width="11.42578125" style="2488"/>
    <col min="6401" max="6401" width="4.7109375" style="2488" customWidth="1"/>
    <col min="6402" max="6402" width="34" style="2488" customWidth="1"/>
    <col min="6403" max="6403" width="18.28515625" style="2488" customWidth="1"/>
    <col min="6404" max="6405" width="13.7109375" style="2488" customWidth="1"/>
    <col min="6406" max="6407" width="16.42578125" style="2488" customWidth="1"/>
    <col min="6408" max="6408" width="33" style="2488" customWidth="1"/>
    <col min="6409" max="6656" width="11.42578125" style="2488"/>
    <col min="6657" max="6657" width="4.7109375" style="2488" customWidth="1"/>
    <col min="6658" max="6658" width="34" style="2488" customWidth="1"/>
    <col min="6659" max="6659" width="18.28515625" style="2488" customWidth="1"/>
    <col min="6660" max="6661" width="13.7109375" style="2488" customWidth="1"/>
    <col min="6662" max="6663" width="16.42578125" style="2488" customWidth="1"/>
    <col min="6664" max="6664" width="33" style="2488" customWidth="1"/>
    <col min="6665" max="6912" width="11.42578125" style="2488"/>
    <col min="6913" max="6913" width="4.7109375" style="2488" customWidth="1"/>
    <col min="6914" max="6914" width="34" style="2488" customWidth="1"/>
    <col min="6915" max="6915" width="18.28515625" style="2488" customWidth="1"/>
    <col min="6916" max="6917" width="13.7109375" style="2488" customWidth="1"/>
    <col min="6918" max="6919" width="16.42578125" style="2488" customWidth="1"/>
    <col min="6920" max="6920" width="33" style="2488" customWidth="1"/>
    <col min="6921" max="7168" width="11.42578125" style="2488"/>
    <col min="7169" max="7169" width="4.7109375" style="2488" customWidth="1"/>
    <col min="7170" max="7170" width="34" style="2488" customWidth="1"/>
    <col min="7171" max="7171" width="18.28515625" style="2488" customWidth="1"/>
    <col min="7172" max="7173" width="13.7109375" style="2488" customWidth="1"/>
    <col min="7174" max="7175" width="16.42578125" style="2488" customWidth="1"/>
    <col min="7176" max="7176" width="33" style="2488" customWidth="1"/>
    <col min="7177" max="7424" width="11.42578125" style="2488"/>
    <col min="7425" max="7425" width="4.7109375" style="2488" customWidth="1"/>
    <col min="7426" max="7426" width="34" style="2488" customWidth="1"/>
    <col min="7427" max="7427" width="18.28515625" style="2488" customWidth="1"/>
    <col min="7428" max="7429" width="13.7109375" style="2488" customWidth="1"/>
    <col min="7430" max="7431" width="16.42578125" style="2488" customWidth="1"/>
    <col min="7432" max="7432" width="33" style="2488" customWidth="1"/>
    <col min="7433" max="7680" width="11.42578125" style="2488"/>
    <col min="7681" max="7681" width="4.7109375" style="2488" customWidth="1"/>
    <col min="7682" max="7682" width="34" style="2488" customWidth="1"/>
    <col min="7683" max="7683" width="18.28515625" style="2488" customWidth="1"/>
    <col min="7684" max="7685" width="13.7109375" style="2488" customWidth="1"/>
    <col min="7686" max="7687" width="16.42578125" style="2488" customWidth="1"/>
    <col min="7688" max="7688" width="33" style="2488" customWidth="1"/>
    <col min="7689" max="7936" width="11.42578125" style="2488"/>
    <col min="7937" max="7937" width="4.7109375" style="2488" customWidth="1"/>
    <col min="7938" max="7938" width="34" style="2488" customWidth="1"/>
    <col min="7939" max="7939" width="18.28515625" style="2488" customWidth="1"/>
    <col min="7940" max="7941" width="13.7109375" style="2488" customWidth="1"/>
    <col min="7942" max="7943" width="16.42578125" style="2488" customWidth="1"/>
    <col min="7944" max="7944" width="33" style="2488" customWidth="1"/>
    <col min="7945" max="8192" width="11.42578125" style="2488"/>
    <col min="8193" max="8193" width="4.7109375" style="2488" customWidth="1"/>
    <col min="8194" max="8194" width="34" style="2488" customWidth="1"/>
    <col min="8195" max="8195" width="18.28515625" style="2488" customWidth="1"/>
    <col min="8196" max="8197" width="13.7109375" style="2488" customWidth="1"/>
    <col min="8198" max="8199" width="16.42578125" style="2488" customWidth="1"/>
    <col min="8200" max="8200" width="33" style="2488" customWidth="1"/>
    <col min="8201" max="8448" width="11.42578125" style="2488"/>
    <col min="8449" max="8449" width="4.7109375" style="2488" customWidth="1"/>
    <col min="8450" max="8450" width="34" style="2488" customWidth="1"/>
    <col min="8451" max="8451" width="18.28515625" style="2488" customWidth="1"/>
    <col min="8452" max="8453" width="13.7109375" style="2488" customWidth="1"/>
    <col min="8454" max="8455" width="16.42578125" style="2488" customWidth="1"/>
    <col min="8456" max="8456" width="33" style="2488" customWidth="1"/>
    <col min="8457" max="8704" width="11.42578125" style="2488"/>
    <col min="8705" max="8705" width="4.7109375" style="2488" customWidth="1"/>
    <col min="8706" max="8706" width="34" style="2488" customWidth="1"/>
    <col min="8707" max="8707" width="18.28515625" style="2488" customWidth="1"/>
    <col min="8708" max="8709" width="13.7109375" style="2488" customWidth="1"/>
    <col min="8710" max="8711" width="16.42578125" style="2488" customWidth="1"/>
    <col min="8712" max="8712" width="33" style="2488" customWidth="1"/>
    <col min="8713" max="8960" width="11.42578125" style="2488"/>
    <col min="8961" max="8961" width="4.7109375" style="2488" customWidth="1"/>
    <col min="8962" max="8962" width="34" style="2488" customWidth="1"/>
    <col min="8963" max="8963" width="18.28515625" style="2488" customWidth="1"/>
    <col min="8964" max="8965" width="13.7109375" style="2488" customWidth="1"/>
    <col min="8966" max="8967" width="16.42578125" style="2488" customWidth="1"/>
    <col min="8968" max="8968" width="33" style="2488" customWidth="1"/>
    <col min="8969" max="9216" width="11.42578125" style="2488"/>
    <col min="9217" max="9217" width="4.7109375" style="2488" customWidth="1"/>
    <col min="9218" max="9218" width="34" style="2488" customWidth="1"/>
    <col min="9219" max="9219" width="18.28515625" style="2488" customWidth="1"/>
    <col min="9220" max="9221" width="13.7109375" style="2488" customWidth="1"/>
    <col min="9222" max="9223" width="16.42578125" style="2488" customWidth="1"/>
    <col min="9224" max="9224" width="33" style="2488" customWidth="1"/>
    <col min="9225" max="9472" width="11.42578125" style="2488"/>
    <col min="9473" max="9473" width="4.7109375" style="2488" customWidth="1"/>
    <col min="9474" max="9474" width="34" style="2488" customWidth="1"/>
    <col min="9475" max="9475" width="18.28515625" style="2488" customWidth="1"/>
    <col min="9476" max="9477" width="13.7109375" style="2488" customWidth="1"/>
    <col min="9478" max="9479" width="16.42578125" style="2488" customWidth="1"/>
    <col min="9480" max="9480" width="33" style="2488" customWidth="1"/>
    <col min="9481" max="9728" width="11.42578125" style="2488"/>
    <col min="9729" max="9729" width="4.7109375" style="2488" customWidth="1"/>
    <col min="9730" max="9730" width="34" style="2488" customWidth="1"/>
    <col min="9731" max="9731" width="18.28515625" style="2488" customWidth="1"/>
    <col min="9732" max="9733" width="13.7109375" style="2488" customWidth="1"/>
    <col min="9734" max="9735" width="16.42578125" style="2488" customWidth="1"/>
    <col min="9736" max="9736" width="33" style="2488" customWidth="1"/>
    <col min="9737" max="9984" width="11.42578125" style="2488"/>
    <col min="9985" max="9985" width="4.7109375" style="2488" customWidth="1"/>
    <col min="9986" max="9986" width="34" style="2488" customWidth="1"/>
    <col min="9987" max="9987" width="18.28515625" style="2488" customWidth="1"/>
    <col min="9988" max="9989" width="13.7109375" style="2488" customWidth="1"/>
    <col min="9990" max="9991" width="16.42578125" style="2488" customWidth="1"/>
    <col min="9992" max="9992" width="33" style="2488" customWidth="1"/>
    <col min="9993" max="10240" width="11.42578125" style="2488"/>
    <col min="10241" max="10241" width="4.7109375" style="2488" customWidth="1"/>
    <col min="10242" max="10242" width="34" style="2488" customWidth="1"/>
    <col min="10243" max="10243" width="18.28515625" style="2488" customWidth="1"/>
    <col min="10244" max="10245" width="13.7109375" style="2488" customWidth="1"/>
    <col min="10246" max="10247" width="16.42578125" style="2488" customWidth="1"/>
    <col min="10248" max="10248" width="33" style="2488" customWidth="1"/>
    <col min="10249" max="10496" width="11.42578125" style="2488"/>
    <col min="10497" max="10497" width="4.7109375" style="2488" customWidth="1"/>
    <col min="10498" max="10498" width="34" style="2488" customWidth="1"/>
    <col min="10499" max="10499" width="18.28515625" style="2488" customWidth="1"/>
    <col min="10500" max="10501" width="13.7109375" style="2488" customWidth="1"/>
    <col min="10502" max="10503" width="16.42578125" style="2488" customWidth="1"/>
    <col min="10504" max="10504" width="33" style="2488" customWidth="1"/>
    <col min="10505" max="10752" width="11.42578125" style="2488"/>
    <col min="10753" max="10753" width="4.7109375" style="2488" customWidth="1"/>
    <col min="10754" max="10754" width="34" style="2488" customWidth="1"/>
    <col min="10755" max="10755" width="18.28515625" style="2488" customWidth="1"/>
    <col min="10756" max="10757" width="13.7109375" style="2488" customWidth="1"/>
    <col min="10758" max="10759" width="16.42578125" style="2488" customWidth="1"/>
    <col min="10760" max="10760" width="33" style="2488" customWidth="1"/>
    <col min="10761" max="11008" width="11.42578125" style="2488"/>
    <col min="11009" max="11009" width="4.7109375" style="2488" customWidth="1"/>
    <col min="11010" max="11010" width="34" style="2488" customWidth="1"/>
    <col min="11011" max="11011" width="18.28515625" style="2488" customWidth="1"/>
    <col min="11012" max="11013" width="13.7109375" style="2488" customWidth="1"/>
    <col min="11014" max="11015" width="16.42578125" style="2488" customWidth="1"/>
    <col min="11016" max="11016" width="33" style="2488" customWidth="1"/>
    <col min="11017" max="11264" width="11.42578125" style="2488"/>
    <col min="11265" max="11265" width="4.7109375" style="2488" customWidth="1"/>
    <col min="11266" max="11266" width="34" style="2488" customWidth="1"/>
    <col min="11267" max="11267" width="18.28515625" style="2488" customWidth="1"/>
    <col min="11268" max="11269" width="13.7109375" style="2488" customWidth="1"/>
    <col min="11270" max="11271" width="16.42578125" style="2488" customWidth="1"/>
    <col min="11272" max="11272" width="33" style="2488" customWidth="1"/>
    <col min="11273" max="11520" width="11.42578125" style="2488"/>
    <col min="11521" max="11521" width="4.7109375" style="2488" customWidth="1"/>
    <col min="11522" max="11522" width="34" style="2488" customWidth="1"/>
    <col min="11523" max="11523" width="18.28515625" style="2488" customWidth="1"/>
    <col min="11524" max="11525" width="13.7109375" style="2488" customWidth="1"/>
    <col min="11526" max="11527" width="16.42578125" style="2488" customWidth="1"/>
    <col min="11528" max="11528" width="33" style="2488" customWidth="1"/>
    <col min="11529" max="11776" width="11.42578125" style="2488"/>
    <col min="11777" max="11777" width="4.7109375" style="2488" customWidth="1"/>
    <col min="11778" max="11778" width="34" style="2488" customWidth="1"/>
    <col min="11779" max="11779" width="18.28515625" style="2488" customWidth="1"/>
    <col min="11780" max="11781" width="13.7109375" style="2488" customWidth="1"/>
    <col min="11782" max="11783" width="16.42578125" style="2488" customWidth="1"/>
    <col min="11784" max="11784" width="33" style="2488" customWidth="1"/>
    <col min="11785" max="12032" width="11.42578125" style="2488"/>
    <col min="12033" max="12033" width="4.7109375" style="2488" customWidth="1"/>
    <col min="12034" max="12034" width="34" style="2488" customWidth="1"/>
    <col min="12035" max="12035" width="18.28515625" style="2488" customWidth="1"/>
    <col min="12036" max="12037" width="13.7109375" style="2488" customWidth="1"/>
    <col min="12038" max="12039" width="16.42578125" style="2488" customWidth="1"/>
    <col min="12040" max="12040" width="33" style="2488" customWidth="1"/>
    <col min="12041" max="12288" width="11.42578125" style="2488"/>
    <col min="12289" max="12289" width="4.7109375" style="2488" customWidth="1"/>
    <col min="12290" max="12290" width="34" style="2488" customWidth="1"/>
    <col min="12291" max="12291" width="18.28515625" style="2488" customWidth="1"/>
    <col min="12292" max="12293" width="13.7109375" style="2488" customWidth="1"/>
    <col min="12294" max="12295" width="16.42578125" style="2488" customWidth="1"/>
    <col min="12296" max="12296" width="33" style="2488" customWidth="1"/>
    <col min="12297" max="12544" width="11.42578125" style="2488"/>
    <col min="12545" max="12545" width="4.7109375" style="2488" customWidth="1"/>
    <col min="12546" max="12546" width="34" style="2488" customWidth="1"/>
    <col min="12547" max="12547" width="18.28515625" style="2488" customWidth="1"/>
    <col min="12548" max="12549" width="13.7109375" style="2488" customWidth="1"/>
    <col min="12550" max="12551" width="16.42578125" style="2488" customWidth="1"/>
    <col min="12552" max="12552" width="33" style="2488" customWidth="1"/>
    <col min="12553" max="12800" width="11.42578125" style="2488"/>
    <col min="12801" max="12801" width="4.7109375" style="2488" customWidth="1"/>
    <col min="12802" max="12802" width="34" style="2488" customWidth="1"/>
    <col min="12803" max="12803" width="18.28515625" style="2488" customWidth="1"/>
    <col min="12804" max="12805" width="13.7109375" style="2488" customWidth="1"/>
    <col min="12806" max="12807" width="16.42578125" style="2488" customWidth="1"/>
    <col min="12808" max="12808" width="33" style="2488" customWidth="1"/>
    <col min="12809" max="13056" width="11.42578125" style="2488"/>
    <col min="13057" max="13057" width="4.7109375" style="2488" customWidth="1"/>
    <col min="13058" max="13058" width="34" style="2488" customWidth="1"/>
    <col min="13059" max="13059" width="18.28515625" style="2488" customWidth="1"/>
    <col min="13060" max="13061" width="13.7109375" style="2488" customWidth="1"/>
    <col min="13062" max="13063" width="16.42578125" style="2488" customWidth="1"/>
    <col min="13064" max="13064" width="33" style="2488" customWidth="1"/>
    <col min="13065" max="13312" width="11.42578125" style="2488"/>
    <col min="13313" max="13313" width="4.7109375" style="2488" customWidth="1"/>
    <col min="13314" max="13314" width="34" style="2488" customWidth="1"/>
    <col min="13315" max="13315" width="18.28515625" style="2488" customWidth="1"/>
    <col min="13316" max="13317" width="13.7109375" style="2488" customWidth="1"/>
    <col min="13318" max="13319" width="16.42578125" style="2488" customWidth="1"/>
    <col min="13320" max="13320" width="33" style="2488" customWidth="1"/>
    <col min="13321" max="13568" width="11.42578125" style="2488"/>
    <col min="13569" max="13569" width="4.7109375" style="2488" customWidth="1"/>
    <col min="13570" max="13570" width="34" style="2488" customWidth="1"/>
    <col min="13571" max="13571" width="18.28515625" style="2488" customWidth="1"/>
    <col min="13572" max="13573" width="13.7109375" style="2488" customWidth="1"/>
    <col min="13574" max="13575" width="16.42578125" style="2488" customWidth="1"/>
    <col min="13576" max="13576" width="33" style="2488" customWidth="1"/>
    <col min="13577" max="13824" width="11.42578125" style="2488"/>
    <col min="13825" max="13825" width="4.7109375" style="2488" customWidth="1"/>
    <col min="13826" max="13826" width="34" style="2488" customWidth="1"/>
    <col min="13827" max="13827" width="18.28515625" style="2488" customWidth="1"/>
    <col min="13828" max="13829" width="13.7109375" style="2488" customWidth="1"/>
    <col min="13830" max="13831" width="16.42578125" style="2488" customWidth="1"/>
    <col min="13832" max="13832" width="33" style="2488" customWidth="1"/>
    <col min="13833" max="14080" width="11.42578125" style="2488"/>
    <col min="14081" max="14081" width="4.7109375" style="2488" customWidth="1"/>
    <col min="14082" max="14082" width="34" style="2488" customWidth="1"/>
    <col min="14083" max="14083" width="18.28515625" style="2488" customWidth="1"/>
    <col min="14084" max="14085" width="13.7109375" style="2488" customWidth="1"/>
    <col min="14086" max="14087" width="16.42578125" style="2488" customWidth="1"/>
    <col min="14088" max="14088" width="33" style="2488" customWidth="1"/>
    <col min="14089" max="14336" width="11.42578125" style="2488"/>
    <col min="14337" max="14337" width="4.7109375" style="2488" customWidth="1"/>
    <col min="14338" max="14338" width="34" style="2488" customWidth="1"/>
    <col min="14339" max="14339" width="18.28515625" style="2488" customWidth="1"/>
    <col min="14340" max="14341" width="13.7109375" style="2488" customWidth="1"/>
    <col min="14342" max="14343" width="16.42578125" style="2488" customWidth="1"/>
    <col min="14344" max="14344" width="33" style="2488" customWidth="1"/>
    <col min="14345" max="14592" width="11.42578125" style="2488"/>
    <col min="14593" max="14593" width="4.7109375" style="2488" customWidth="1"/>
    <col min="14594" max="14594" width="34" style="2488" customWidth="1"/>
    <col min="14595" max="14595" width="18.28515625" style="2488" customWidth="1"/>
    <col min="14596" max="14597" width="13.7109375" style="2488" customWidth="1"/>
    <col min="14598" max="14599" width="16.42578125" style="2488" customWidth="1"/>
    <col min="14600" max="14600" width="33" style="2488" customWidth="1"/>
    <col min="14601" max="14848" width="11.42578125" style="2488"/>
    <col min="14849" max="14849" width="4.7109375" style="2488" customWidth="1"/>
    <col min="14850" max="14850" width="34" style="2488" customWidth="1"/>
    <col min="14851" max="14851" width="18.28515625" style="2488" customWidth="1"/>
    <col min="14852" max="14853" width="13.7109375" style="2488" customWidth="1"/>
    <col min="14854" max="14855" width="16.42578125" style="2488" customWidth="1"/>
    <col min="14856" max="14856" width="33" style="2488" customWidth="1"/>
    <col min="14857" max="15104" width="11.42578125" style="2488"/>
    <col min="15105" max="15105" width="4.7109375" style="2488" customWidth="1"/>
    <col min="15106" max="15106" width="34" style="2488" customWidth="1"/>
    <col min="15107" max="15107" width="18.28515625" style="2488" customWidth="1"/>
    <col min="15108" max="15109" width="13.7109375" style="2488" customWidth="1"/>
    <col min="15110" max="15111" width="16.42578125" style="2488" customWidth="1"/>
    <col min="15112" max="15112" width="33" style="2488" customWidth="1"/>
    <col min="15113" max="15360" width="11.42578125" style="2488"/>
    <col min="15361" max="15361" width="4.7109375" style="2488" customWidth="1"/>
    <col min="15362" max="15362" width="34" style="2488" customWidth="1"/>
    <col min="15363" max="15363" width="18.28515625" style="2488" customWidth="1"/>
    <col min="15364" max="15365" width="13.7109375" style="2488" customWidth="1"/>
    <col min="15366" max="15367" width="16.42578125" style="2488" customWidth="1"/>
    <col min="15368" max="15368" width="33" style="2488" customWidth="1"/>
    <col min="15369" max="15616" width="11.42578125" style="2488"/>
    <col min="15617" max="15617" width="4.7109375" style="2488" customWidth="1"/>
    <col min="15618" max="15618" width="34" style="2488" customWidth="1"/>
    <col min="15619" max="15619" width="18.28515625" style="2488" customWidth="1"/>
    <col min="15620" max="15621" width="13.7109375" style="2488" customWidth="1"/>
    <col min="15622" max="15623" width="16.42578125" style="2488" customWidth="1"/>
    <col min="15624" max="15624" width="33" style="2488" customWidth="1"/>
    <col min="15625" max="15872" width="11.42578125" style="2488"/>
    <col min="15873" max="15873" width="4.7109375" style="2488" customWidth="1"/>
    <col min="15874" max="15874" width="34" style="2488" customWidth="1"/>
    <col min="15875" max="15875" width="18.28515625" style="2488" customWidth="1"/>
    <col min="15876" max="15877" width="13.7109375" style="2488" customWidth="1"/>
    <col min="15878" max="15879" width="16.42578125" style="2488" customWidth="1"/>
    <col min="15880" max="15880" width="33" style="2488" customWidth="1"/>
    <col min="15881" max="16128" width="11.42578125" style="2488"/>
    <col min="16129" max="16129" width="4.7109375" style="2488" customWidth="1"/>
    <col min="16130" max="16130" width="34" style="2488" customWidth="1"/>
    <col min="16131" max="16131" width="18.28515625" style="2488" customWidth="1"/>
    <col min="16132" max="16133" width="13.7109375" style="2488" customWidth="1"/>
    <col min="16134" max="16135" width="16.42578125" style="2488" customWidth="1"/>
    <col min="16136" max="16136" width="33" style="2488" customWidth="1"/>
    <col min="16137" max="16384" width="11.42578125" style="2488"/>
  </cols>
  <sheetData>
    <row r="1" spans="2:8" ht="13.5" thickBot="1"/>
    <row r="2" spans="2:8" ht="18" customHeight="1" thickBot="1">
      <c r="B2" s="2836" t="s">
        <v>1367</v>
      </c>
      <c r="C2" s="2837"/>
      <c r="D2" s="2837"/>
      <c r="E2" s="2837"/>
      <c r="F2" s="2837"/>
      <c r="G2" s="2837"/>
      <c r="H2" s="2838"/>
    </row>
    <row r="4" spans="2:8">
      <c r="B4" s="2481"/>
      <c r="C4" s="2481"/>
      <c r="D4" s="2481"/>
      <c r="E4" s="2481"/>
      <c r="F4" s="2481"/>
      <c r="G4" s="2481"/>
      <c r="H4" s="2481"/>
    </row>
    <row r="5" spans="2:8">
      <c r="B5" s="2529" t="s">
        <v>1341</v>
      </c>
      <c r="C5" s="2481"/>
      <c r="D5" s="2481"/>
      <c r="E5" s="2481"/>
      <c r="F5" s="2481"/>
      <c r="G5" s="2481"/>
      <c r="H5" s="2481"/>
    </row>
    <row r="6" spans="2:8" ht="13.5" thickBot="1">
      <c r="B6" s="2481"/>
      <c r="C6" s="2481"/>
      <c r="D6" s="2481"/>
      <c r="E6" s="2481"/>
      <c r="F6" s="2481"/>
      <c r="G6" s="2481"/>
      <c r="H6" s="2481"/>
    </row>
    <row r="7" spans="2:8" ht="20.100000000000001" customHeight="1" thickBot="1">
      <c r="B7" s="2552" t="s">
        <v>1360</v>
      </c>
      <c r="C7" s="2531" t="s">
        <v>1361</v>
      </c>
      <c r="D7" s="2533" t="s">
        <v>1200</v>
      </c>
      <c r="E7" s="2532" t="s">
        <v>1362</v>
      </c>
      <c r="F7" s="2533" t="s">
        <v>1363</v>
      </c>
      <c r="G7" s="2553" t="s">
        <v>1364</v>
      </c>
      <c r="H7" s="2534" t="s">
        <v>1365</v>
      </c>
    </row>
    <row r="8" spans="2:8" ht="20.100000000000001" customHeight="1">
      <c r="B8" s="2554" t="s">
        <v>1464</v>
      </c>
      <c r="C8" s="2535">
        <v>3000</v>
      </c>
      <c r="D8" s="2536">
        <v>1</v>
      </c>
      <c r="E8" s="2537">
        <v>1</v>
      </c>
      <c r="F8" s="2484">
        <f t="shared" ref="F8:F15" si="0">+C8*D8*E8</f>
        <v>3000</v>
      </c>
      <c r="G8" s="2555">
        <f t="shared" ref="G8:G15" si="1">+F8*12</f>
        <v>36000</v>
      </c>
      <c r="H8" s="2538" t="s">
        <v>1664</v>
      </c>
    </row>
    <row r="9" spans="2:8" ht="20.100000000000001" customHeight="1">
      <c r="B9" s="2483" t="s">
        <v>1465</v>
      </c>
      <c r="C9" s="2535">
        <v>1000</v>
      </c>
      <c r="D9" s="2536">
        <v>1</v>
      </c>
      <c r="E9" s="2537">
        <v>1</v>
      </c>
      <c r="F9" s="2484">
        <f t="shared" si="0"/>
        <v>1000</v>
      </c>
      <c r="G9" s="2555">
        <f t="shared" si="1"/>
        <v>12000</v>
      </c>
      <c r="H9" s="2539" t="s">
        <v>1665</v>
      </c>
    </row>
    <row r="10" spans="2:8" ht="20.100000000000001" customHeight="1">
      <c r="B10" s="2483" t="s">
        <v>1467</v>
      </c>
      <c r="C10" s="2535">
        <v>3500</v>
      </c>
      <c r="D10" s="2536">
        <v>1</v>
      </c>
      <c r="E10" s="2537">
        <v>1</v>
      </c>
      <c r="F10" s="2484">
        <f t="shared" si="0"/>
        <v>3500</v>
      </c>
      <c r="G10" s="2555">
        <f t="shared" si="1"/>
        <v>42000</v>
      </c>
      <c r="H10" s="2539" t="s">
        <v>1666</v>
      </c>
    </row>
    <row r="11" spans="2:8" ht="20.100000000000001" customHeight="1">
      <c r="B11" s="2483" t="s">
        <v>1654</v>
      </c>
      <c r="C11" s="2535">
        <f>Oficinas!C3</f>
        <v>1000</v>
      </c>
      <c r="D11" s="2536">
        <v>1</v>
      </c>
      <c r="E11" s="2537">
        <v>1</v>
      </c>
      <c r="F11" s="2484">
        <f t="shared" si="0"/>
        <v>1000</v>
      </c>
      <c r="G11" s="2555">
        <f t="shared" si="1"/>
        <v>12000</v>
      </c>
      <c r="H11" s="2539"/>
    </row>
    <row r="12" spans="2:8" ht="20.100000000000001" customHeight="1">
      <c r="B12" s="2483" t="s">
        <v>1653</v>
      </c>
      <c r="C12" s="2535">
        <f>Oficinas!C2</f>
        <v>20000</v>
      </c>
      <c r="D12" s="2536">
        <v>1</v>
      </c>
      <c r="E12" s="2537">
        <v>1</v>
      </c>
      <c r="F12" s="2484">
        <f t="shared" si="0"/>
        <v>20000</v>
      </c>
      <c r="G12" s="2555">
        <f t="shared" si="1"/>
        <v>240000</v>
      </c>
      <c r="H12" s="2539"/>
    </row>
    <row r="13" spans="2:8" ht="20.100000000000001" customHeight="1">
      <c r="B13" s="2540" t="s">
        <v>1657</v>
      </c>
      <c r="C13" s="2541">
        <f>Oficinas!C5</f>
        <v>3000</v>
      </c>
      <c r="D13" s="2542">
        <v>1</v>
      </c>
      <c r="E13" s="2537">
        <v>1</v>
      </c>
      <c r="F13" s="2484">
        <f>+C13*D13*E13</f>
        <v>3000</v>
      </c>
      <c r="G13" s="2555">
        <f>+F13*12</f>
        <v>36000</v>
      </c>
      <c r="H13" s="2543"/>
    </row>
    <row r="14" spans="2:8" ht="20.100000000000001" customHeight="1">
      <c r="B14" s="2483" t="s">
        <v>1368</v>
      </c>
      <c r="C14" s="2535">
        <v>400</v>
      </c>
      <c r="D14" s="2536">
        <v>1</v>
      </c>
      <c r="E14" s="2537">
        <v>1</v>
      </c>
      <c r="F14" s="2484">
        <f t="shared" si="0"/>
        <v>400</v>
      </c>
      <c r="G14" s="2555">
        <f t="shared" si="1"/>
        <v>4800</v>
      </c>
      <c r="H14" s="2557"/>
    </row>
    <row r="15" spans="2:8" ht="20.100000000000001" customHeight="1" thickBot="1">
      <c r="B15" s="2540" t="s">
        <v>1369</v>
      </c>
      <c r="C15" s="2541">
        <v>3000</v>
      </c>
      <c r="D15" s="2542">
        <v>1</v>
      </c>
      <c r="E15" s="2537">
        <v>1</v>
      </c>
      <c r="F15" s="2484">
        <f t="shared" si="0"/>
        <v>3000</v>
      </c>
      <c r="G15" s="2555">
        <f t="shared" si="1"/>
        <v>36000</v>
      </c>
      <c r="H15" s="2543" t="s">
        <v>1667</v>
      </c>
    </row>
    <row r="16" spans="2:8" ht="20.100000000000001" customHeight="1" thickBot="1">
      <c r="B16" s="2853" t="s">
        <v>1200</v>
      </c>
      <c r="C16" s="2855"/>
      <c r="D16" s="2558"/>
      <c r="E16" s="2558"/>
      <c r="F16" s="2486">
        <f>SUM(F8:F15)</f>
        <v>34900</v>
      </c>
      <c r="G16" s="2487">
        <f>SUM(G8:G15)</f>
        <v>418800</v>
      </c>
      <c r="H16" s="2558"/>
    </row>
    <row r="17" ht="20.100000000000001" customHeight="1"/>
  </sheetData>
  <mergeCells count="2">
    <mergeCell ref="B2:H2"/>
    <mergeCell ref="B16:C16"/>
  </mergeCells>
  <conditionalFormatting sqref="B8:B15">
    <cfRule type="expression" dxfId="87" priority="1" stopIfTrue="1">
      <formula>D8&gt;0</formula>
    </cfRule>
  </conditionalFormatting>
  <pageMargins left="0.5" right="0.28999999999999998" top="1" bottom="1" header="0" footer="0"/>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sheetPr>
    <tabColor indexed="43"/>
  </sheetPr>
  <dimension ref="A1:S10"/>
  <sheetViews>
    <sheetView showGridLines="0" zoomScale="85" workbookViewId="0">
      <selection activeCell="C32" sqref="C32"/>
    </sheetView>
  </sheetViews>
  <sheetFormatPr baseColWidth="10" defaultColWidth="11.42578125" defaultRowHeight="12.75"/>
  <cols>
    <col min="1" max="1" width="1.42578125" style="2546" customWidth="1"/>
    <col min="2" max="2" width="8.5703125" style="2550" customWidth="1"/>
    <col min="3" max="3" width="10.28515625" style="2550" bestFit="1" customWidth="1"/>
    <col min="4" max="4" width="14" style="2550" bestFit="1" customWidth="1"/>
    <col min="5" max="6" width="17.42578125" style="2550" customWidth="1"/>
    <col min="7" max="7" width="8.7109375" style="2550" customWidth="1"/>
    <col min="8" max="8" width="8.7109375" style="2551" customWidth="1"/>
    <col min="9" max="10" width="8.7109375" style="2550" customWidth="1"/>
    <col min="11" max="11" width="8.7109375" style="2551" customWidth="1"/>
    <col min="12" max="13" width="8.7109375" style="2550" customWidth="1"/>
    <col min="14" max="14" width="8.7109375" style="2551" customWidth="1"/>
    <col min="15" max="16" width="8.7109375" style="2550" customWidth="1"/>
    <col min="17" max="17" width="8.7109375" style="2551" customWidth="1"/>
    <col min="18" max="18" width="8.7109375" style="2550" customWidth="1"/>
    <col min="19" max="19" width="11.42578125" style="2546"/>
    <col min="20" max="256" width="11.42578125" style="2550"/>
    <col min="257" max="257" width="1.42578125" style="2550" customWidth="1"/>
    <col min="258" max="258" width="8.5703125" style="2550" customWidth="1"/>
    <col min="259" max="259" width="10.28515625" style="2550" bestFit="1" customWidth="1"/>
    <col min="260" max="260" width="14" style="2550" bestFit="1" customWidth="1"/>
    <col min="261" max="262" width="17.42578125" style="2550" customWidth="1"/>
    <col min="263" max="274" width="8.7109375" style="2550" customWidth="1"/>
    <col min="275" max="512" width="11.42578125" style="2550"/>
    <col min="513" max="513" width="1.42578125" style="2550" customWidth="1"/>
    <col min="514" max="514" width="8.5703125" style="2550" customWidth="1"/>
    <col min="515" max="515" width="10.28515625" style="2550" bestFit="1" customWidth="1"/>
    <col min="516" max="516" width="14" style="2550" bestFit="1" customWidth="1"/>
    <col min="517" max="518" width="17.42578125" style="2550" customWidth="1"/>
    <col min="519" max="530" width="8.7109375" style="2550" customWidth="1"/>
    <col min="531" max="768" width="11.42578125" style="2550"/>
    <col min="769" max="769" width="1.42578125" style="2550" customWidth="1"/>
    <col min="770" max="770" width="8.5703125" style="2550" customWidth="1"/>
    <col min="771" max="771" width="10.28515625" style="2550" bestFit="1" customWidth="1"/>
    <col min="772" max="772" width="14" style="2550" bestFit="1" customWidth="1"/>
    <col min="773" max="774" width="17.42578125" style="2550" customWidth="1"/>
    <col min="775" max="786" width="8.7109375" style="2550" customWidth="1"/>
    <col min="787" max="1024" width="11.42578125" style="2550"/>
    <col min="1025" max="1025" width="1.42578125" style="2550" customWidth="1"/>
    <col min="1026" max="1026" width="8.5703125" style="2550" customWidth="1"/>
    <col min="1027" max="1027" width="10.28515625" style="2550" bestFit="1" customWidth="1"/>
    <col min="1028" max="1028" width="14" style="2550" bestFit="1" customWidth="1"/>
    <col min="1029" max="1030" width="17.42578125" style="2550" customWidth="1"/>
    <col min="1031" max="1042" width="8.7109375" style="2550" customWidth="1"/>
    <col min="1043" max="1280" width="11.42578125" style="2550"/>
    <col min="1281" max="1281" width="1.42578125" style="2550" customWidth="1"/>
    <col min="1282" max="1282" width="8.5703125" style="2550" customWidth="1"/>
    <col min="1283" max="1283" width="10.28515625" style="2550" bestFit="1" customWidth="1"/>
    <col min="1284" max="1284" width="14" style="2550" bestFit="1" customWidth="1"/>
    <col min="1285" max="1286" width="17.42578125" style="2550" customWidth="1"/>
    <col min="1287" max="1298" width="8.7109375" style="2550" customWidth="1"/>
    <col min="1299" max="1536" width="11.42578125" style="2550"/>
    <col min="1537" max="1537" width="1.42578125" style="2550" customWidth="1"/>
    <col min="1538" max="1538" width="8.5703125" style="2550" customWidth="1"/>
    <col min="1539" max="1539" width="10.28515625" style="2550" bestFit="1" customWidth="1"/>
    <col min="1540" max="1540" width="14" style="2550" bestFit="1" customWidth="1"/>
    <col min="1541" max="1542" width="17.42578125" style="2550" customWidth="1"/>
    <col min="1543" max="1554" width="8.7109375" style="2550" customWidth="1"/>
    <col min="1555" max="1792" width="11.42578125" style="2550"/>
    <col min="1793" max="1793" width="1.42578125" style="2550" customWidth="1"/>
    <col min="1794" max="1794" width="8.5703125" style="2550" customWidth="1"/>
    <col min="1795" max="1795" width="10.28515625" style="2550" bestFit="1" customWidth="1"/>
    <col min="1796" max="1796" width="14" style="2550" bestFit="1" customWidth="1"/>
    <col min="1797" max="1798" width="17.42578125" style="2550" customWidth="1"/>
    <col min="1799" max="1810" width="8.7109375" style="2550" customWidth="1"/>
    <col min="1811" max="2048" width="11.42578125" style="2550"/>
    <col min="2049" max="2049" width="1.42578125" style="2550" customWidth="1"/>
    <col min="2050" max="2050" width="8.5703125" style="2550" customWidth="1"/>
    <col min="2051" max="2051" width="10.28515625" style="2550" bestFit="1" customWidth="1"/>
    <col min="2052" max="2052" width="14" style="2550" bestFit="1" customWidth="1"/>
    <col min="2053" max="2054" width="17.42578125" style="2550" customWidth="1"/>
    <col min="2055" max="2066" width="8.7109375" style="2550" customWidth="1"/>
    <col min="2067" max="2304" width="11.42578125" style="2550"/>
    <col min="2305" max="2305" width="1.42578125" style="2550" customWidth="1"/>
    <col min="2306" max="2306" width="8.5703125" style="2550" customWidth="1"/>
    <col min="2307" max="2307" width="10.28515625" style="2550" bestFit="1" customWidth="1"/>
    <col min="2308" max="2308" width="14" style="2550" bestFit="1" customWidth="1"/>
    <col min="2309" max="2310" width="17.42578125" style="2550" customWidth="1"/>
    <col min="2311" max="2322" width="8.7109375" style="2550" customWidth="1"/>
    <col min="2323" max="2560" width="11.42578125" style="2550"/>
    <col min="2561" max="2561" width="1.42578125" style="2550" customWidth="1"/>
    <col min="2562" max="2562" width="8.5703125" style="2550" customWidth="1"/>
    <col min="2563" max="2563" width="10.28515625" style="2550" bestFit="1" customWidth="1"/>
    <col min="2564" max="2564" width="14" style="2550" bestFit="1" customWidth="1"/>
    <col min="2565" max="2566" width="17.42578125" style="2550" customWidth="1"/>
    <col min="2567" max="2578" width="8.7109375" style="2550" customWidth="1"/>
    <col min="2579" max="2816" width="11.42578125" style="2550"/>
    <col min="2817" max="2817" width="1.42578125" style="2550" customWidth="1"/>
    <col min="2818" max="2818" width="8.5703125" style="2550" customWidth="1"/>
    <col min="2819" max="2819" width="10.28515625" style="2550" bestFit="1" customWidth="1"/>
    <col min="2820" max="2820" width="14" style="2550" bestFit="1" customWidth="1"/>
    <col min="2821" max="2822" width="17.42578125" style="2550" customWidth="1"/>
    <col min="2823" max="2834" width="8.7109375" style="2550" customWidth="1"/>
    <col min="2835" max="3072" width="11.42578125" style="2550"/>
    <col min="3073" max="3073" width="1.42578125" style="2550" customWidth="1"/>
    <col min="3074" max="3074" width="8.5703125" style="2550" customWidth="1"/>
    <col min="3075" max="3075" width="10.28515625" style="2550" bestFit="1" customWidth="1"/>
    <col min="3076" max="3076" width="14" style="2550" bestFit="1" customWidth="1"/>
    <col min="3077" max="3078" width="17.42578125" style="2550" customWidth="1"/>
    <col min="3079" max="3090" width="8.7109375" style="2550" customWidth="1"/>
    <col min="3091" max="3328" width="11.42578125" style="2550"/>
    <col min="3329" max="3329" width="1.42578125" style="2550" customWidth="1"/>
    <col min="3330" max="3330" width="8.5703125" style="2550" customWidth="1"/>
    <col min="3331" max="3331" width="10.28515625" style="2550" bestFit="1" customWidth="1"/>
    <col min="3332" max="3332" width="14" style="2550" bestFit="1" customWidth="1"/>
    <col min="3333" max="3334" width="17.42578125" style="2550" customWidth="1"/>
    <col min="3335" max="3346" width="8.7109375" style="2550" customWidth="1"/>
    <col min="3347" max="3584" width="11.42578125" style="2550"/>
    <col min="3585" max="3585" width="1.42578125" style="2550" customWidth="1"/>
    <col min="3586" max="3586" width="8.5703125" style="2550" customWidth="1"/>
    <col min="3587" max="3587" width="10.28515625" style="2550" bestFit="1" customWidth="1"/>
    <col min="3588" max="3588" width="14" style="2550" bestFit="1" customWidth="1"/>
    <col min="3589" max="3590" width="17.42578125" style="2550" customWidth="1"/>
    <col min="3591" max="3602" width="8.7109375" style="2550" customWidth="1"/>
    <col min="3603" max="3840" width="11.42578125" style="2550"/>
    <col min="3841" max="3841" width="1.42578125" style="2550" customWidth="1"/>
    <col min="3842" max="3842" width="8.5703125" style="2550" customWidth="1"/>
    <col min="3843" max="3843" width="10.28515625" style="2550" bestFit="1" customWidth="1"/>
    <col min="3844" max="3844" width="14" style="2550" bestFit="1" customWidth="1"/>
    <col min="3845" max="3846" width="17.42578125" style="2550" customWidth="1"/>
    <col min="3847" max="3858" width="8.7109375" style="2550" customWidth="1"/>
    <col min="3859" max="4096" width="11.42578125" style="2550"/>
    <col min="4097" max="4097" width="1.42578125" style="2550" customWidth="1"/>
    <col min="4098" max="4098" width="8.5703125" style="2550" customWidth="1"/>
    <col min="4099" max="4099" width="10.28515625" style="2550" bestFit="1" customWidth="1"/>
    <col min="4100" max="4100" width="14" style="2550" bestFit="1" customWidth="1"/>
    <col min="4101" max="4102" width="17.42578125" style="2550" customWidth="1"/>
    <col min="4103" max="4114" width="8.7109375" style="2550" customWidth="1"/>
    <col min="4115" max="4352" width="11.42578125" style="2550"/>
    <col min="4353" max="4353" width="1.42578125" style="2550" customWidth="1"/>
    <col min="4354" max="4354" width="8.5703125" style="2550" customWidth="1"/>
    <col min="4355" max="4355" width="10.28515625" style="2550" bestFit="1" customWidth="1"/>
    <col min="4356" max="4356" width="14" style="2550" bestFit="1" customWidth="1"/>
    <col min="4357" max="4358" width="17.42578125" style="2550" customWidth="1"/>
    <col min="4359" max="4370" width="8.7109375" style="2550" customWidth="1"/>
    <col min="4371" max="4608" width="11.42578125" style="2550"/>
    <col min="4609" max="4609" width="1.42578125" style="2550" customWidth="1"/>
    <col min="4610" max="4610" width="8.5703125" style="2550" customWidth="1"/>
    <col min="4611" max="4611" width="10.28515625" style="2550" bestFit="1" customWidth="1"/>
    <col min="4612" max="4612" width="14" style="2550" bestFit="1" customWidth="1"/>
    <col min="4613" max="4614" width="17.42578125" style="2550" customWidth="1"/>
    <col min="4615" max="4626" width="8.7109375" style="2550" customWidth="1"/>
    <col min="4627" max="4864" width="11.42578125" style="2550"/>
    <col min="4865" max="4865" width="1.42578125" style="2550" customWidth="1"/>
    <col min="4866" max="4866" width="8.5703125" style="2550" customWidth="1"/>
    <col min="4867" max="4867" width="10.28515625" style="2550" bestFit="1" customWidth="1"/>
    <col min="4868" max="4868" width="14" style="2550" bestFit="1" customWidth="1"/>
    <col min="4869" max="4870" width="17.42578125" style="2550" customWidth="1"/>
    <col min="4871" max="4882" width="8.7109375" style="2550" customWidth="1"/>
    <col min="4883" max="5120" width="11.42578125" style="2550"/>
    <col min="5121" max="5121" width="1.42578125" style="2550" customWidth="1"/>
    <col min="5122" max="5122" width="8.5703125" style="2550" customWidth="1"/>
    <col min="5123" max="5123" width="10.28515625" style="2550" bestFit="1" customWidth="1"/>
    <col min="5124" max="5124" width="14" style="2550" bestFit="1" customWidth="1"/>
    <col min="5125" max="5126" width="17.42578125" style="2550" customWidth="1"/>
    <col min="5127" max="5138" width="8.7109375" style="2550" customWidth="1"/>
    <col min="5139" max="5376" width="11.42578125" style="2550"/>
    <col min="5377" max="5377" width="1.42578125" style="2550" customWidth="1"/>
    <col min="5378" max="5378" width="8.5703125" style="2550" customWidth="1"/>
    <col min="5379" max="5379" width="10.28515625" style="2550" bestFit="1" customWidth="1"/>
    <col min="5380" max="5380" width="14" style="2550" bestFit="1" customWidth="1"/>
    <col min="5381" max="5382" width="17.42578125" style="2550" customWidth="1"/>
    <col min="5383" max="5394" width="8.7109375" style="2550" customWidth="1"/>
    <col min="5395" max="5632" width="11.42578125" style="2550"/>
    <col min="5633" max="5633" width="1.42578125" style="2550" customWidth="1"/>
    <col min="5634" max="5634" width="8.5703125" style="2550" customWidth="1"/>
    <col min="5635" max="5635" width="10.28515625" style="2550" bestFit="1" customWidth="1"/>
    <col min="5636" max="5636" width="14" style="2550" bestFit="1" customWidth="1"/>
    <col min="5637" max="5638" width="17.42578125" style="2550" customWidth="1"/>
    <col min="5639" max="5650" width="8.7109375" style="2550" customWidth="1"/>
    <col min="5651" max="5888" width="11.42578125" style="2550"/>
    <col min="5889" max="5889" width="1.42578125" style="2550" customWidth="1"/>
    <col min="5890" max="5890" width="8.5703125" style="2550" customWidth="1"/>
    <col min="5891" max="5891" width="10.28515625" style="2550" bestFit="1" customWidth="1"/>
    <col min="5892" max="5892" width="14" style="2550" bestFit="1" customWidth="1"/>
    <col min="5893" max="5894" width="17.42578125" style="2550" customWidth="1"/>
    <col min="5895" max="5906" width="8.7109375" style="2550" customWidth="1"/>
    <col min="5907" max="6144" width="11.42578125" style="2550"/>
    <col min="6145" max="6145" width="1.42578125" style="2550" customWidth="1"/>
    <col min="6146" max="6146" width="8.5703125" style="2550" customWidth="1"/>
    <col min="6147" max="6147" width="10.28515625" style="2550" bestFit="1" customWidth="1"/>
    <col min="6148" max="6148" width="14" style="2550" bestFit="1" customWidth="1"/>
    <col min="6149" max="6150" width="17.42578125" style="2550" customWidth="1"/>
    <col min="6151" max="6162" width="8.7109375" style="2550" customWidth="1"/>
    <col min="6163" max="6400" width="11.42578125" style="2550"/>
    <col min="6401" max="6401" width="1.42578125" style="2550" customWidth="1"/>
    <col min="6402" max="6402" width="8.5703125" style="2550" customWidth="1"/>
    <col min="6403" max="6403" width="10.28515625" style="2550" bestFit="1" customWidth="1"/>
    <col min="6404" max="6404" width="14" style="2550" bestFit="1" customWidth="1"/>
    <col min="6405" max="6406" width="17.42578125" style="2550" customWidth="1"/>
    <col min="6407" max="6418" width="8.7109375" style="2550" customWidth="1"/>
    <col min="6419" max="6656" width="11.42578125" style="2550"/>
    <col min="6657" max="6657" width="1.42578125" style="2550" customWidth="1"/>
    <col min="6658" max="6658" width="8.5703125" style="2550" customWidth="1"/>
    <col min="6659" max="6659" width="10.28515625" style="2550" bestFit="1" customWidth="1"/>
    <col min="6660" max="6660" width="14" style="2550" bestFit="1" customWidth="1"/>
    <col min="6661" max="6662" width="17.42578125" style="2550" customWidth="1"/>
    <col min="6663" max="6674" width="8.7109375" style="2550" customWidth="1"/>
    <col min="6675" max="6912" width="11.42578125" style="2550"/>
    <col min="6913" max="6913" width="1.42578125" style="2550" customWidth="1"/>
    <col min="6914" max="6914" width="8.5703125" style="2550" customWidth="1"/>
    <col min="6915" max="6915" width="10.28515625" style="2550" bestFit="1" customWidth="1"/>
    <col min="6916" max="6916" width="14" style="2550" bestFit="1" customWidth="1"/>
    <col min="6917" max="6918" width="17.42578125" style="2550" customWidth="1"/>
    <col min="6919" max="6930" width="8.7109375" style="2550" customWidth="1"/>
    <col min="6931" max="7168" width="11.42578125" style="2550"/>
    <col min="7169" max="7169" width="1.42578125" style="2550" customWidth="1"/>
    <col min="7170" max="7170" width="8.5703125" style="2550" customWidth="1"/>
    <col min="7171" max="7171" width="10.28515625" style="2550" bestFit="1" customWidth="1"/>
    <col min="7172" max="7172" width="14" style="2550" bestFit="1" customWidth="1"/>
    <col min="7173" max="7174" width="17.42578125" style="2550" customWidth="1"/>
    <col min="7175" max="7186" width="8.7109375" style="2550" customWidth="1"/>
    <col min="7187" max="7424" width="11.42578125" style="2550"/>
    <col min="7425" max="7425" width="1.42578125" style="2550" customWidth="1"/>
    <col min="7426" max="7426" width="8.5703125" style="2550" customWidth="1"/>
    <col min="7427" max="7427" width="10.28515625" style="2550" bestFit="1" customWidth="1"/>
    <col min="7428" max="7428" width="14" style="2550" bestFit="1" customWidth="1"/>
    <col min="7429" max="7430" width="17.42578125" style="2550" customWidth="1"/>
    <col min="7431" max="7442" width="8.7109375" style="2550" customWidth="1"/>
    <col min="7443" max="7680" width="11.42578125" style="2550"/>
    <col min="7681" max="7681" width="1.42578125" style="2550" customWidth="1"/>
    <col min="7682" max="7682" width="8.5703125" style="2550" customWidth="1"/>
    <col min="7683" max="7683" width="10.28515625" style="2550" bestFit="1" customWidth="1"/>
    <col min="7684" max="7684" width="14" style="2550" bestFit="1" customWidth="1"/>
    <col min="7685" max="7686" width="17.42578125" style="2550" customWidth="1"/>
    <col min="7687" max="7698" width="8.7109375" style="2550" customWidth="1"/>
    <col min="7699" max="7936" width="11.42578125" style="2550"/>
    <col min="7937" max="7937" width="1.42578125" style="2550" customWidth="1"/>
    <col min="7938" max="7938" width="8.5703125" style="2550" customWidth="1"/>
    <col min="7939" max="7939" width="10.28515625" style="2550" bestFit="1" customWidth="1"/>
    <col min="7940" max="7940" width="14" style="2550" bestFit="1" customWidth="1"/>
    <col min="7941" max="7942" width="17.42578125" style="2550" customWidth="1"/>
    <col min="7943" max="7954" width="8.7109375" style="2550" customWidth="1"/>
    <col min="7955" max="8192" width="11.42578125" style="2550"/>
    <col min="8193" max="8193" width="1.42578125" style="2550" customWidth="1"/>
    <col min="8194" max="8194" width="8.5703125" style="2550" customWidth="1"/>
    <col min="8195" max="8195" width="10.28515625" style="2550" bestFit="1" customWidth="1"/>
    <col min="8196" max="8196" width="14" style="2550" bestFit="1" customWidth="1"/>
    <col min="8197" max="8198" width="17.42578125" style="2550" customWidth="1"/>
    <col min="8199" max="8210" width="8.7109375" style="2550" customWidth="1"/>
    <col min="8211" max="8448" width="11.42578125" style="2550"/>
    <col min="8449" max="8449" width="1.42578125" style="2550" customWidth="1"/>
    <col min="8450" max="8450" width="8.5703125" style="2550" customWidth="1"/>
    <col min="8451" max="8451" width="10.28515625" style="2550" bestFit="1" customWidth="1"/>
    <col min="8452" max="8452" width="14" style="2550" bestFit="1" customWidth="1"/>
    <col min="8453" max="8454" width="17.42578125" style="2550" customWidth="1"/>
    <col min="8455" max="8466" width="8.7109375" style="2550" customWidth="1"/>
    <col min="8467" max="8704" width="11.42578125" style="2550"/>
    <col min="8705" max="8705" width="1.42578125" style="2550" customWidth="1"/>
    <col min="8706" max="8706" width="8.5703125" style="2550" customWidth="1"/>
    <col min="8707" max="8707" width="10.28515625" style="2550" bestFit="1" customWidth="1"/>
    <col min="8708" max="8708" width="14" style="2550" bestFit="1" customWidth="1"/>
    <col min="8709" max="8710" width="17.42578125" style="2550" customWidth="1"/>
    <col min="8711" max="8722" width="8.7109375" style="2550" customWidth="1"/>
    <col min="8723" max="8960" width="11.42578125" style="2550"/>
    <col min="8961" max="8961" width="1.42578125" style="2550" customWidth="1"/>
    <col min="8962" max="8962" width="8.5703125" style="2550" customWidth="1"/>
    <col min="8963" max="8963" width="10.28515625" style="2550" bestFit="1" customWidth="1"/>
    <col min="8964" max="8964" width="14" style="2550" bestFit="1" customWidth="1"/>
    <col min="8965" max="8966" width="17.42578125" style="2550" customWidth="1"/>
    <col min="8967" max="8978" width="8.7109375" style="2550" customWidth="1"/>
    <col min="8979" max="9216" width="11.42578125" style="2550"/>
    <col min="9217" max="9217" width="1.42578125" style="2550" customWidth="1"/>
    <col min="9218" max="9218" width="8.5703125" style="2550" customWidth="1"/>
    <col min="9219" max="9219" width="10.28515625" style="2550" bestFit="1" customWidth="1"/>
    <col min="9220" max="9220" width="14" style="2550" bestFit="1" customWidth="1"/>
    <col min="9221" max="9222" width="17.42578125" style="2550" customWidth="1"/>
    <col min="9223" max="9234" width="8.7109375" style="2550" customWidth="1"/>
    <col min="9235" max="9472" width="11.42578125" style="2550"/>
    <col min="9473" max="9473" width="1.42578125" style="2550" customWidth="1"/>
    <col min="9474" max="9474" width="8.5703125" style="2550" customWidth="1"/>
    <col min="9475" max="9475" width="10.28515625" style="2550" bestFit="1" customWidth="1"/>
    <col min="9476" max="9476" width="14" style="2550" bestFit="1" customWidth="1"/>
    <col min="9477" max="9478" width="17.42578125" style="2550" customWidth="1"/>
    <col min="9479" max="9490" width="8.7109375" style="2550" customWidth="1"/>
    <col min="9491" max="9728" width="11.42578125" style="2550"/>
    <col min="9729" max="9729" width="1.42578125" style="2550" customWidth="1"/>
    <col min="9730" max="9730" width="8.5703125" style="2550" customWidth="1"/>
    <col min="9731" max="9731" width="10.28515625" style="2550" bestFit="1" customWidth="1"/>
    <col min="9732" max="9732" width="14" style="2550" bestFit="1" customWidth="1"/>
    <col min="9733" max="9734" width="17.42578125" style="2550" customWidth="1"/>
    <col min="9735" max="9746" width="8.7109375" style="2550" customWidth="1"/>
    <col min="9747" max="9984" width="11.42578125" style="2550"/>
    <col min="9985" max="9985" width="1.42578125" style="2550" customWidth="1"/>
    <col min="9986" max="9986" width="8.5703125" style="2550" customWidth="1"/>
    <col min="9987" max="9987" width="10.28515625" style="2550" bestFit="1" customWidth="1"/>
    <col min="9988" max="9988" width="14" style="2550" bestFit="1" customWidth="1"/>
    <col min="9989" max="9990" width="17.42578125" style="2550" customWidth="1"/>
    <col min="9991" max="10002" width="8.7109375" style="2550" customWidth="1"/>
    <col min="10003" max="10240" width="11.42578125" style="2550"/>
    <col min="10241" max="10241" width="1.42578125" style="2550" customWidth="1"/>
    <col min="10242" max="10242" width="8.5703125" style="2550" customWidth="1"/>
    <col min="10243" max="10243" width="10.28515625" style="2550" bestFit="1" customWidth="1"/>
    <col min="10244" max="10244" width="14" style="2550" bestFit="1" customWidth="1"/>
    <col min="10245" max="10246" width="17.42578125" style="2550" customWidth="1"/>
    <col min="10247" max="10258" width="8.7109375" style="2550" customWidth="1"/>
    <col min="10259" max="10496" width="11.42578125" style="2550"/>
    <col min="10497" max="10497" width="1.42578125" style="2550" customWidth="1"/>
    <col min="10498" max="10498" width="8.5703125" style="2550" customWidth="1"/>
    <col min="10499" max="10499" width="10.28515625" style="2550" bestFit="1" customWidth="1"/>
    <col min="10500" max="10500" width="14" style="2550" bestFit="1" customWidth="1"/>
    <col min="10501" max="10502" width="17.42578125" style="2550" customWidth="1"/>
    <col min="10503" max="10514" width="8.7109375" style="2550" customWidth="1"/>
    <col min="10515" max="10752" width="11.42578125" style="2550"/>
    <col min="10753" max="10753" width="1.42578125" style="2550" customWidth="1"/>
    <col min="10754" max="10754" width="8.5703125" style="2550" customWidth="1"/>
    <col min="10755" max="10755" width="10.28515625" style="2550" bestFit="1" customWidth="1"/>
    <col min="10756" max="10756" width="14" style="2550" bestFit="1" customWidth="1"/>
    <col min="10757" max="10758" width="17.42578125" style="2550" customWidth="1"/>
    <col min="10759" max="10770" width="8.7109375" style="2550" customWidth="1"/>
    <col min="10771" max="11008" width="11.42578125" style="2550"/>
    <col min="11009" max="11009" width="1.42578125" style="2550" customWidth="1"/>
    <col min="11010" max="11010" width="8.5703125" style="2550" customWidth="1"/>
    <col min="11011" max="11011" width="10.28515625" style="2550" bestFit="1" customWidth="1"/>
    <col min="11012" max="11012" width="14" style="2550" bestFit="1" customWidth="1"/>
    <col min="11013" max="11014" width="17.42578125" style="2550" customWidth="1"/>
    <col min="11015" max="11026" width="8.7109375" style="2550" customWidth="1"/>
    <col min="11027" max="11264" width="11.42578125" style="2550"/>
    <col min="11265" max="11265" width="1.42578125" style="2550" customWidth="1"/>
    <col min="11266" max="11266" width="8.5703125" style="2550" customWidth="1"/>
    <col min="11267" max="11267" width="10.28515625" style="2550" bestFit="1" customWidth="1"/>
    <col min="11268" max="11268" width="14" style="2550" bestFit="1" customWidth="1"/>
    <col min="11269" max="11270" width="17.42578125" style="2550" customWidth="1"/>
    <col min="11271" max="11282" width="8.7109375" style="2550" customWidth="1"/>
    <col min="11283" max="11520" width="11.42578125" style="2550"/>
    <col min="11521" max="11521" width="1.42578125" style="2550" customWidth="1"/>
    <col min="11522" max="11522" width="8.5703125" style="2550" customWidth="1"/>
    <col min="11523" max="11523" width="10.28515625" style="2550" bestFit="1" customWidth="1"/>
    <col min="11524" max="11524" width="14" style="2550" bestFit="1" customWidth="1"/>
    <col min="11525" max="11526" width="17.42578125" style="2550" customWidth="1"/>
    <col min="11527" max="11538" width="8.7109375" style="2550" customWidth="1"/>
    <col min="11539" max="11776" width="11.42578125" style="2550"/>
    <col min="11777" max="11777" width="1.42578125" style="2550" customWidth="1"/>
    <col min="11778" max="11778" width="8.5703125" style="2550" customWidth="1"/>
    <col min="11779" max="11779" width="10.28515625" style="2550" bestFit="1" customWidth="1"/>
    <col min="11780" max="11780" width="14" style="2550" bestFit="1" customWidth="1"/>
    <col min="11781" max="11782" width="17.42578125" style="2550" customWidth="1"/>
    <col min="11783" max="11794" width="8.7109375" style="2550" customWidth="1"/>
    <col min="11795" max="12032" width="11.42578125" style="2550"/>
    <col min="12033" max="12033" width="1.42578125" style="2550" customWidth="1"/>
    <col min="12034" max="12034" width="8.5703125" style="2550" customWidth="1"/>
    <col min="12035" max="12035" width="10.28515625" style="2550" bestFit="1" customWidth="1"/>
    <col min="12036" max="12036" width="14" style="2550" bestFit="1" customWidth="1"/>
    <col min="12037" max="12038" width="17.42578125" style="2550" customWidth="1"/>
    <col min="12039" max="12050" width="8.7109375" style="2550" customWidth="1"/>
    <col min="12051" max="12288" width="11.42578125" style="2550"/>
    <col min="12289" max="12289" width="1.42578125" style="2550" customWidth="1"/>
    <col min="12290" max="12290" width="8.5703125" style="2550" customWidth="1"/>
    <col min="12291" max="12291" width="10.28515625" style="2550" bestFit="1" customWidth="1"/>
    <col min="12292" max="12292" width="14" style="2550" bestFit="1" customWidth="1"/>
    <col min="12293" max="12294" width="17.42578125" style="2550" customWidth="1"/>
    <col min="12295" max="12306" width="8.7109375" style="2550" customWidth="1"/>
    <col min="12307" max="12544" width="11.42578125" style="2550"/>
    <col min="12545" max="12545" width="1.42578125" style="2550" customWidth="1"/>
    <col min="12546" max="12546" width="8.5703125" style="2550" customWidth="1"/>
    <col min="12547" max="12547" width="10.28515625" style="2550" bestFit="1" customWidth="1"/>
    <col min="12548" max="12548" width="14" style="2550" bestFit="1" customWidth="1"/>
    <col min="12549" max="12550" width="17.42578125" style="2550" customWidth="1"/>
    <col min="12551" max="12562" width="8.7109375" style="2550" customWidth="1"/>
    <col min="12563" max="12800" width="11.42578125" style="2550"/>
    <col min="12801" max="12801" width="1.42578125" style="2550" customWidth="1"/>
    <col min="12802" max="12802" width="8.5703125" style="2550" customWidth="1"/>
    <col min="12803" max="12803" width="10.28515625" style="2550" bestFit="1" customWidth="1"/>
    <col min="12804" max="12804" width="14" style="2550" bestFit="1" customWidth="1"/>
    <col min="12805" max="12806" width="17.42578125" style="2550" customWidth="1"/>
    <col min="12807" max="12818" width="8.7109375" style="2550" customWidth="1"/>
    <col min="12819" max="13056" width="11.42578125" style="2550"/>
    <col min="13057" max="13057" width="1.42578125" style="2550" customWidth="1"/>
    <col min="13058" max="13058" width="8.5703125" style="2550" customWidth="1"/>
    <col min="13059" max="13059" width="10.28515625" style="2550" bestFit="1" customWidth="1"/>
    <col min="13060" max="13060" width="14" style="2550" bestFit="1" customWidth="1"/>
    <col min="13061" max="13062" width="17.42578125" style="2550" customWidth="1"/>
    <col min="13063" max="13074" width="8.7109375" style="2550" customWidth="1"/>
    <col min="13075" max="13312" width="11.42578125" style="2550"/>
    <col min="13313" max="13313" width="1.42578125" style="2550" customWidth="1"/>
    <col min="13314" max="13314" width="8.5703125" style="2550" customWidth="1"/>
    <col min="13315" max="13315" width="10.28515625" style="2550" bestFit="1" customWidth="1"/>
    <col min="13316" max="13316" width="14" style="2550" bestFit="1" customWidth="1"/>
    <col min="13317" max="13318" width="17.42578125" style="2550" customWidth="1"/>
    <col min="13319" max="13330" width="8.7109375" style="2550" customWidth="1"/>
    <col min="13331" max="13568" width="11.42578125" style="2550"/>
    <col min="13569" max="13569" width="1.42578125" style="2550" customWidth="1"/>
    <col min="13570" max="13570" width="8.5703125" style="2550" customWidth="1"/>
    <col min="13571" max="13571" width="10.28515625" style="2550" bestFit="1" customWidth="1"/>
    <col min="13572" max="13572" width="14" style="2550" bestFit="1" customWidth="1"/>
    <col min="13573" max="13574" width="17.42578125" style="2550" customWidth="1"/>
    <col min="13575" max="13586" width="8.7109375" style="2550" customWidth="1"/>
    <col min="13587" max="13824" width="11.42578125" style="2550"/>
    <col min="13825" max="13825" width="1.42578125" style="2550" customWidth="1"/>
    <col min="13826" max="13826" width="8.5703125" style="2550" customWidth="1"/>
    <col min="13827" max="13827" width="10.28515625" style="2550" bestFit="1" customWidth="1"/>
    <col min="13828" max="13828" width="14" style="2550" bestFit="1" customWidth="1"/>
    <col min="13829" max="13830" width="17.42578125" style="2550" customWidth="1"/>
    <col min="13831" max="13842" width="8.7109375" style="2550" customWidth="1"/>
    <col min="13843" max="14080" width="11.42578125" style="2550"/>
    <col min="14081" max="14081" width="1.42578125" style="2550" customWidth="1"/>
    <col min="14082" max="14082" width="8.5703125" style="2550" customWidth="1"/>
    <col min="14083" max="14083" width="10.28515625" style="2550" bestFit="1" customWidth="1"/>
    <col min="14084" max="14084" width="14" style="2550" bestFit="1" customWidth="1"/>
    <col min="14085" max="14086" width="17.42578125" style="2550" customWidth="1"/>
    <col min="14087" max="14098" width="8.7109375" style="2550" customWidth="1"/>
    <col min="14099" max="14336" width="11.42578125" style="2550"/>
    <col min="14337" max="14337" width="1.42578125" style="2550" customWidth="1"/>
    <col min="14338" max="14338" width="8.5703125" style="2550" customWidth="1"/>
    <col min="14339" max="14339" width="10.28515625" style="2550" bestFit="1" customWidth="1"/>
    <col min="14340" max="14340" width="14" style="2550" bestFit="1" customWidth="1"/>
    <col min="14341" max="14342" width="17.42578125" style="2550" customWidth="1"/>
    <col min="14343" max="14354" width="8.7109375" style="2550" customWidth="1"/>
    <col min="14355" max="14592" width="11.42578125" style="2550"/>
    <col min="14593" max="14593" width="1.42578125" style="2550" customWidth="1"/>
    <col min="14594" max="14594" width="8.5703125" style="2550" customWidth="1"/>
    <col min="14595" max="14595" width="10.28515625" style="2550" bestFit="1" customWidth="1"/>
    <col min="14596" max="14596" width="14" style="2550" bestFit="1" customWidth="1"/>
    <col min="14597" max="14598" width="17.42578125" style="2550" customWidth="1"/>
    <col min="14599" max="14610" width="8.7109375" style="2550" customWidth="1"/>
    <col min="14611" max="14848" width="11.42578125" style="2550"/>
    <col min="14849" max="14849" width="1.42578125" style="2550" customWidth="1"/>
    <col min="14850" max="14850" width="8.5703125" style="2550" customWidth="1"/>
    <col min="14851" max="14851" width="10.28515625" style="2550" bestFit="1" customWidth="1"/>
    <col min="14852" max="14852" width="14" style="2550" bestFit="1" customWidth="1"/>
    <col min="14853" max="14854" width="17.42578125" style="2550" customWidth="1"/>
    <col min="14855" max="14866" width="8.7109375" style="2550" customWidth="1"/>
    <col min="14867" max="15104" width="11.42578125" style="2550"/>
    <col min="15105" max="15105" width="1.42578125" style="2550" customWidth="1"/>
    <col min="15106" max="15106" width="8.5703125" style="2550" customWidth="1"/>
    <col min="15107" max="15107" width="10.28515625" style="2550" bestFit="1" customWidth="1"/>
    <col min="15108" max="15108" width="14" style="2550" bestFit="1" customWidth="1"/>
    <col min="15109" max="15110" width="17.42578125" style="2550" customWidth="1"/>
    <col min="15111" max="15122" width="8.7109375" style="2550" customWidth="1"/>
    <col min="15123" max="15360" width="11.42578125" style="2550"/>
    <col min="15361" max="15361" width="1.42578125" style="2550" customWidth="1"/>
    <col min="15362" max="15362" width="8.5703125" style="2550" customWidth="1"/>
    <col min="15363" max="15363" width="10.28515625" style="2550" bestFit="1" customWidth="1"/>
    <col min="15364" max="15364" width="14" style="2550" bestFit="1" customWidth="1"/>
    <col min="15365" max="15366" width="17.42578125" style="2550" customWidth="1"/>
    <col min="15367" max="15378" width="8.7109375" style="2550" customWidth="1"/>
    <col min="15379" max="15616" width="11.42578125" style="2550"/>
    <col min="15617" max="15617" width="1.42578125" style="2550" customWidth="1"/>
    <col min="15618" max="15618" width="8.5703125" style="2550" customWidth="1"/>
    <col min="15619" max="15619" width="10.28515625" style="2550" bestFit="1" customWidth="1"/>
    <col min="15620" max="15620" width="14" style="2550" bestFit="1" customWidth="1"/>
    <col min="15621" max="15622" width="17.42578125" style="2550" customWidth="1"/>
    <col min="15623" max="15634" width="8.7109375" style="2550" customWidth="1"/>
    <col min="15635" max="15872" width="11.42578125" style="2550"/>
    <col min="15873" max="15873" width="1.42578125" style="2550" customWidth="1"/>
    <col min="15874" max="15874" width="8.5703125" style="2550" customWidth="1"/>
    <col min="15875" max="15875" width="10.28515625" style="2550" bestFit="1" customWidth="1"/>
    <col min="15876" max="15876" width="14" style="2550" bestFit="1" customWidth="1"/>
    <col min="15877" max="15878" width="17.42578125" style="2550" customWidth="1"/>
    <col min="15879" max="15890" width="8.7109375" style="2550" customWidth="1"/>
    <col min="15891" max="16128" width="11.42578125" style="2550"/>
    <col min="16129" max="16129" width="1.42578125" style="2550" customWidth="1"/>
    <col min="16130" max="16130" width="8.5703125" style="2550" customWidth="1"/>
    <col min="16131" max="16131" width="10.28515625" style="2550" bestFit="1" customWidth="1"/>
    <col min="16132" max="16132" width="14" style="2550" bestFit="1" customWidth="1"/>
    <col min="16133" max="16134" width="17.42578125" style="2550" customWidth="1"/>
    <col min="16135" max="16146" width="8.7109375" style="2550" customWidth="1"/>
    <col min="16147" max="16384" width="11.42578125" style="2550"/>
  </cols>
  <sheetData>
    <row r="1" spans="1:18" ht="13.5" thickBot="1">
      <c r="A1" s="2544"/>
      <c r="B1" s="2544"/>
      <c r="C1" s="2544"/>
      <c r="D1" s="2544"/>
      <c r="E1" s="2544"/>
      <c r="F1" s="2544"/>
      <c r="G1" s="2544"/>
      <c r="H1" s="2545"/>
      <c r="I1" s="2544"/>
      <c r="J1" s="2544"/>
      <c r="K1" s="2545"/>
      <c r="L1" s="2544"/>
      <c r="M1" s="2544"/>
      <c r="N1" s="2545"/>
      <c r="O1" s="2544"/>
      <c r="P1" s="2544"/>
      <c r="Q1" s="2545"/>
      <c r="R1" s="2544"/>
    </row>
    <row r="2" spans="1:18" ht="21" thickBot="1">
      <c r="A2" s="2544"/>
      <c r="B2" s="2836" t="s">
        <v>1358</v>
      </c>
      <c r="C2" s="2837"/>
      <c r="D2" s="2837"/>
      <c r="E2" s="2837"/>
      <c r="F2" s="2837"/>
      <c r="G2" s="2837"/>
      <c r="H2" s="2837"/>
      <c r="I2" s="2837"/>
      <c r="J2" s="2837"/>
      <c r="K2" s="2837"/>
      <c r="L2" s="2837"/>
      <c r="M2" s="2837"/>
      <c r="N2" s="2837"/>
      <c r="O2" s="2837"/>
      <c r="P2" s="2837"/>
      <c r="Q2" s="2837"/>
      <c r="R2" s="2838"/>
    </row>
    <row r="3" spans="1:18" s="2549" customFormat="1" ht="20.25">
      <c r="A3" s="2547"/>
      <c r="B3" s="2548"/>
      <c r="C3" s="2548"/>
      <c r="D3" s="2548"/>
      <c r="E3" s="2548"/>
      <c r="F3" s="2548"/>
      <c r="G3" s="2548"/>
      <c r="H3" s="2548"/>
      <c r="I3" s="2548"/>
      <c r="J3" s="2548"/>
      <c r="K3" s="2548"/>
      <c r="L3" s="2548"/>
      <c r="M3" s="2548"/>
      <c r="N3" s="2548"/>
      <c r="O3" s="2548"/>
      <c r="P3" s="2548"/>
      <c r="Q3" s="2548"/>
      <c r="R3" s="2548"/>
    </row>
    <row r="4" spans="1:18">
      <c r="B4" s="2550" t="s">
        <v>1606</v>
      </c>
      <c r="E4" s="2708">
        <v>20000</v>
      </c>
    </row>
    <row r="6" spans="1:18">
      <c r="B6" s="2550" t="s">
        <v>1607</v>
      </c>
      <c r="E6" s="2709">
        <f>E4*'Tipo de cambio'!D9</f>
        <v>178000</v>
      </c>
    </row>
    <row r="8" spans="1:18">
      <c r="B8" s="2550" t="s">
        <v>1609</v>
      </c>
      <c r="E8" s="2710">
        <v>5</v>
      </c>
    </row>
    <row r="10" spans="1:18">
      <c r="B10" s="2550" t="s">
        <v>1610</v>
      </c>
      <c r="E10" s="2709">
        <f>E6/E8</f>
        <v>35600</v>
      </c>
    </row>
  </sheetData>
  <mergeCells count="1">
    <mergeCell ref="B2:R2"/>
  </mergeCells>
  <pageMargins left="0.36" right="0.17" top="0.3" bottom="0.31" header="0" footer="0"/>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dimension ref="A2:G21"/>
  <sheetViews>
    <sheetView workbookViewId="0">
      <selection activeCell="A2" sqref="A2"/>
    </sheetView>
  </sheetViews>
  <sheetFormatPr baseColWidth="10" defaultColWidth="11.42578125" defaultRowHeight="12.75"/>
  <cols>
    <col min="1" max="1" width="33.42578125" style="2574" customWidth="1"/>
    <col min="2" max="3" width="11.42578125" style="2574"/>
    <col min="4" max="4" width="15.28515625" style="2574" bestFit="1" customWidth="1"/>
    <col min="5" max="259" width="11.42578125" style="2574"/>
    <col min="260" max="260" width="15.28515625" style="2574" bestFit="1" customWidth="1"/>
    <col min="261" max="515" width="11.42578125" style="2574"/>
    <col min="516" max="516" width="15.28515625" style="2574" bestFit="1" customWidth="1"/>
    <col min="517" max="771" width="11.42578125" style="2574"/>
    <col min="772" max="772" width="15.28515625" style="2574" bestFit="1" customWidth="1"/>
    <col min="773" max="1027" width="11.42578125" style="2574"/>
    <col min="1028" max="1028" width="15.28515625" style="2574" bestFit="1" customWidth="1"/>
    <col min="1029" max="1283" width="11.42578125" style="2574"/>
    <col min="1284" max="1284" width="15.28515625" style="2574" bestFit="1" customWidth="1"/>
    <col min="1285" max="1539" width="11.42578125" style="2574"/>
    <col min="1540" max="1540" width="15.28515625" style="2574" bestFit="1" customWidth="1"/>
    <col min="1541" max="1795" width="11.42578125" style="2574"/>
    <col min="1796" max="1796" width="15.28515625" style="2574" bestFit="1" customWidth="1"/>
    <col min="1797" max="2051" width="11.42578125" style="2574"/>
    <col min="2052" max="2052" width="15.28515625" style="2574" bestFit="1" customWidth="1"/>
    <col min="2053" max="2307" width="11.42578125" style="2574"/>
    <col min="2308" max="2308" width="15.28515625" style="2574" bestFit="1" customWidth="1"/>
    <col min="2309" max="2563" width="11.42578125" style="2574"/>
    <col min="2564" max="2564" width="15.28515625" style="2574" bestFit="1" customWidth="1"/>
    <col min="2565" max="2819" width="11.42578125" style="2574"/>
    <col min="2820" max="2820" width="15.28515625" style="2574" bestFit="1" customWidth="1"/>
    <col min="2821" max="3075" width="11.42578125" style="2574"/>
    <col min="3076" max="3076" width="15.28515625" style="2574" bestFit="1" customWidth="1"/>
    <col min="3077" max="3331" width="11.42578125" style="2574"/>
    <col min="3332" max="3332" width="15.28515625" style="2574" bestFit="1" customWidth="1"/>
    <col min="3333" max="3587" width="11.42578125" style="2574"/>
    <col min="3588" max="3588" width="15.28515625" style="2574" bestFit="1" customWidth="1"/>
    <col min="3589" max="3843" width="11.42578125" style="2574"/>
    <col min="3844" max="3844" width="15.28515625" style="2574" bestFit="1" customWidth="1"/>
    <col min="3845" max="4099" width="11.42578125" style="2574"/>
    <col min="4100" max="4100" width="15.28515625" style="2574" bestFit="1" customWidth="1"/>
    <col min="4101" max="4355" width="11.42578125" style="2574"/>
    <col min="4356" max="4356" width="15.28515625" style="2574" bestFit="1" customWidth="1"/>
    <col min="4357" max="4611" width="11.42578125" style="2574"/>
    <col min="4612" max="4612" width="15.28515625" style="2574" bestFit="1" customWidth="1"/>
    <col min="4613" max="4867" width="11.42578125" style="2574"/>
    <col min="4868" max="4868" width="15.28515625" style="2574" bestFit="1" customWidth="1"/>
    <col min="4869" max="5123" width="11.42578125" style="2574"/>
    <col min="5124" max="5124" width="15.28515625" style="2574" bestFit="1" customWidth="1"/>
    <col min="5125" max="5379" width="11.42578125" style="2574"/>
    <col min="5380" max="5380" width="15.28515625" style="2574" bestFit="1" customWidth="1"/>
    <col min="5381" max="5635" width="11.42578125" style="2574"/>
    <col min="5636" max="5636" width="15.28515625" style="2574" bestFit="1" customWidth="1"/>
    <col min="5637" max="5891" width="11.42578125" style="2574"/>
    <col min="5892" max="5892" width="15.28515625" style="2574" bestFit="1" customWidth="1"/>
    <col min="5893" max="6147" width="11.42578125" style="2574"/>
    <col min="6148" max="6148" width="15.28515625" style="2574" bestFit="1" customWidth="1"/>
    <col min="6149" max="6403" width="11.42578125" style="2574"/>
    <col min="6404" max="6404" width="15.28515625" style="2574" bestFit="1" customWidth="1"/>
    <col min="6405" max="6659" width="11.42578125" style="2574"/>
    <col min="6660" max="6660" width="15.28515625" style="2574" bestFit="1" customWidth="1"/>
    <col min="6661" max="6915" width="11.42578125" style="2574"/>
    <col min="6916" max="6916" width="15.28515625" style="2574" bestFit="1" customWidth="1"/>
    <col min="6917" max="7171" width="11.42578125" style="2574"/>
    <col min="7172" max="7172" width="15.28515625" style="2574" bestFit="1" customWidth="1"/>
    <col min="7173" max="7427" width="11.42578125" style="2574"/>
    <col min="7428" max="7428" width="15.28515625" style="2574" bestFit="1" customWidth="1"/>
    <col min="7429" max="7683" width="11.42578125" style="2574"/>
    <col min="7684" max="7684" width="15.28515625" style="2574" bestFit="1" customWidth="1"/>
    <col min="7685" max="7939" width="11.42578125" style="2574"/>
    <col min="7940" max="7940" width="15.28515625" style="2574" bestFit="1" customWidth="1"/>
    <col min="7941" max="8195" width="11.42578125" style="2574"/>
    <col min="8196" max="8196" width="15.28515625" style="2574" bestFit="1" customWidth="1"/>
    <col min="8197" max="8451" width="11.42578125" style="2574"/>
    <col min="8452" max="8452" width="15.28515625" style="2574" bestFit="1" customWidth="1"/>
    <col min="8453" max="8707" width="11.42578125" style="2574"/>
    <col min="8708" max="8708" width="15.28515625" style="2574" bestFit="1" customWidth="1"/>
    <col min="8709" max="8963" width="11.42578125" style="2574"/>
    <col min="8964" max="8964" width="15.28515625" style="2574" bestFit="1" customWidth="1"/>
    <col min="8965" max="9219" width="11.42578125" style="2574"/>
    <col min="9220" max="9220" width="15.28515625" style="2574" bestFit="1" customWidth="1"/>
    <col min="9221" max="9475" width="11.42578125" style="2574"/>
    <col min="9476" max="9476" width="15.28515625" style="2574" bestFit="1" customWidth="1"/>
    <col min="9477" max="9731" width="11.42578125" style="2574"/>
    <col min="9732" max="9732" width="15.28515625" style="2574" bestFit="1" customWidth="1"/>
    <col min="9733" max="9987" width="11.42578125" style="2574"/>
    <col min="9988" max="9988" width="15.28515625" style="2574" bestFit="1" customWidth="1"/>
    <col min="9989" max="10243" width="11.42578125" style="2574"/>
    <col min="10244" max="10244" width="15.28515625" style="2574" bestFit="1" customWidth="1"/>
    <col min="10245" max="10499" width="11.42578125" style="2574"/>
    <col min="10500" max="10500" width="15.28515625" style="2574" bestFit="1" customWidth="1"/>
    <col min="10501" max="10755" width="11.42578125" style="2574"/>
    <col min="10756" max="10756" width="15.28515625" style="2574" bestFit="1" customWidth="1"/>
    <col min="10757" max="11011" width="11.42578125" style="2574"/>
    <col min="11012" max="11012" width="15.28515625" style="2574" bestFit="1" customWidth="1"/>
    <col min="11013" max="11267" width="11.42578125" style="2574"/>
    <col min="11268" max="11268" width="15.28515625" style="2574" bestFit="1" customWidth="1"/>
    <col min="11269" max="11523" width="11.42578125" style="2574"/>
    <col min="11524" max="11524" width="15.28515625" style="2574" bestFit="1" customWidth="1"/>
    <col min="11525" max="11779" width="11.42578125" style="2574"/>
    <col min="11780" max="11780" width="15.28515625" style="2574" bestFit="1" customWidth="1"/>
    <col min="11781" max="12035" width="11.42578125" style="2574"/>
    <col min="12036" max="12036" width="15.28515625" style="2574" bestFit="1" customWidth="1"/>
    <col min="12037" max="12291" width="11.42578125" style="2574"/>
    <col min="12292" max="12292" width="15.28515625" style="2574" bestFit="1" customWidth="1"/>
    <col min="12293" max="12547" width="11.42578125" style="2574"/>
    <col min="12548" max="12548" width="15.28515625" style="2574" bestFit="1" customWidth="1"/>
    <col min="12549" max="12803" width="11.42578125" style="2574"/>
    <col min="12804" max="12804" width="15.28515625" style="2574" bestFit="1" customWidth="1"/>
    <col min="12805" max="13059" width="11.42578125" style="2574"/>
    <col min="13060" max="13060" width="15.28515625" style="2574" bestFit="1" customWidth="1"/>
    <col min="13061" max="13315" width="11.42578125" style="2574"/>
    <col min="13316" max="13316" width="15.28515625" style="2574" bestFit="1" customWidth="1"/>
    <col min="13317" max="13571" width="11.42578125" style="2574"/>
    <col min="13572" max="13572" width="15.28515625" style="2574" bestFit="1" customWidth="1"/>
    <col min="13573" max="13827" width="11.42578125" style="2574"/>
    <col min="13828" max="13828" width="15.28515625" style="2574" bestFit="1" customWidth="1"/>
    <col min="13829" max="14083" width="11.42578125" style="2574"/>
    <col min="14084" max="14084" width="15.28515625" style="2574" bestFit="1" customWidth="1"/>
    <col min="14085" max="14339" width="11.42578125" style="2574"/>
    <col min="14340" max="14340" width="15.28515625" style="2574" bestFit="1" customWidth="1"/>
    <col min="14341" max="14595" width="11.42578125" style="2574"/>
    <col min="14596" max="14596" width="15.28515625" style="2574" bestFit="1" customWidth="1"/>
    <col min="14597" max="14851" width="11.42578125" style="2574"/>
    <col min="14852" max="14852" width="15.28515625" style="2574" bestFit="1" customWidth="1"/>
    <col min="14853" max="15107" width="11.42578125" style="2574"/>
    <col min="15108" max="15108" width="15.28515625" style="2574" bestFit="1" customWidth="1"/>
    <col min="15109" max="15363" width="11.42578125" style="2574"/>
    <col min="15364" max="15364" width="15.28515625" style="2574" bestFit="1" customWidth="1"/>
    <col min="15365" max="15619" width="11.42578125" style="2574"/>
    <col min="15620" max="15620" width="15.28515625" style="2574" bestFit="1" customWidth="1"/>
    <col min="15621" max="15875" width="11.42578125" style="2574"/>
    <col min="15876" max="15876" width="15.28515625" style="2574" bestFit="1" customWidth="1"/>
    <col min="15877" max="16131" width="11.42578125" style="2574"/>
    <col min="16132" max="16132" width="15.28515625" style="2574" bestFit="1" customWidth="1"/>
    <col min="16133" max="16384" width="11.42578125" style="2574"/>
  </cols>
  <sheetData>
    <row r="2" spans="1:7">
      <c r="A2" s="2774" t="s">
        <v>1393</v>
      </c>
      <c r="B2" s="2774" t="s">
        <v>1394</v>
      </c>
      <c r="C2" s="2774" t="s">
        <v>1395</v>
      </c>
      <c r="D2" s="2774" t="s">
        <v>1396</v>
      </c>
      <c r="F2" s="2856" t="s">
        <v>1397</v>
      </c>
      <c r="G2" s="2856"/>
    </row>
    <row r="3" spans="1:7">
      <c r="A3" s="2574" t="s">
        <v>1826</v>
      </c>
      <c r="B3" s="2575">
        <v>42370</v>
      </c>
      <c r="C3" s="2574">
        <v>15</v>
      </c>
      <c r="D3" s="2575">
        <f t="shared" ref="D3:D12" si="0">C3+B3</f>
        <v>42385</v>
      </c>
      <c r="F3" s="2576">
        <f t="shared" ref="F3:F8" si="1">B3</f>
        <v>42370</v>
      </c>
      <c r="G3" s="2576">
        <f t="shared" ref="G3:G8" si="2">D3</f>
        <v>42385</v>
      </c>
    </row>
    <row r="4" spans="1:7">
      <c r="A4" s="2574" t="s">
        <v>1813</v>
      </c>
      <c r="B4" s="2575">
        <v>42377</v>
      </c>
      <c r="C4" s="2574">
        <v>15</v>
      </c>
      <c r="D4" s="2575">
        <f t="shared" si="0"/>
        <v>42392</v>
      </c>
      <c r="F4" s="2576">
        <f t="shared" si="1"/>
        <v>42377</v>
      </c>
      <c r="G4" s="2576">
        <f t="shared" si="2"/>
        <v>42392</v>
      </c>
    </row>
    <row r="5" spans="1:7">
      <c r="A5" s="2574" t="s">
        <v>1814</v>
      </c>
      <c r="B5" s="2575">
        <v>42379</v>
      </c>
      <c r="C5" s="2574">
        <v>5</v>
      </c>
      <c r="D5" s="2575">
        <f t="shared" si="0"/>
        <v>42384</v>
      </c>
      <c r="F5" s="2576">
        <f t="shared" si="1"/>
        <v>42379</v>
      </c>
      <c r="G5" s="2576">
        <f t="shared" si="2"/>
        <v>42384</v>
      </c>
    </row>
    <row r="6" spans="1:7">
      <c r="A6" s="2574" t="s">
        <v>1815</v>
      </c>
      <c r="B6" s="2575">
        <v>42381</v>
      </c>
      <c r="C6" s="2574">
        <v>30</v>
      </c>
      <c r="D6" s="2575">
        <f t="shared" si="0"/>
        <v>42411</v>
      </c>
      <c r="F6" s="2576">
        <f t="shared" si="1"/>
        <v>42381</v>
      </c>
      <c r="G6" s="2576">
        <f t="shared" si="2"/>
        <v>42411</v>
      </c>
    </row>
    <row r="7" spans="1:7">
      <c r="A7" s="2574" t="s">
        <v>1816</v>
      </c>
      <c r="B7" s="2575">
        <v>42381</v>
      </c>
      <c r="C7" s="2574">
        <v>3</v>
      </c>
      <c r="D7" s="2575">
        <f t="shared" si="0"/>
        <v>42384</v>
      </c>
      <c r="F7" s="2576">
        <f t="shared" si="1"/>
        <v>42381</v>
      </c>
      <c r="G7" s="2576">
        <f t="shared" si="2"/>
        <v>42384</v>
      </c>
    </row>
    <row r="8" spans="1:7">
      <c r="A8" s="2574" t="s">
        <v>1823</v>
      </c>
      <c r="B8" s="2575">
        <v>42384</v>
      </c>
      <c r="C8" s="2574">
        <v>60</v>
      </c>
      <c r="D8" s="2575">
        <f t="shared" si="0"/>
        <v>42444</v>
      </c>
      <c r="F8" s="2576">
        <f t="shared" si="1"/>
        <v>42384</v>
      </c>
      <c r="G8" s="2576">
        <f t="shared" si="2"/>
        <v>42444</v>
      </c>
    </row>
    <row r="9" spans="1:7">
      <c r="A9" s="2574" t="s">
        <v>1817</v>
      </c>
      <c r="B9" s="2575">
        <v>42384</v>
      </c>
      <c r="C9" s="2574">
        <v>5</v>
      </c>
      <c r="D9" s="2575">
        <f t="shared" si="0"/>
        <v>42389</v>
      </c>
      <c r="F9" s="2576">
        <f t="shared" ref="F9:F15" si="3">B9</f>
        <v>42384</v>
      </c>
      <c r="G9" s="2576">
        <f t="shared" ref="G9:G15" si="4">D9</f>
        <v>42389</v>
      </c>
    </row>
    <row r="10" spans="1:7">
      <c r="A10" s="2574" t="s">
        <v>1818</v>
      </c>
      <c r="B10" s="2575">
        <v>42384</v>
      </c>
      <c r="C10" s="2574">
        <v>15</v>
      </c>
      <c r="D10" s="2575">
        <f t="shared" si="0"/>
        <v>42399</v>
      </c>
      <c r="F10" s="2576">
        <f>B10</f>
        <v>42384</v>
      </c>
      <c r="G10" s="2576">
        <f>D10</f>
        <v>42399</v>
      </c>
    </row>
    <row r="11" spans="1:7">
      <c r="A11" s="2574" t="s">
        <v>1822</v>
      </c>
      <c r="B11" s="2575">
        <v>42386</v>
      </c>
      <c r="C11" s="2574">
        <v>20</v>
      </c>
      <c r="D11" s="2575">
        <f t="shared" si="0"/>
        <v>42406</v>
      </c>
      <c r="F11" s="2576">
        <f t="shared" si="3"/>
        <v>42386</v>
      </c>
      <c r="G11" s="2576">
        <f t="shared" si="4"/>
        <v>42406</v>
      </c>
    </row>
    <row r="12" spans="1:7">
      <c r="A12" s="2574" t="s">
        <v>1825</v>
      </c>
      <c r="B12" s="2575">
        <v>42401</v>
      </c>
      <c r="C12" s="2574">
        <v>15</v>
      </c>
      <c r="D12" s="2575">
        <f t="shared" si="0"/>
        <v>42416</v>
      </c>
      <c r="F12" s="2576">
        <f>B12</f>
        <v>42401</v>
      </c>
      <c r="G12" s="2576">
        <f>D12</f>
        <v>42416</v>
      </c>
    </row>
    <row r="13" spans="1:7">
      <c r="A13" s="2574" t="s">
        <v>1819</v>
      </c>
      <c r="B13" s="2575">
        <v>42406</v>
      </c>
      <c r="C13" s="2574">
        <v>3</v>
      </c>
      <c r="D13" s="2575">
        <f t="shared" ref="D13:D17" si="5">C13+B13</f>
        <v>42409</v>
      </c>
      <c r="F13" s="2576">
        <f t="shared" si="3"/>
        <v>42406</v>
      </c>
      <c r="G13" s="2576">
        <f t="shared" si="4"/>
        <v>42409</v>
      </c>
    </row>
    <row r="14" spans="1:7">
      <c r="A14" s="2574" t="s">
        <v>1820</v>
      </c>
      <c r="B14" s="2575">
        <v>42430</v>
      </c>
      <c r="C14" s="2574">
        <v>7</v>
      </c>
      <c r="D14" s="2575">
        <f t="shared" si="5"/>
        <v>42437</v>
      </c>
      <c r="F14" s="2576">
        <f t="shared" si="3"/>
        <v>42430</v>
      </c>
      <c r="G14" s="2576">
        <f t="shared" si="4"/>
        <v>42437</v>
      </c>
    </row>
    <row r="15" spans="1:7">
      <c r="A15" s="2574" t="s">
        <v>1821</v>
      </c>
      <c r="B15" s="2575">
        <v>42437</v>
      </c>
      <c r="C15" s="2574">
        <v>5</v>
      </c>
      <c r="D15" s="2575">
        <f t="shared" si="5"/>
        <v>42442</v>
      </c>
      <c r="F15" s="2576">
        <f t="shared" si="3"/>
        <v>42437</v>
      </c>
      <c r="G15" s="2576">
        <f t="shared" si="4"/>
        <v>42442</v>
      </c>
    </row>
    <row r="16" spans="1:7">
      <c r="A16" s="2574" t="s">
        <v>1824</v>
      </c>
      <c r="B16" s="2575">
        <v>42461</v>
      </c>
      <c r="C16" s="2574">
        <v>30</v>
      </c>
      <c r="D16" s="2575">
        <f t="shared" si="5"/>
        <v>42491</v>
      </c>
      <c r="F16" s="2576">
        <f t="shared" ref="F16" si="6">B16</f>
        <v>42461</v>
      </c>
      <c r="G16" s="2576">
        <f t="shared" ref="G16" si="7">D16</f>
        <v>42491</v>
      </c>
    </row>
    <row r="17" spans="1:7">
      <c r="A17" s="2574" t="s">
        <v>1827</v>
      </c>
      <c r="B17" s="2575">
        <v>42505</v>
      </c>
      <c r="C17" s="2574">
        <v>30</v>
      </c>
      <c r="D17" s="2575">
        <f t="shared" si="5"/>
        <v>42535</v>
      </c>
      <c r="F17" s="2576">
        <f t="shared" ref="F17" si="8">B17</f>
        <v>42505</v>
      </c>
      <c r="G17" s="2576">
        <f t="shared" ref="G17" si="9">D17</f>
        <v>42535</v>
      </c>
    </row>
    <row r="18" spans="1:7">
      <c r="A18" s="2574" t="s">
        <v>1828</v>
      </c>
      <c r="B18" s="2775">
        <v>42536</v>
      </c>
      <c r="C18" s="2574">
        <v>7</v>
      </c>
      <c r="D18" s="2575">
        <f t="shared" ref="D18:D21" si="10">C18+B18</f>
        <v>42543</v>
      </c>
      <c r="F18" s="2576">
        <f t="shared" ref="F18:F21" si="11">B18</f>
        <v>42536</v>
      </c>
      <c r="G18" s="2576">
        <f t="shared" ref="G18:G21" si="12">D18</f>
        <v>42543</v>
      </c>
    </row>
    <row r="19" spans="1:7">
      <c r="A19" s="2574" t="s">
        <v>1824</v>
      </c>
      <c r="B19" s="2575">
        <v>42614</v>
      </c>
      <c r="C19" s="2574">
        <v>30</v>
      </c>
      <c r="D19" s="2575">
        <f t="shared" si="10"/>
        <v>42644</v>
      </c>
      <c r="F19" s="2576">
        <f t="shared" si="11"/>
        <v>42614</v>
      </c>
      <c r="G19" s="2576">
        <f t="shared" si="12"/>
        <v>42644</v>
      </c>
    </row>
    <row r="20" spans="1:7">
      <c r="A20" s="2574" t="s">
        <v>1829</v>
      </c>
      <c r="B20" s="2775">
        <v>42644</v>
      </c>
      <c r="C20" s="2574">
        <v>20</v>
      </c>
      <c r="D20" s="2575">
        <f t="shared" ref="D20" si="13">C20+B20</f>
        <v>42664</v>
      </c>
      <c r="F20" s="2576">
        <f t="shared" ref="F20" si="14">B20</f>
        <v>42644</v>
      </c>
      <c r="G20" s="2576">
        <f t="shared" ref="G20" si="15">D20</f>
        <v>42664</v>
      </c>
    </row>
    <row r="21" spans="1:7">
      <c r="A21" s="2574" t="s">
        <v>1830</v>
      </c>
      <c r="B21" s="2575">
        <v>42675</v>
      </c>
      <c r="C21" s="2574">
        <v>30</v>
      </c>
      <c r="D21" s="2575">
        <f t="shared" si="10"/>
        <v>42705</v>
      </c>
      <c r="F21" s="2576">
        <f t="shared" si="11"/>
        <v>42675</v>
      </c>
      <c r="G21" s="2576">
        <f t="shared" si="12"/>
        <v>42705</v>
      </c>
    </row>
  </sheetData>
  <mergeCells count="1">
    <mergeCell ref="F2:G2"/>
  </mergeCells>
  <pageMargins left="0.75" right="0.75" top="1" bottom="1" header="0" footer="0"/>
  <headerFooter alignWithMargins="0"/>
  <drawing r:id="rId1"/>
</worksheet>
</file>

<file path=xl/worksheets/sheet2.xml><?xml version="1.0" encoding="utf-8"?>
<worksheet xmlns="http://schemas.openxmlformats.org/spreadsheetml/2006/main" xmlns:r="http://schemas.openxmlformats.org/officeDocument/2006/relationships">
  <sheetPr>
    <tabColor rgb="FF00B050"/>
    <pageSetUpPr fitToPage="1"/>
  </sheetPr>
  <dimension ref="A1:Z43"/>
  <sheetViews>
    <sheetView topLeftCell="B9" workbookViewId="0">
      <selection activeCell="D17" sqref="D17"/>
    </sheetView>
  </sheetViews>
  <sheetFormatPr baseColWidth="10" defaultColWidth="11.42578125" defaultRowHeight="12.75"/>
  <cols>
    <col min="1" max="1" width="8.42578125" style="17" hidden="1" customWidth="1"/>
    <col min="2" max="2" width="29.7109375" style="17" customWidth="1"/>
    <col min="3" max="3" width="6.5703125" style="17" hidden="1" customWidth="1"/>
    <col min="4" max="8" width="12.7109375" style="17" customWidth="1"/>
    <col min="9" max="9" width="15" style="17" hidden="1" customWidth="1"/>
    <col min="10" max="10" width="13" style="17" hidden="1" customWidth="1"/>
    <col min="11" max="11" width="55.5703125" style="17" hidden="1" customWidth="1"/>
    <col min="12" max="12" width="1.7109375" style="17" hidden="1" customWidth="1"/>
    <col min="13" max="13" width="25.7109375" style="48" hidden="1" customWidth="1"/>
    <col min="14" max="19" width="7.42578125" style="17" hidden="1" customWidth="1"/>
    <col min="20" max="20" width="11.42578125" style="17" hidden="1" customWidth="1"/>
    <col min="21" max="21" width="82.140625" style="17" hidden="1" customWidth="1"/>
    <col min="22" max="22" width="93.28515625" style="17" hidden="1" customWidth="1"/>
    <col min="23" max="16384" width="11.42578125" style="17"/>
  </cols>
  <sheetData>
    <row r="1" spans="1:22" customFormat="1" ht="26.25">
      <c r="A1" s="621"/>
      <c r="B1" s="621"/>
      <c r="C1" s="621"/>
      <c r="D1" s="2393"/>
      <c r="E1" s="2394" t="s">
        <v>1398</v>
      </c>
      <c r="F1" s="2393"/>
      <c r="G1" s="621"/>
      <c r="H1" s="621"/>
      <c r="I1" s="621"/>
      <c r="J1" s="2463"/>
      <c r="K1" s="73" t="s">
        <v>190</v>
      </c>
      <c r="M1" s="73" t="s">
        <v>740</v>
      </c>
    </row>
    <row r="2" spans="1:22" customFormat="1" ht="16.5">
      <c r="A2" s="621"/>
      <c r="B2" s="621"/>
      <c r="C2" s="621"/>
      <c r="D2" s="621"/>
      <c r="E2" s="621"/>
      <c r="F2" s="621"/>
      <c r="G2" s="621"/>
      <c r="H2" s="621"/>
      <c r="I2" s="621"/>
      <c r="J2" s="2464" t="s">
        <v>151</v>
      </c>
      <c r="M2" s="46"/>
    </row>
    <row r="3" spans="1:22" customFormat="1" ht="16.5">
      <c r="A3" s="621"/>
      <c r="B3" s="621"/>
      <c r="C3" s="621"/>
      <c r="D3" s="621"/>
      <c r="E3" s="621"/>
      <c r="F3" s="621"/>
      <c r="G3" s="621"/>
      <c r="H3" s="621"/>
      <c r="I3" s="621"/>
      <c r="J3" s="2462" t="s">
        <v>151</v>
      </c>
      <c r="M3" s="46"/>
    </row>
    <row r="4" spans="1:22" ht="26.25">
      <c r="B4" s="78" t="s">
        <v>1611</v>
      </c>
      <c r="C4" s="953"/>
      <c r="D4" s="953" t="s">
        <v>1399</v>
      </c>
      <c r="E4" s="16"/>
      <c r="F4" s="16"/>
      <c r="G4" s="16"/>
      <c r="H4" s="16"/>
      <c r="I4" s="16"/>
      <c r="J4" s="2465" t="s">
        <v>152</v>
      </c>
      <c r="K4" s="1217"/>
      <c r="L4" s="834"/>
      <c r="M4" s="1218"/>
      <c r="U4" s="1706" t="s">
        <v>988</v>
      </c>
      <c r="V4" s="1711" t="s">
        <v>989</v>
      </c>
    </row>
    <row r="5" spans="1:22" s="15" customFormat="1" ht="6" customHeight="1">
      <c r="B5" s="838"/>
      <c r="C5" s="838"/>
      <c r="D5" s="839"/>
      <c r="E5" s="839"/>
      <c r="F5" s="839"/>
      <c r="G5" s="839"/>
      <c r="H5" s="839"/>
      <c r="I5" s="839"/>
      <c r="K5" s="838"/>
      <c r="L5" s="838"/>
      <c r="M5" s="904"/>
      <c r="U5" s="1707"/>
      <c r="V5" s="1712"/>
    </row>
    <row r="6" spans="1:22" s="28" customFormat="1" ht="23.25">
      <c r="B6" s="146" t="s">
        <v>1612</v>
      </c>
      <c r="C6" s="146"/>
      <c r="D6" s="146"/>
      <c r="E6" s="148" t="s">
        <v>1400</v>
      </c>
      <c r="F6" s="924"/>
      <c r="G6" s="2581" t="s">
        <v>98</v>
      </c>
      <c r="H6" s="2582" t="s">
        <v>934</v>
      </c>
      <c r="J6" s="27"/>
      <c r="K6" s="842"/>
      <c r="L6" s="842"/>
      <c r="M6" s="1219"/>
      <c r="U6" s="1708" t="s">
        <v>985</v>
      </c>
      <c r="V6" s="1713" t="s">
        <v>991</v>
      </c>
    </row>
    <row r="7" spans="1:22" s="29" customFormat="1" ht="15.75">
      <c r="B7" s="147" t="s">
        <v>1613</v>
      </c>
      <c r="C7" s="147"/>
      <c r="D7" s="147"/>
      <c r="E7" s="921" t="s">
        <v>1335</v>
      </c>
      <c r="F7" s="2392"/>
      <c r="G7" s="2392"/>
      <c r="H7" s="2392"/>
      <c r="I7" s="2392"/>
      <c r="J7" s="27"/>
      <c r="K7" s="1220"/>
      <c r="L7" s="1220"/>
      <c r="M7" s="1221"/>
      <c r="U7" s="1708"/>
      <c r="V7" s="1713"/>
    </row>
    <row r="8" spans="1:22" s="902" customFormat="1" ht="26.25" customHeight="1">
      <c r="B8" s="935"/>
      <c r="C8" s="935"/>
      <c r="D8" s="936"/>
      <c r="E8" s="937"/>
      <c r="F8" s="937"/>
      <c r="G8" s="937"/>
      <c r="H8" s="937"/>
      <c r="I8" s="937"/>
      <c r="J8" s="15"/>
      <c r="K8" s="19"/>
      <c r="L8" s="19"/>
      <c r="M8" s="47"/>
      <c r="N8" s="15"/>
      <c r="O8" s="15"/>
      <c r="P8" s="15"/>
      <c r="Q8" s="15"/>
      <c r="R8" s="15"/>
      <c r="S8" s="15"/>
      <c r="T8" s="15"/>
      <c r="U8" s="1707"/>
      <c r="V8" s="1712"/>
    </row>
    <row r="9" spans="1:22" s="15" customFormat="1" ht="15">
      <c r="B9" s="935"/>
      <c r="C9" s="935"/>
      <c r="D9" s="902"/>
      <c r="E9" s="902"/>
      <c r="F9" s="902"/>
      <c r="G9" s="902"/>
      <c r="H9" s="902"/>
      <c r="I9" s="902"/>
      <c r="K9" s="19"/>
      <c r="L9" s="19"/>
      <c r="M9" s="47"/>
      <c r="N9" s="174" t="s">
        <v>38</v>
      </c>
      <c r="O9" s="174" t="s">
        <v>39</v>
      </c>
      <c r="P9" s="174" t="s">
        <v>40</v>
      </c>
      <c r="Q9" s="174" t="s">
        <v>41</v>
      </c>
      <c r="R9" s="174" t="s">
        <v>42</v>
      </c>
      <c r="S9" s="177" t="s">
        <v>78</v>
      </c>
      <c r="U9" s="1707"/>
      <c r="V9" s="1712"/>
    </row>
    <row r="10" spans="1:22" ht="6" customHeight="1">
      <c r="B10" s="167"/>
      <c r="C10" s="170"/>
      <c r="D10" s="173"/>
      <c r="E10" s="173"/>
      <c r="F10" s="173"/>
      <c r="G10" s="173"/>
      <c r="H10" s="173"/>
      <c r="I10" s="176"/>
      <c r="K10" s="167"/>
      <c r="L10" s="170"/>
      <c r="U10" s="1708"/>
      <c r="V10" s="1713"/>
    </row>
    <row r="11" spans="1:22" s="20" customFormat="1">
      <c r="B11" s="2379" t="s">
        <v>1806</v>
      </c>
      <c r="C11" s="859"/>
      <c r="D11" s="174" t="s">
        <v>1401</v>
      </c>
      <c r="E11" s="174" t="s">
        <v>1402</v>
      </c>
      <c r="F11" s="174" t="s">
        <v>1403</v>
      </c>
      <c r="G11" s="174" t="s">
        <v>1404</v>
      </c>
      <c r="H11" s="174" t="s">
        <v>1405</v>
      </c>
      <c r="I11" s="174" t="str">
        <f>IF('Mode Opératoire'!$I$1="Français",+'Cpte exploitation ARG'!S10,'Cpte exploitation ARG'!S13)</f>
        <v>Année 6</v>
      </c>
      <c r="K11" s="168" t="s">
        <v>137</v>
      </c>
      <c r="L11" s="171"/>
      <c r="M11" s="168" t="s">
        <v>137</v>
      </c>
      <c r="U11" s="1708"/>
      <c r="V11" s="1713"/>
    </row>
    <row r="12" spans="1:22">
      <c r="B12" s="2396"/>
      <c r="C12" s="2397"/>
      <c r="D12" s="175">
        <v>2016</v>
      </c>
      <c r="E12" s="175">
        <f>D12+1</f>
        <v>2017</v>
      </c>
      <c r="F12" s="175">
        <f>E12+1</f>
        <v>2018</v>
      </c>
      <c r="G12" s="175">
        <f>F12+1</f>
        <v>2019</v>
      </c>
      <c r="H12" s="175">
        <f>G12+1</f>
        <v>2020</v>
      </c>
      <c r="I12" s="178">
        <f>H12+1</f>
        <v>2021</v>
      </c>
      <c r="K12" s="169"/>
      <c r="L12" s="172"/>
      <c r="N12" s="174" t="s">
        <v>742</v>
      </c>
      <c r="O12" s="174" t="s">
        <v>747</v>
      </c>
      <c r="P12" s="174" t="s">
        <v>743</v>
      </c>
      <c r="Q12" s="174" t="s">
        <v>744</v>
      </c>
      <c r="R12" s="174" t="s">
        <v>745</v>
      </c>
      <c r="S12" s="177" t="s">
        <v>746</v>
      </c>
      <c r="U12" s="1708" t="s">
        <v>990</v>
      </c>
      <c r="V12" s="1713" t="s">
        <v>974</v>
      </c>
    </row>
    <row r="13" spans="1:22">
      <c r="A13" s="17" t="str">
        <f t="shared" ref="A13:A39" si="0">+$H$6</f>
        <v>WRP</v>
      </c>
      <c r="B13" s="2379" t="s">
        <v>1406</v>
      </c>
      <c r="C13" s="862"/>
      <c r="D13" s="1895">
        <f>'Mercado potencial'!E84*1000/'Tipo de cambio'!$D$9</f>
        <v>151289.83358005621</v>
      </c>
      <c r="E13" s="1895">
        <f>'Mercado potencial'!F84*1000/'Tipo de cambio'!$D$9</f>
        <v>498635.4376001124</v>
      </c>
      <c r="F13" s="1895">
        <f>'Mercado potencial'!G84*1000/'Tipo de cambio'!$D$9</f>
        <v>955302.14559595252</v>
      </c>
      <c r="G13" s="1895">
        <f>SUM(Cashflow!B41:B52)/'Tipo de cambio'!$D$9</f>
        <v>1140752.1737371432</v>
      </c>
      <c r="H13" s="1895">
        <f>G13</f>
        <v>1140752.1737371432</v>
      </c>
      <c r="I13" s="1895"/>
      <c r="J13" s="451"/>
      <c r="K13" s="180" t="s">
        <v>19</v>
      </c>
      <c r="L13" s="183"/>
      <c r="M13" s="186" t="s">
        <v>80</v>
      </c>
      <c r="U13" s="1708"/>
      <c r="V13" s="1713"/>
    </row>
    <row r="14" spans="1:22">
      <c r="A14" s="17" t="str">
        <f t="shared" si="0"/>
        <v>WRP</v>
      </c>
      <c r="B14" s="2380" t="s">
        <v>1407</v>
      </c>
      <c r="C14" s="2381"/>
      <c r="D14" s="1062">
        <f t="shared" ref="D14:I14" si="1">SUM(D13:D13)</f>
        <v>151289.83358005621</v>
      </c>
      <c r="E14" s="1062">
        <f t="shared" si="1"/>
        <v>498635.4376001124</v>
      </c>
      <c r="F14" s="1062">
        <f t="shared" si="1"/>
        <v>955302.14559595252</v>
      </c>
      <c r="G14" s="1062">
        <f t="shared" si="1"/>
        <v>1140752.1737371432</v>
      </c>
      <c r="H14" s="1062">
        <f t="shared" si="1"/>
        <v>1140752.1737371432</v>
      </c>
      <c r="I14" s="1062">
        <f t="shared" si="1"/>
        <v>0</v>
      </c>
      <c r="K14" s="181" t="s">
        <v>149</v>
      </c>
      <c r="L14" s="184"/>
      <c r="M14" s="187" t="s">
        <v>150</v>
      </c>
      <c r="U14" s="1708"/>
      <c r="V14" s="1713"/>
    </row>
    <row r="15" spans="1:22">
      <c r="B15" s="2378" t="s">
        <v>1419</v>
      </c>
      <c r="C15" s="866"/>
      <c r="D15" s="1894">
        <f>-'Costo MKT y Comercialización'!B40*1000/'Tipo de cambio'!$D$9</f>
        <v>-39222.713980125001</v>
      </c>
      <c r="E15" s="1894">
        <f>-'Costo MKT y Comercialización'!C40*1000/'Tipo de cambio'!$D$9</f>
        <v>-130143.84921362935</v>
      </c>
      <c r="F15" s="1894">
        <f>-'Costo MKT y Comercialización'!D40*1000/'Tipo de cambio'!$D$9</f>
        <v>-249333.86000054359</v>
      </c>
      <c r="G15" s="1894">
        <f>-G13*0.87*0.3</f>
        <v>-297736.31734539435</v>
      </c>
      <c r="H15" s="1894">
        <f>-H13*0.87*0.3</f>
        <v>-297736.31734539435</v>
      </c>
      <c r="I15" s="2583"/>
      <c r="K15" s="2584"/>
      <c r="L15" s="2585"/>
      <c r="M15" s="2586"/>
      <c r="U15" s="1708"/>
      <c r="V15" s="1713"/>
    </row>
    <row r="16" spans="1:22">
      <c r="A16" s="17" t="str">
        <f t="shared" si="0"/>
        <v>WRP</v>
      </c>
      <c r="B16" s="2378" t="s">
        <v>1571</v>
      </c>
      <c r="C16" s="2382"/>
      <c r="D16" s="1894">
        <f>-D13*(1-'Costeo Productos'!$B$46)-'Costo MKT y Comercialización'!I63*1000/'Tipo de cambio'!$D$9</f>
        <v>-54586.472350662138</v>
      </c>
      <c r="E16" s="1894">
        <f>-E13*(1-'Costeo Productos'!$B$46)-'Costo MKT y Comercialización'!J63*1000/'Tipo de cambio'!$D$9</f>
        <v>-179910.25727178977</v>
      </c>
      <c r="F16" s="1894">
        <f>-F13*(1-'Costeo Productos'!$B$46)-'Costo MKT y Comercialización'!K63*1000/'Tipo de cambio'!$D$9</f>
        <v>-344678.01577913237</v>
      </c>
      <c r="G16" s="1894">
        <f>-G13*(1-'Costeo Productos'!$B$46)-G13/F13*'Costo MKT y Comercialización'!K63*1000/'Tipo de cambio'!$D$9</f>
        <v>-411589.3568878806</v>
      </c>
      <c r="H16" s="1894">
        <f>-H13*(1-'Costeo Productos'!$B$46)-H13/F13*'Costo MKT y Comercialización'!K63*1000/'Tipo de cambio'!$D$9</f>
        <v>-411589.3568878806</v>
      </c>
      <c r="I16" s="1894"/>
      <c r="K16" s="179" t="s">
        <v>44</v>
      </c>
      <c r="L16" s="182"/>
      <c r="M16" s="188" t="s">
        <v>82</v>
      </c>
      <c r="U16" s="1708"/>
      <c r="V16" s="1713"/>
    </row>
    <row r="17" spans="1:22">
      <c r="A17" s="17" t="str">
        <f t="shared" si="0"/>
        <v>WRP</v>
      </c>
      <c r="B17" s="2380" t="s">
        <v>1408</v>
      </c>
      <c r="C17" s="2381"/>
      <c r="D17" s="1062">
        <f>SUM(D15:D16)</f>
        <v>-93809.186330787139</v>
      </c>
      <c r="E17" s="1062">
        <f>SUM(E15:E16)</f>
        <v>-310054.10648541909</v>
      </c>
      <c r="F17" s="1062">
        <f>SUM(F15:F16)</f>
        <v>-594011.87577967602</v>
      </c>
      <c r="G17" s="1062">
        <f>SUM(G15:G16)</f>
        <v>-709325.674233275</v>
      </c>
      <c r="H17" s="1062">
        <f>SUM(H15:H16)</f>
        <v>-709325.674233275</v>
      </c>
      <c r="I17" s="1062">
        <f t="shared" ref="I17" si="2">SUM(I16:I16)</f>
        <v>0</v>
      </c>
      <c r="K17" s="181" t="s">
        <v>118</v>
      </c>
      <c r="L17" s="184"/>
      <c r="M17" s="189" t="s">
        <v>82</v>
      </c>
      <c r="U17" s="1708"/>
      <c r="V17" s="1713"/>
    </row>
    <row r="18" spans="1:22">
      <c r="A18" s="17" t="str">
        <f t="shared" si="0"/>
        <v>WRP</v>
      </c>
      <c r="B18" s="190" t="s">
        <v>1409</v>
      </c>
      <c r="C18" s="198"/>
      <c r="D18" s="193">
        <f t="shared" ref="D18:I18" si="3">+D14+D17</f>
        <v>57480.647249269066</v>
      </c>
      <c r="E18" s="193">
        <f t="shared" si="3"/>
        <v>188581.33111469331</v>
      </c>
      <c r="F18" s="193">
        <f t="shared" si="3"/>
        <v>361290.2698162765</v>
      </c>
      <c r="G18" s="193">
        <f t="shared" si="3"/>
        <v>431426.49950386817</v>
      </c>
      <c r="H18" s="195">
        <f t="shared" si="3"/>
        <v>431426.49950386817</v>
      </c>
      <c r="I18" s="193">
        <f t="shared" si="3"/>
        <v>0</v>
      </c>
      <c r="K18" s="190" t="s">
        <v>21</v>
      </c>
      <c r="L18" s="198"/>
      <c r="M18" s="192" t="s">
        <v>83</v>
      </c>
      <c r="U18" s="1708"/>
      <c r="V18" s="1713"/>
    </row>
    <row r="19" spans="1:22" s="124" customFormat="1" ht="13.5">
      <c r="A19" s="17" t="str">
        <f t="shared" si="0"/>
        <v>WRP</v>
      </c>
      <c r="B19" s="200" t="s">
        <v>1410</v>
      </c>
      <c r="C19" s="201"/>
      <c r="D19" s="197">
        <f t="shared" ref="D19:I19" si="4">IF(D$14&lt;&gt;0,D18/D$14,0)</f>
        <v>0.37993727594956161</v>
      </c>
      <c r="E19" s="197">
        <f t="shared" si="4"/>
        <v>0.37819480304552427</v>
      </c>
      <c r="F19" s="197">
        <f t="shared" si="4"/>
        <v>0.37819476432860977</v>
      </c>
      <c r="G19" s="197">
        <f t="shared" si="4"/>
        <v>0.37819476432860977</v>
      </c>
      <c r="H19" s="202">
        <f t="shared" si="4"/>
        <v>0.37819476432860977</v>
      </c>
      <c r="I19" s="197">
        <f t="shared" si="4"/>
        <v>0</v>
      </c>
      <c r="K19" s="200" t="s">
        <v>68</v>
      </c>
      <c r="L19" s="201"/>
      <c r="M19" s="203" t="s">
        <v>84</v>
      </c>
      <c r="U19" s="1709"/>
      <c r="V19" s="1714"/>
    </row>
    <row r="20" spans="1:22" ht="12.75" customHeight="1">
      <c r="A20" s="17" t="str">
        <f t="shared" si="0"/>
        <v>WRP</v>
      </c>
      <c r="B20" s="2379" t="s">
        <v>1411</v>
      </c>
      <c r="C20" s="2828"/>
      <c r="D20" s="1896">
        <f>-'Personal '!G19/'Tipo de cambio'!$D$9</f>
        <v>-95730.337078651675</v>
      </c>
      <c r="E20" s="1896">
        <f>-'Personal '!G29/'Tipo de cambio'!$D$9</f>
        <v>-111910.11235955056</v>
      </c>
      <c r="F20" s="1896">
        <f>-'Personal '!G39/'Tipo de cambio'!$D$9</f>
        <v>-138876.404494382</v>
      </c>
      <c r="G20" s="1896">
        <f>F20</f>
        <v>-138876.404494382</v>
      </c>
      <c r="H20" s="1896">
        <f>G20</f>
        <v>-138876.404494382</v>
      </c>
      <c r="I20" s="1896"/>
      <c r="K20" s="208" t="s">
        <v>43</v>
      </c>
      <c r="L20" s="2825"/>
      <c r="M20" s="219" t="s">
        <v>85</v>
      </c>
      <c r="U20" s="1708"/>
      <c r="V20" s="1713"/>
    </row>
    <row r="21" spans="1:22" hidden="1">
      <c r="A21" s="17" t="str">
        <f t="shared" si="0"/>
        <v>WRP</v>
      </c>
      <c r="B21" s="2379" t="s">
        <v>1412</v>
      </c>
      <c r="C21" s="2829"/>
      <c r="D21" s="1896"/>
      <c r="E21" s="1896"/>
      <c r="F21" s="1896"/>
      <c r="G21" s="1896"/>
      <c r="H21" s="1896"/>
      <c r="I21" s="1896"/>
      <c r="K21" s="208" t="s">
        <v>423</v>
      </c>
      <c r="L21" s="2826"/>
      <c r="M21" s="219" t="s">
        <v>227</v>
      </c>
      <c r="U21" s="1708"/>
      <c r="V21" s="1713"/>
    </row>
    <row r="22" spans="1:22">
      <c r="A22" s="17" t="str">
        <f t="shared" si="0"/>
        <v>WRP</v>
      </c>
      <c r="B22" s="2379" t="s">
        <v>1413</v>
      </c>
      <c r="C22" s="2829"/>
      <c r="D22" s="1896">
        <f>D20*1%</f>
        <v>-957.30337078651678</v>
      </c>
      <c r="E22" s="1896">
        <f>E20*1%</f>
        <v>-1119.1011235955057</v>
      </c>
      <c r="F22" s="1896">
        <f>F20*1%</f>
        <v>-1388.7640449438202</v>
      </c>
      <c r="G22" s="1896">
        <f>G20*1%</f>
        <v>-1388.7640449438202</v>
      </c>
      <c r="H22" s="1896">
        <f>H20*1%</f>
        <v>-1388.7640449438202</v>
      </c>
      <c r="I22" s="1896" t="e">
        <f>(I20+#REF!)*1%</f>
        <v>#REF!</v>
      </c>
      <c r="K22" s="208" t="s">
        <v>86</v>
      </c>
      <c r="L22" s="2826"/>
      <c r="M22" s="219" t="s">
        <v>88</v>
      </c>
      <c r="U22" s="1708"/>
      <c r="V22" s="1713"/>
    </row>
    <row r="23" spans="1:22" hidden="1">
      <c r="A23" s="17" t="str">
        <f t="shared" si="0"/>
        <v>WRP</v>
      </c>
      <c r="B23" s="2379" t="s">
        <v>1414</v>
      </c>
      <c r="C23" s="2829"/>
      <c r="D23" s="1896"/>
      <c r="E23" s="1896"/>
      <c r="F23" s="1896"/>
      <c r="G23" s="1896"/>
      <c r="H23" s="1896"/>
      <c r="I23" s="1896"/>
      <c r="K23" s="208" t="s">
        <v>376</v>
      </c>
      <c r="L23" s="2826"/>
      <c r="M23" s="219" t="s">
        <v>376</v>
      </c>
      <c r="U23" s="1708"/>
      <c r="V23" s="1713"/>
    </row>
    <row r="24" spans="1:22" hidden="1">
      <c r="A24" s="17" t="str">
        <f t="shared" si="0"/>
        <v>WRP</v>
      </c>
      <c r="B24" s="2379" t="s">
        <v>1415</v>
      </c>
      <c r="C24" s="2830"/>
      <c r="D24" s="1896"/>
      <c r="E24" s="1896"/>
      <c r="F24" s="1896"/>
      <c r="G24" s="1896"/>
      <c r="H24" s="1896"/>
      <c r="I24" s="1896"/>
      <c r="K24" s="208" t="s">
        <v>46</v>
      </c>
      <c r="L24" s="2827"/>
      <c r="M24" s="219" t="s">
        <v>103</v>
      </c>
      <c r="U24" s="1708"/>
      <c r="V24" s="1713"/>
    </row>
    <row r="25" spans="1:22">
      <c r="A25" s="17" t="str">
        <f t="shared" si="0"/>
        <v>WRP</v>
      </c>
      <c r="B25" s="2398" t="s">
        <v>1416</v>
      </c>
      <c r="C25" s="234"/>
      <c r="D25" s="1068">
        <f t="shared" ref="D25:I25" si="5">SUM(D20:D24)</f>
        <v>-96687.640449438186</v>
      </c>
      <c r="E25" s="1069">
        <f t="shared" si="5"/>
        <v>-113029.21348314607</v>
      </c>
      <c r="F25" s="1068">
        <f t="shared" si="5"/>
        <v>-140265.16853932582</v>
      </c>
      <c r="G25" s="1068">
        <f t="shared" si="5"/>
        <v>-140265.16853932582</v>
      </c>
      <c r="H25" s="1068">
        <f t="shared" si="5"/>
        <v>-140265.16853932582</v>
      </c>
      <c r="I25" s="1068" t="e">
        <f t="shared" si="5"/>
        <v>#REF!</v>
      </c>
      <c r="K25" s="233" t="s">
        <v>117</v>
      </c>
      <c r="L25" s="234"/>
      <c r="M25" s="235" t="s">
        <v>89</v>
      </c>
      <c r="U25" s="1708"/>
      <c r="V25" s="1713"/>
    </row>
    <row r="26" spans="1:22">
      <c r="A26" s="17" t="str">
        <f t="shared" si="0"/>
        <v>WRP</v>
      </c>
      <c r="B26" s="2399" t="s">
        <v>1608</v>
      </c>
      <c r="C26" s="862"/>
      <c r="D26" s="1894">
        <f>-Sistemas!$E$10/'Tipo de cambio'!$D$9</f>
        <v>-4000</v>
      </c>
      <c r="E26" s="1894">
        <f>-Sistemas!$E$10/'Tipo de cambio'!$D$9</f>
        <v>-4000</v>
      </c>
      <c r="F26" s="1894">
        <f>-Sistemas!$E$10/'Tipo de cambio'!$D$9</f>
        <v>-4000</v>
      </c>
      <c r="G26" s="1894">
        <f>-Sistemas!$E$10/'Tipo de cambio'!$D$9</f>
        <v>-4000</v>
      </c>
      <c r="H26" s="1894">
        <f>-Sistemas!$E$10/'Tipo de cambio'!$D$9</f>
        <v>-4000</v>
      </c>
      <c r="I26" s="1894"/>
      <c r="K26" s="208" t="s">
        <v>128</v>
      </c>
      <c r="L26" s="222"/>
      <c r="M26" s="219" t="s">
        <v>104</v>
      </c>
      <c r="U26" s="1708"/>
      <c r="V26" s="1713"/>
    </row>
    <row r="27" spans="1:22">
      <c r="A27" s="17" t="str">
        <f t="shared" si="0"/>
        <v>WRP</v>
      </c>
      <c r="B27" s="2400" t="s">
        <v>1683</v>
      </c>
      <c r="C27" s="862"/>
      <c r="D27" s="1895">
        <f>-'Costo MKT y Comercialización'!I81*1000/'Tipo de cambio'!$D$9</f>
        <v>-6051.5933432022493</v>
      </c>
      <c r="E27" s="1895">
        <f>-'Costo MKT y Comercialización'!J81*1000/'Tipo de cambio'!$D$9</f>
        <v>-19945.417504004501</v>
      </c>
      <c r="F27" s="1895">
        <f>-'Costo MKT y Comercialización'!K81*1000/'Tipo de cambio'!$D$9</f>
        <v>-38212.085823838104</v>
      </c>
      <c r="G27" s="1895">
        <f>-G14*4%</f>
        <v>-45630.086949485725</v>
      </c>
      <c r="H27" s="1895">
        <f>-H14*4%</f>
        <v>-45630.086949485725</v>
      </c>
      <c r="I27" s="1895"/>
      <c r="J27" s="35"/>
      <c r="K27" s="208" t="s">
        <v>49</v>
      </c>
      <c r="L27" s="222"/>
      <c r="M27" s="219" t="s">
        <v>107</v>
      </c>
      <c r="U27" s="1708"/>
      <c r="V27" s="1713"/>
    </row>
    <row r="28" spans="1:22">
      <c r="A28" s="17" t="str">
        <f t="shared" si="0"/>
        <v>WRP</v>
      </c>
      <c r="B28" s="2379" t="s">
        <v>1552</v>
      </c>
      <c r="C28" s="862"/>
      <c r="D28" s="1895">
        <f>-'Costo logístico'!B43/'Tipo de cambio'!$D$9</f>
        <v>-2224.7191011235955</v>
      </c>
      <c r="E28" s="1895">
        <f>-'Costo logístico'!C43/'Tipo de cambio'!$D$9</f>
        <v>-5662.9213483146068</v>
      </c>
      <c r="F28" s="1895">
        <f>-'Costo logístico'!D43/'Tipo de cambio'!$D$9</f>
        <v>-7280.8988764044943</v>
      </c>
      <c r="G28" s="1895">
        <f>F28</f>
        <v>-7280.8988764044943</v>
      </c>
      <c r="H28" s="1895">
        <f>G28</f>
        <v>-7280.8988764044943</v>
      </c>
      <c r="I28" s="1895"/>
      <c r="J28" s="35"/>
      <c r="K28" s="208" t="s">
        <v>129</v>
      </c>
      <c r="L28" s="222"/>
      <c r="M28" s="219" t="s">
        <v>109</v>
      </c>
      <c r="U28" s="1708"/>
      <c r="V28" s="1713"/>
    </row>
    <row r="29" spans="1:22">
      <c r="A29" s="17" t="str">
        <f t="shared" si="0"/>
        <v>WRP</v>
      </c>
      <c r="B29" s="2379" t="s">
        <v>1549</v>
      </c>
      <c r="C29" s="862"/>
      <c r="D29" s="1895">
        <f>-'Costo logístico'!L24/'Tipo de cambio'!$D$9</f>
        <v>-1910.1820109147486</v>
      </c>
      <c r="E29" s="1897">
        <f>-'Costo logístico'!M24/'Tipo de cambio'!$D$9</f>
        <v>-5617.3262998789332</v>
      </c>
      <c r="F29" s="1895">
        <f>-'Costo logístico'!N24/'Tipo de cambio'!$D$9</f>
        <v>-10147.527448510684</v>
      </c>
      <c r="G29" s="1895">
        <f>F29*G14/F14</f>
        <v>-12117.437449828474</v>
      </c>
      <c r="H29" s="1895">
        <f>G29</f>
        <v>-12117.437449828474</v>
      </c>
      <c r="I29" s="1895"/>
      <c r="K29" s="208" t="s">
        <v>51</v>
      </c>
      <c r="L29" s="222"/>
      <c r="M29" s="219" t="s">
        <v>110</v>
      </c>
      <c r="U29" s="1708"/>
      <c r="V29" s="1713"/>
    </row>
    <row r="30" spans="1:22">
      <c r="A30" s="17" t="str">
        <f t="shared" si="0"/>
        <v>WRP</v>
      </c>
      <c r="B30" s="2401" t="s">
        <v>1627</v>
      </c>
      <c r="C30" s="862"/>
      <c r="D30" s="1898">
        <f>(-'Gastos Generales'!G16+'Gastos Generales'!G12)/'Tipo de cambio'!$D$9</f>
        <v>-20089.887640449437</v>
      </c>
      <c r="E30" s="1897">
        <f>D30</f>
        <v>-20089.887640449437</v>
      </c>
      <c r="F30" s="1895">
        <f>E30</f>
        <v>-20089.887640449437</v>
      </c>
      <c r="G30" s="1895">
        <f>F30</f>
        <v>-20089.887640449437</v>
      </c>
      <c r="H30" s="1895">
        <f>G30</f>
        <v>-20089.887640449437</v>
      </c>
      <c r="I30" s="1895"/>
      <c r="K30" s="208" t="s">
        <v>50</v>
      </c>
      <c r="L30" s="222"/>
      <c r="M30" s="219" t="s">
        <v>108</v>
      </c>
      <c r="U30" s="1708"/>
      <c r="V30" s="1713"/>
    </row>
    <row r="31" spans="1:22">
      <c r="A31" s="17" t="str">
        <f t="shared" si="0"/>
        <v>WRP</v>
      </c>
      <c r="B31" s="181" t="s">
        <v>1418</v>
      </c>
      <c r="C31" s="234"/>
      <c r="D31" s="1068">
        <f>SUM(D26:D30)</f>
        <v>-34276.382095690031</v>
      </c>
      <c r="E31" s="1068">
        <f t="shared" ref="E31:H31" si="6">SUM(E26:E30)</f>
        <v>-55315.552792647482</v>
      </c>
      <c r="F31" s="1068">
        <f t="shared" si="6"/>
        <v>-79730.399789202726</v>
      </c>
      <c r="G31" s="1068">
        <f t="shared" si="6"/>
        <v>-89118.310916168135</v>
      </c>
      <c r="H31" s="1068">
        <f t="shared" si="6"/>
        <v>-89118.310916168135</v>
      </c>
      <c r="I31" s="1068">
        <f>SUM(I26:I30)</f>
        <v>0</v>
      </c>
      <c r="K31" s="233" t="s">
        <v>50</v>
      </c>
      <c r="L31" s="234"/>
      <c r="M31" s="235" t="s">
        <v>90</v>
      </c>
      <c r="U31" s="1708"/>
      <c r="V31" s="1713"/>
    </row>
    <row r="32" spans="1:22">
      <c r="A32" s="17" t="str">
        <f t="shared" si="0"/>
        <v>WRP</v>
      </c>
      <c r="B32" s="2379" t="s">
        <v>1601</v>
      </c>
      <c r="C32" s="862"/>
      <c r="D32" s="1895">
        <f>-Oficinas!C2*6/'Tipo de cambio'!$D$9</f>
        <v>-13483.14606741573</v>
      </c>
      <c r="E32" s="1897">
        <f>D32*2</f>
        <v>-26966.292134831459</v>
      </c>
      <c r="F32" s="1895">
        <f>E32</f>
        <v>-26966.292134831459</v>
      </c>
      <c r="G32" s="1895">
        <f t="shared" ref="G32:H32" si="7">F32</f>
        <v>-26966.292134831459</v>
      </c>
      <c r="H32" s="1895">
        <f t="shared" si="7"/>
        <v>-26966.292134831459</v>
      </c>
      <c r="I32" s="1895"/>
      <c r="K32" s="208" t="s">
        <v>23</v>
      </c>
      <c r="L32" s="222"/>
      <c r="M32" s="219" t="s">
        <v>111</v>
      </c>
      <c r="U32" s="1708"/>
      <c r="V32" s="1713"/>
    </row>
    <row r="33" spans="1:26">
      <c r="A33" s="17" t="str">
        <f t="shared" si="0"/>
        <v>WRP</v>
      </c>
      <c r="B33" s="2379" t="s">
        <v>1420</v>
      </c>
      <c r="C33" s="862"/>
      <c r="D33" s="1895">
        <f>-$Y$35*D14</f>
        <v>-6354.1730103623604</v>
      </c>
      <c r="E33" s="1897">
        <f>-$Y$35*E14</f>
        <v>-20942.688379204719</v>
      </c>
      <c r="F33" s="1897">
        <f>-$Y$35*F14</f>
        <v>-40122.690115030004</v>
      </c>
      <c r="G33" s="1897">
        <f>-$Y$35*G14</f>
        <v>-47911.59129696001</v>
      </c>
      <c r="H33" s="1897">
        <f>-$Y$35*H14</f>
        <v>-47911.59129696001</v>
      </c>
      <c r="I33" s="1895"/>
      <c r="J33" s="1020" t="s">
        <v>1336</v>
      </c>
      <c r="K33" s="208" t="s">
        <v>77</v>
      </c>
      <c r="L33" s="222"/>
      <c r="M33" s="219" t="s">
        <v>112</v>
      </c>
      <c r="U33" s="1708"/>
      <c r="V33" s="1713"/>
      <c r="X33" s="22" t="s">
        <v>1800</v>
      </c>
      <c r="Y33" s="2765">
        <v>0.03</v>
      </c>
      <c r="Z33" s="22" t="s">
        <v>1802</v>
      </c>
    </row>
    <row r="34" spans="1:26">
      <c r="A34" s="17" t="str">
        <f t="shared" si="0"/>
        <v>WRP</v>
      </c>
      <c r="B34" s="2379" t="s">
        <v>1421</v>
      </c>
      <c r="C34" s="862"/>
      <c r="D34" s="1895">
        <f>(-Inversión!H19+Inversión!H9)/'Tipo de cambio'!$D$9</f>
        <v>-3348.0019432510776</v>
      </c>
      <c r="E34" s="1897">
        <f>D34</f>
        <v>-3348.0019432510776</v>
      </c>
      <c r="F34" s="1895">
        <f>E34</f>
        <v>-3348.0019432510776</v>
      </c>
      <c r="G34" s="1895">
        <f>F34</f>
        <v>-3348.0019432510776</v>
      </c>
      <c r="H34" s="1895">
        <f>G34</f>
        <v>-3348.0019432510776</v>
      </c>
      <c r="I34" s="1895"/>
      <c r="K34" s="208" t="s">
        <v>52</v>
      </c>
      <c r="L34" s="222"/>
      <c r="M34" s="219" t="s">
        <v>91</v>
      </c>
      <c r="U34" s="1708"/>
      <c r="V34" s="1713"/>
      <c r="X34" s="22" t="s">
        <v>1801</v>
      </c>
      <c r="Y34" s="2765">
        <v>1.2E-2</v>
      </c>
    </row>
    <row r="35" spans="1:26">
      <c r="A35" s="17" t="str">
        <f t="shared" si="0"/>
        <v>WRP</v>
      </c>
      <c r="B35" s="2385" t="s">
        <v>1422</v>
      </c>
      <c r="C35" s="234"/>
      <c r="D35" s="1063">
        <f>SUM(D32:D34)</f>
        <v>-23185.321021029169</v>
      </c>
      <c r="E35" s="1063">
        <f t="shared" ref="E35:H35" si="8">SUM(E32:E34)</f>
        <v>-51256.982457287253</v>
      </c>
      <c r="F35" s="1063">
        <f t="shared" si="8"/>
        <v>-70436.984193112541</v>
      </c>
      <c r="G35" s="1063">
        <f t="shared" si="8"/>
        <v>-78225.885375042548</v>
      </c>
      <c r="H35" s="1063">
        <f t="shared" si="8"/>
        <v>-78225.885375042548</v>
      </c>
      <c r="I35" s="1063">
        <f>SUM(I28:I34)</f>
        <v>0</v>
      </c>
      <c r="K35" s="233" t="s">
        <v>119</v>
      </c>
      <c r="L35" s="234"/>
      <c r="M35" s="235" t="s">
        <v>92</v>
      </c>
      <c r="U35" s="1708"/>
      <c r="V35" s="1713"/>
      <c r="Y35" s="2765">
        <f>SUM(Y33:Y34)</f>
        <v>4.1999999999999996E-2</v>
      </c>
    </row>
    <row r="36" spans="1:26">
      <c r="A36" s="17" t="str">
        <f t="shared" si="0"/>
        <v>WRP</v>
      </c>
      <c r="B36" s="1813" t="s">
        <v>1423</v>
      </c>
      <c r="C36" s="1814"/>
      <c r="D36" s="1072">
        <f>+D35+D31+D25</f>
        <v>-154149.34356615739</v>
      </c>
      <c r="E36" s="1072">
        <f>+E35+E31+E25</f>
        <v>-219601.74873308081</v>
      </c>
      <c r="F36" s="1072">
        <f>+F35+F31+F25</f>
        <v>-290432.55252164108</v>
      </c>
      <c r="G36" s="1072">
        <f>+G35+G31+G25</f>
        <v>-307609.36483053654</v>
      </c>
      <c r="H36" s="1072">
        <f>+H35+H31+H25</f>
        <v>-307609.36483053654</v>
      </c>
      <c r="I36" s="1072" t="e">
        <f>+I35+I31+I25+#REF!</f>
        <v>#REF!</v>
      </c>
      <c r="J36" s="451"/>
      <c r="K36" s="210" t="s">
        <v>135</v>
      </c>
      <c r="L36" s="211"/>
      <c r="M36" s="230" t="s">
        <v>93</v>
      </c>
      <c r="U36" s="1708"/>
      <c r="V36" s="1713"/>
    </row>
    <row r="37" spans="1:26">
      <c r="A37" s="17" t="str">
        <f t="shared" si="0"/>
        <v>WRP</v>
      </c>
      <c r="B37" s="1815" t="s">
        <v>1410</v>
      </c>
      <c r="C37" s="1816"/>
      <c r="D37" s="1073">
        <f t="shared" ref="D37:I37" si="9">IF(D14&lt;&gt;0,D36/D$14,0)</f>
        <v>-1.0189008733662732</v>
      </c>
      <c r="E37" s="1073">
        <f t="shared" si="9"/>
        <v>-0.44040541881660938</v>
      </c>
      <c r="F37" s="1073">
        <f t="shared" si="9"/>
        <v>-0.30402166880977599</v>
      </c>
      <c r="G37" s="1073">
        <f t="shared" si="9"/>
        <v>-0.26965485748126844</v>
      </c>
      <c r="H37" s="1073">
        <f t="shared" si="9"/>
        <v>-0.26965485748126844</v>
      </c>
      <c r="I37" s="1073">
        <f t="shared" si="9"/>
        <v>0</v>
      </c>
      <c r="K37" s="212" t="s">
        <v>68</v>
      </c>
      <c r="L37" s="213"/>
      <c r="M37" s="231" t="s">
        <v>84</v>
      </c>
      <c r="U37" s="1708"/>
      <c r="V37" s="1713"/>
    </row>
    <row r="38" spans="1:26">
      <c r="A38" s="17" t="str">
        <f t="shared" si="0"/>
        <v>WRP</v>
      </c>
      <c r="B38" s="190" t="s">
        <v>1424</v>
      </c>
      <c r="C38" s="198"/>
      <c r="D38" s="226">
        <f>+D18+D36</f>
        <v>-96668.696316888323</v>
      </c>
      <c r="E38" s="226">
        <f>+E18+E36</f>
        <v>-31020.417618387495</v>
      </c>
      <c r="F38" s="226">
        <f>+F18+F36</f>
        <v>70857.717294635426</v>
      </c>
      <c r="G38" s="226">
        <f>+G18+G36</f>
        <v>123817.13467333163</v>
      </c>
      <c r="H38" s="226">
        <f>+H18+H36</f>
        <v>123817.13467333163</v>
      </c>
      <c r="I38" s="226" t="e">
        <f>+#REF!+I36</f>
        <v>#REF!</v>
      </c>
      <c r="K38" s="190" t="s">
        <v>953</v>
      </c>
      <c r="L38" s="198"/>
      <c r="M38" s="218" t="s">
        <v>954</v>
      </c>
      <c r="U38" s="1708"/>
      <c r="V38" s="1713"/>
    </row>
    <row r="39" spans="1:26">
      <c r="A39" s="17" t="str">
        <f t="shared" si="0"/>
        <v>WRP</v>
      </c>
      <c r="B39" s="214" t="s">
        <v>1410</v>
      </c>
      <c r="C39" s="224"/>
      <c r="D39" s="221">
        <f t="shared" ref="D39:I39" si="10">IF(D$14&lt;&gt;0,D38/D$14,0)</f>
        <v>-0.6389635974167116</v>
      </c>
      <c r="E39" s="221">
        <f t="shared" si="10"/>
        <v>-6.2210615771085144E-2</v>
      </c>
      <c r="F39" s="221">
        <f t="shared" si="10"/>
        <v>7.4173095518833762E-2</v>
      </c>
      <c r="G39" s="221">
        <f t="shared" si="10"/>
        <v>0.10853990684734131</v>
      </c>
      <c r="H39" s="221">
        <f t="shared" si="10"/>
        <v>0.10853990684734131</v>
      </c>
      <c r="I39" s="221">
        <f t="shared" si="10"/>
        <v>0</v>
      </c>
      <c r="K39" s="214" t="s">
        <v>68</v>
      </c>
      <c r="L39" s="224"/>
      <c r="M39" s="220" t="s">
        <v>84</v>
      </c>
      <c r="U39" s="1708"/>
      <c r="V39" s="1713"/>
    </row>
    <row r="40" spans="1:26">
      <c r="B40" s="75"/>
      <c r="C40" s="75"/>
      <c r="D40" s="76"/>
      <c r="E40" s="76"/>
      <c r="F40" s="76"/>
      <c r="G40" s="76"/>
      <c r="H40" s="76"/>
      <c r="I40" s="76"/>
      <c r="K40" s="75"/>
      <c r="L40" s="75"/>
      <c r="M40" s="75"/>
      <c r="U40" s="1708"/>
      <c r="V40" s="1713"/>
    </row>
    <row r="41" spans="1:26">
      <c r="B41" s="21"/>
      <c r="C41" s="21"/>
      <c r="D41" s="77"/>
      <c r="E41" s="77"/>
      <c r="F41" s="77"/>
      <c r="G41" s="77"/>
      <c r="H41" s="77"/>
      <c r="I41" s="77"/>
      <c r="K41" s="21"/>
      <c r="L41" s="21"/>
      <c r="M41" s="21"/>
      <c r="U41" s="1708"/>
      <c r="V41" s="1713"/>
    </row>
    <row r="42" spans="1:26">
      <c r="B42" s="45" t="s">
        <v>1425</v>
      </c>
      <c r="C42" s="140"/>
      <c r="D42" s="44"/>
      <c r="E42" s="44"/>
      <c r="F42" s="44"/>
      <c r="G42" s="44"/>
      <c r="H42" s="44"/>
      <c r="I42" s="44"/>
      <c r="K42" s="45" t="s">
        <v>121</v>
      </c>
      <c r="L42" s="140"/>
      <c r="M42" s="49"/>
      <c r="U42" s="1708"/>
      <c r="V42" s="1713"/>
    </row>
    <row r="43" spans="1:26">
      <c r="B43" s="239" t="str">
        <f>IF('Mode Opératoire'!$I$1="Français",+'Cpte exploitation ARG'!K71,'Cpte exploitation ARG'!M71)</f>
        <v>Effectifs Opérationnels</v>
      </c>
      <c r="C43" s="240"/>
      <c r="D43" s="2707">
        <f>'Personal '!C19</f>
        <v>2.4000000000000004</v>
      </c>
      <c r="E43" s="241">
        <f>'Personal '!C29</f>
        <v>3</v>
      </c>
      <c r="F43" s="241">
        <f>E43</f>
        <v>3</v>
      </c>
      <c r="G43" s="241">
        <f>F43</f>
        <v>3</v>
      </c>
      <c r="H43" s="241">
        <f>G43</f>
        <v>3</v>
      </c>
      <c r="I43" s="242" t="e">
        <f>SUM(#REF!)</f>
        <v>#REF!</v>
      </c>
      <c r="K43" s="239" t="s">
        <v>120</v>
      </c>
      <c r="L43" s="240"/>
      <c r="M43" s="243" t="s">
        <v>96</v>
      </c>
      <c r="U43" s="1708"/>
      <c r="V43" s="1713"/>
    </row>
  </sheetData>
  <mergeCells count="2">
    <mergeCell ref="C20:C24"/>
    <mergeCell ref="L20:L24"/>
  </mergeCells>
  <conditionalFormatting sqref="H6">
    <cfRule type="cellIs" dxfId="116" priority="4" operator="equal">
      <formula>"XXXXX"</formula>
    </cfRule>
  </conditionalFormatting>
  <conditionalFormatting sqref="D16:I16 D13:I13 D15:H15 D26:I30 D32:I34">
    <cfRule type="cellIs" dxfId="115" priority="3" operator="equal">
      <formula>0</formula>
    </cfRule>
  </conditionalFormatting>
  <conditionalFormatting sqref="D20:I24">
    <cfRule type="cellIs" dxfId="114" priority="2" operator="equal">
      <formula>#N/A</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worksheet>
</file>

<file path=xl/worksheets/sheet20.xml><?xml version="1.0" encoding="utf-8"?>
<worksheet xmlns="http://schemas.openxmlformats.org/spreadsheetml/2006/main" xmlns:r="http://schemas.openxmlformats.org/officeDocument/2006/relationships">
  <dimension ref="A1:E15"/>
  <sheetViews>
    <sheetView showGridLines="0" zoomScale="85" workbookViewId="0">
      <selection activeCell="C4" sqref="C4"/>
    </sheetView>
  </sheetViews>
  <sheetFormatPr baseColWidth="10" defaultColWidth="11.42578125" defaultRowHeight="12.75"/>
  <cols>
    <col min="1" max="1" width="17" style="2574" customWidth="1"/>
    <col min="2" max="2" width="27.7109375" style="2574" customWidth="1"/>
    <col min="3" max="3" width="37.5703125" style="2574" customWidth="1"/>
    <col min="4" max="4" width="36.28515625" style="2574" customWidth="1"/>
    <col min="5" max="5" width="34.42578125" style="2574" customWidth="1"/>
    <col min="6" max="247" width="11.42578125" style="2574"/>
    <col min="248" max="248" width="7" style="2574" customWidth="1"/>
    <col min="249" max="249" width="19.42578125" style="2574" customWidth="1"/>
    <col min="250" max="250" width="24.5703125" style="2574" customWidth="1"/>
    <col min="251" max="251" width="5.7109375" style="2574" customWidth="1"/>
    <col min="252" max="252" width="28.5703125" style="2574" customWidth="1"/>
    <col min="253" max="253" width="4.5703125" style="2574" customWidth="1"/>
    <col min="254" max="254" width="29.85546875" style="2574" customWidth="1"/>
    <col min="255" max="256" width="6.5703125" style="2574" customWidth="1"/>
    <col min="257" max="257" width="28.85546875" style="2574" customWidth="1"/>
    <col min="258" max="258" width="7.28515625" style="2574" customWidth="1"/>
    <col min="259" max="259" width="26" style="2574" customWidth="1"/>
    <col min="260" max="260" width="6.28515625" style="2574" customWidth="1"/>
    <col min="261" max="261" width="14.28515625" style="2574" customWidth="1"/>
    <col min="262" max="503" width="11.42578125" style="2574"/>
    <col min="504" max="504" width="7" style="2574" customWidth="1"/>
    <col min="505" max="505" width="19.42578125" style="2574" customWidth="1"/>
    <col min="506" max="506" width="24.5703125" style="2574" customWidth="1"/>
    <col min="507" max="507" width="5.7109375" style="2574" customWidth="1"/>
    <col min="508" max="508" width="28.5703125" style="2574" customWidth="1"/>
    <col min="509" max="509" width="4.5703125" style="2574" customWidth="1"/>
    <col min="510" max="510" width="29.85546875" style="2574" customWidth="1"/>
    <col min="511" max="512" width="6.5703125" style="2574" customWidth="1"/>
    <col min="513" max="513" width="28.85546875" style="2574" customWidth="1"/>
    <col min="514" max="514" width="7.28515625" style="2574" customWidth="1"/>
    <col min="515" max="515" width="26" style="2574" customWidth="1"/>
    <col min="516" max="516" width="6.28515625" style="2574" customWidth="1"/>
    <col min="517" max="517" width="14.28515625" style="2574" customWidth="1"/>
    <col min="518" max="759" width="11.42578125" style="2574"/>
    <col min="760" max="760" width="7" style="2574" customWidth="1"/>
    <col min="761" max="761" width="19.42578125" style="2574" customWidth="1"/>
    <col min="762" max="762" width="24.5703125" style="2574" customWidth="1"/>
    <col min="763" max="763" width="5.7109375" style="2574" customWidth="1"/>
    <col min="764" max="764" width="28.5703125" style="2574" customWidth="1"/>
    <col min="765" max="765" width="4.5703125" style="2574" customWidth="1"/>
    <col min="766" max="766" width="29.85546875" style="2574" customWidth="1"/>
    <col min="767" max="768" width="6.5703125" style="2574" customWidth="1"/>
    <col min="769" max="769" width="28.85546875" style="2574" customWidth="1"/>
    <col min="770" max="770" width="7.28515625" style="2574" customWidth="1"/>
    <col min="771" max="771" width="26" style="2574" customWidth="1"/>
    <col min="772" max="772" width="6.28515625" style="2574" customWidth="1"/>
    <col min="773" max="773" width="14.28515625" style="2574" customWidth="1"/>
    <col min="774" max="1015" width="11.42578125" style="2574"/>
    <col min="1016" max="1016" width="7" style="2574" customWidth="1"/>
    <col min="1017" max="1017" width="19.42578125" style="2574" customWidth="1"/>
    <col min="1018" max="1018" width="24.5703125" style="2574" customWidth="1"/>
    <col min="1019" max="1019" width="5.7109375" style="2574" customWidth="1"/>
    <col min="1020" max="1020" width="28.5703125" style="2574" customWidth="1"/>
    <col min="1021" max="1021" width="4.5703125" style="2574" customWidth="1"/>
    <col min="1022" max="1022" width="29.85546875" style="2574" customWidth="1"/>
    <col min="1023" max="1024" width="6.5703125" style="2574" customWidth="1"/>
    <col min="1025" max="1025" width="28.85546875" style="2574" customWidth="1"/>
    <col min="1026" max="1026" width="7.28515625" style="2574" customWidth="1"/>
    <col min="1027" max="1027" width="26" style="2574" customWidth="1"/>
    <col min="1028" max="1028" width="6.28515625" style="2574" customWidth="1"/>
    <col min="1029" max="1029" width="14.28515625" style="2574" customWidth="1"/>
    <col min="1030" max="1271" width="11.42578125" style="2574"/>
    <col min="1272" max="1272" width="7" style="2574" customWidth="1"/>
    <col min="1273" max="1273" width="19.42578125" style="2574" customWidth="1"/>
    <col min="1274" max="1274" width="24.5703125" style="2574" customWidth="1"/>
    <col min="1275" max="1275" width="5.7109375" style="2574" customWidth="1"/>
    <col min="1276" max="1276" width="28.5703125" style="2574" customWidth="1"/>
    <col min="1277" max="1277" width="4.5703125" style="2574" customWidth="1"/>
    <col min="1278" max="1278" width="29.85546875" style="2574" customWidth="1"/>
    <col min="1279" max="1280" width="6.5703125" style="2574" customWidth="1"/>
    <col min="1281" max="1281" width="28.85546875" style="2574" customWidth="1"/>
    <col min="1282" max="1282" width="7.28515625" style="2574" customWidth="1"/>
    <col min="1283" max="1283" width="26" style="2574" customWidth="1"/>
    <col min="1284" max="1284" width="6.28515625" style="2574" customWidth="1"/>
    <col min="1285" max="1285" width="14.28515625" style="2574" customWidth="1"/>
    <col min="1286" max="1527" width="11.42578125" style="2574"/>
    <col min="1528" max="1528" width="7" style="2574" customWidth="1"/>
    <col min="1529" max="1529" width="19.42578125" style="2574" customWidth="1"/>
    <col min="1530" max="1530" width="24.5703125" style="2574" customWidth="1"/>
    <col min="1531" max="1531" width="5.7109375" style="2574" customWidth="1"/>
    <col min="1532" max="1532" width="28.5703125" style="2574" customWidth="1"/>
    <col min="1533" max="1533" width="4.5703125" style="2574" customWidth="1"/>
    <col min="1534" max="1534" width="29.85546875" style="2574" customWidth="1"/>
    <col min="1535" max="1536" width="6.5703125" style="2574" customWidth="1"/>
    <col min="1537" max="1537" width="28.85546875" style="2574" customWidth="1"/>
    <col min="1538" max="1538" width="7.28515625" style="2574" customWidth="1"/>
    <col min="1539" max="1539" width="26" style="2574" customWidth="1"/>
    <col min="1540" max="1540" width="6.28515625" style="2574" customWidth="1"/>
    <col min="1541" max="1541" width="14.28515625" style="2574" customWidth="1"/>
    <col min="1542" max="1783" width="11.42578125" style="2574"/>
    <col min="1784" max="1784" width="7" style="2574" customWidth="1"/>
    <col min="1785" max="1785" width="19.42578125" style="2574" customWidth="1"/>
    <col min="1786" max="1786" width="24.5703125" style="2574" customWidth="1"/>
    <col min="1787" max="1787" width="5.7109375" style="2574" customWidth="1"/>
    <col min="1788" max="1788" width="28.5703125" style="2574" customWidth="1"/>
    <col min="1789" max="1789" width="4.5703125" style="2574" customWidth="1"/>
    <col min="1790" max="1790" width="29.85546875" style="2574" customWidth="1"/>
    <col min="1791" max="1792" width="6.5703125" style="2574" customWidth="1"/>
    <col min="1793" max="1793" width="28.85546875" style="2574" customWidth="1"/>
    <col min="1794" max="1794" width="7.28515625" style="2574" customWidth="1"/>
    <col min="1795" max="1795" width="26" style="2574" customWidth="1"/>
    <col min="1796" max="1796" width="6.28515625" style="2574" customWidth="1"/>
    <col min="1797" max="1797" width="14.28515625" style="2574" customWidth="1"/>
    <col min="1798" max="2039" width="11.42578125" style="2574"/>
    <col min="2040" max="2040" width="7" style="2574" customWidth="1"/>
    <col min="2041" max="2041" width="19.42578125" style="2574" customWidth="1"/>
    <col min="2042" max="2042" width="24.5703125" style="2574" customWidth="1"/>
    <col min="2043" max="2043" width="5.7109375" style="2574" customWidth="1"/>
    <col min="2044" max="2044" width="28.5703125" style="2574" customWidth="1"/>
    <col min="2045" max="2045" width="4.5703125" style="2574" customWidth="1"/>
    <col min="2046" max="2046" width="29.85546875" style="2574" customWidth="1"/>
    <col min="2047" max="2048" width="6.5703125" style="2574" customWidth="1"/>
    <col min="2049" max="2049" width="28.85546875" style="2574" customWidth="1"/>
    <col min="2050" max="2050" width="7.28515625" style="2574" customWidth="1"/>
    <col min="2051" max="2051" width="26" style="2574" customWidth="1"/>
    <col min="2052" max="2052" width="6.28515625" style="2574" customWidth="1"/>
    <col min="2053" max="2053" width="14.28515625" style="2574" customWidth="1"/>
    <col min="2054" max="2295" width="11.42578125" style="2574"/>
    <col min="2296" max="2296" width="7" style="2574" customWidth="1"/>
    <col min="2297" max="2297" width="19.42578125" style="2574" customWidth="1"/>
    <col min="2298" max="2298" width="24.5703125" style="2574" customWidth="1"/>
    <col min="2299" max="2299" width="5.7109375" style="2574" customWidth="1"/>
    <col min="2300" max="2300" width="28.5703125" style="2574" customWidth="1"/>
    <col min="2301" max="2301" width="4.5703125" style="2574" customWidth="1"/>
    <col min="2302" max="2302" width="29.85546875" style="2574" customWidth="1"/>
    <col min="2303" max="2304" width="6.5703125" style="2574" customWidth="1"/>
    <col min="2305" max="2305" width="28.85546875" style="2574" customWidth="1"/>
    <col min="2306" max="2306" width="7.28515625" style="2574" customWidth="1"/>
    <col min="2307" max="2307" width="26" style="2574" customWidth="1"/>
    <col min="2308" max="2308" width="6.28515625" style="2574" customWidth="1"/>
    <col min="2309" max="2309" width="14.28515625" style="2574" customWidth="1"/>
    <col min="2310" max="2551" width="11.42578125" style="2574"/>
    <col min="2552" max="2552" width="7" style="2574" customWidth="1"/>
    <col min="2553" max="2553" width="19.42578125" style="2574" customWidth="1"/>
    <col min="2554" max="2554" width="24.5703125" style="2574" customWidth="1"/>
    <col min="2555" max="2555" width="5.7109375" style="2574" customWidth="1"/>
    <col min="2556" max="2556" width="28.5703125" style="2574" customWidth="1"/>
    <col min="2557" max="2557" width="4.5703125" style="2574" customWidth="1"/>
    <col min="2558" max="2558" width="29.85546875" style="2574" customWidth="1"/>
    <col min="2559" max="2560" width="6.5703125" style="2574" customWidth="1"/>
    <col min="2561" max="2561" width="28.85546875" style="2574" customWidth="1"/>
    <col min="2562" max="2562" width="7.28515625" style="2574" customWidth="1"/>
    <col min="2563" max="2563" width="26" style="2574" customWidth="1"/>
    <col min="2564" max="2564" width="6.28515625" style="2574" customWidth="1"/>
    <col min="2565" max="2565" width="14.28515625" style="2574" customWidth="1"/>
    <col min="2566" max="2807" width="11.42578125" style="2574"/>
    <col min="2808" max="2808" width="7" style="2574" customWidth="1"/>
    <col min="2809" max="2809" width="19.42578125" style="2574" customWidth="1"/>
    <col min="2810" max="2810" width="24.5703125" style="2574" customWidth="1"/>
    <col min="2811" max="2811" width="5.7109375" style="2574" customWidth="1"/>
    <col min="2812" max="2812" width="28.5703125" style="2574" customWidth="1"/>
    <col min="2813" max="2813" width="4.5703125" style="2574" customWidth="1"/>
    <col min="2814" max="2814" width="29.85546875" style="2574" customWidth="1"/>
    <col min="2815" max="2816" width="6.5703125" style="2574" customWidth="1"/>
    <col min="2817" max="2817" width="28.85546875" style="2574" customWidth="1"/>
    <col min="2818" max="2818" width="7.28515625" style="2574" customWidth="1"/>
    <col min="2819" max="2819" width="26" style="2574" customWidth="1"/>
    <col min="2820" max="2820" width="6.28515625" style="2574" customWidth="1"/>
    <col min="2821" max="2821" width="14.28515625" style="2574" customWidth="1"/>
    <col min="2822" max="3063" width="11.42578125" style="2574"/>
    <col min="3064" max="3064" width="7" style="2574" customWidth="1"/>
    <col min="3065" max="3065" width="19.42578125" style="2574" customWidth="1"/>
    <col min="3066" max="3066" width="24.5703125" style="2574" customWidth="1"/>
    <col min="3067" max="3067" width="5.7109375" style="2574" customWidth="1"/>
    <col min="3068" max="3068" width="28.5703125" style="2574" customWidth="1"/>
    <col min="3069" max="3069" width="4.5703125" style="2574" customWidth="1"/>
    <col min="3070" max="3070" width="29.85546875" style="2574" customWidth="1"/>
    <col min="3071" max="3072" width="6.5703125" style="2574" customWidth="1"/>
    <col min="3073" max="3073" width="28.85546875" style="2574" customWidth="1"/>
    <col min="3074" max="3074" width="7.28515625" style="2574" customWidth="1"/>
    <col min="3075" max="3075" width="26" style="2574" customWidth="1"/>
    <col min="3076" max="3076" width="6.28515625" style="2574" customWidth="1"/>
    <col min="3077" max="3077" width="14.28515625" style="2574" customWidth="1"/>
    <col min="3078" max="3319" width="11.42578125" style="2574"/>
    <col min="3320" max="3320" width="7" style="2574" customWidth="1"/>
    <col min="3321" max="3321" width="19.42578125" style="2574" customWidth="1"/>
    <col min="3322" max="3322" width="24.5703125" style="2574" customWidth="1"/>
    <col min="3323" max="3323" width="5.7109375" style="2574" customWidth="1"/>
    <col min="3324" max="3324" width="28.5703125" style="2574" customWidth="1"/>
    <col min="3325" max="3325" width="4.5703125" style="2574" customWidth="1"/>
    <col min="3326" max="3326" width="29.85546875" style="2574" customWidth="1"/>
    <col min="3327" max="3328" width="6.5703125" style="2574" customWidth="1"/>
    <col min="3329" max="3329" width="28.85546875" style="2574" customWidth="1"/>
    <col min="3330" max="3330" width="7.28515625" style="2574" customWidth="1"/>
    <col min="3331" max="3331" width="26" style="2574" customWidth="1"/>
    <col min="3332" max="3332" width="6.28515625" style="2574" customWidth="1"/>
    <col min="3333" max="3333" width="14.28515625" style="2574" customWidth="1"/>
    <col min="3334" max="3575" width="11.42578125" style="2574"/>
    <col min="3576" max="3576" width="7" style="2574" customWidth="1"/>
    <col min="3577" max="3577" width="19.42578125" style="2574" customWidth="1"/>
    <col min="3578" max="3578" width="24.5703125" style="2574" customWidth="1"/>
    <col min="3579" max="3579" width="5.7109375" style="2574" customWidth="1"/>
    <col min="3580" max="3580" width="28.5703125" style="2574" customWidth="1"/>
    <col min="3581" max="3581" width="4.5703125" style="2574" customWidth="1"/>
    <col min="3582" max="3582" width="29.85546875" style="2574" customWidth="1"/>
    <col min="3583" max="3584" width="6.5703125" style="2574" customWidth="1"/>
    <col min="3585" max="3585" width="28.85546875" style="2574" customWidth="1"/>
    <col min="3586" max="3586" width="7.28515625" style="2574" customWidth="1"/>
    <col min="3587" max="3587" width="26" style="2574" customWidth="1"/>
    <col min="3588" max="3588" width="6.28515625" style="2574" customWidth="1"/>
    <col min="3589" max="3589" width="14.28515625" style="2574" customWidth="1"/>
    <col min="3590" max="3831" width="11.42578125" style="2574"/>
    <col min="3832" max="3832" width="7" style="2574" customWidth="1"/>
    <col min="3833" max="3833" width="19.42578125" style="2574" customWidth="1"/>
    <col min="3834" max="3834" width="24.5703125" style="2574" customWidth="1"/>
    <col min="3835" max="3835" width="5.7109375" style="2574" customWidth="1"/>
    <col min="3836" max="3836" width="28.5703125" style="2574" customWidth="1"/>
    <col min="3837" max="3837" width="4.5703125" style="2574" customWidth="1"/>
    <col min="3838" max="3838" width="29.85546875" style="2574" customWidth="1"/>
    <col min="3839" max="3840" width="6.5703125" style="2574" customWidth="1"/>
    <col min="3841" max="3841" width="28.85546875" style="2574" customWidth="1"/>
    <col min="3842" max="3842" width="7.28515625" style="2574" customWidth="1"/>
    <col min="3843" max="3843" width="26" style="2574" customWidth="1"/>
    <col min="3844" max="3844" width="6.28515625" style="2574" customWidth="1"/>
    <col min="3845" max="3845" width="14.28515625" style="2574" customWidth="1"/>
    <col min="3846" max="4087" width="11.42578125" style="2574"/>
    <col min="4088" max="4088" width="7" style="2574" customWidth="1"/>
    <col min="4089" max="4089" width="19.42578125" style="2574" customWidth="1"/>
    <col min="4090" max="4090" width="24.5703125" style="2574" customWidth="1"/>
    <col min="4091" max="4091" width="5.7109375" style="2574" customWidth="1"/>
    <col min="4092" max="4092" width="28.5703125" style="2574" customWidth="1"/>
    <col min="4093" max="4093" width="4.5703125" style="2574" customWidth="1"/>
    <col min="4094" max="4094" width="29.85546875" style="2574" customWidth="1"/>
    <col min="4095" max="4096" width="6.5703125" style="2574" customWidth="1"/>
    <col min="4097" max="4097" width="28.85546875" style="2574" customWidth="1"/>
    <col min="4098" max="4098" width="7.28515625" style="2574" customWidth="1"/>
    <col min="4099" max="4099" width="26" style="2574" customWidth="1"/>
    <col min="4100" max="4100" width="6.28515625" style="2574" customWidth="1"/>
    <col min="4101" max="4101" width="14.28515625" style="2574" customWidth="1"/>
    <col min="4102" max="4343" width="11.42578125" style="2574"/>
    <col min="4344" max="4344" width="7" style="2574" customWidth="1"/>
    <col min="4345" max="4345" width="19.42578125" style="2574" customWidth="1"/>
    <col min="4346" max="4346" width="24.5703125" style="2574" customWidth="1"/>
    <col min="4347" max="4347" width="5.7109375" style="2574" customWidth="1"/>
    <col min="4348" max="4348" width="28.5703125" style="2574" customWidth="1"/>
    <col min="4349" max="4349" width="4.5703125" style="2574" customWidth="1"/>
    <col min="4350" max="4350" width="29.85546875" style="2574" customWidth="1"/>
    <col min="4351" max="4352" width="6.5703125" style="2574" customWidth="1"/>
    <col min="4353" max="4353" width="28.85546875" style="2574" customWidth="1"/>
    <col min="4354" max="4354" width="7.28515625" style="2574" customWidth="1"/>
    <col min="4355" max="4355" width="26" style="2574" customWidth="1"/>
    <col min="4356" max="4356" width="6.28515625" style="2574" customWidth="1"/>
    <col min="4357" max="4357" width="14.28515625" style="2574" customWidth="1"/>
    <col min="4358" max="4599" width="11.42578125" style="2574"/>
    <col min="4600" max="4600" width="7" style="2574" customWidth="1"/>
    <col min="4601" max="4601" width="19.42578125" style="2574" customWidth="1"/>
    <col min="4602" max="4602" width="24.5703125" style="2574" customWidth="1"/>
    <col min="4603" max="4603" width="5.7109375" style="2574" customWidth="1"/>
    <col min="4604" max="4604" width="28.5703125" style="2574" customWidth="1"/>
    <col min="4605" max="4605" width="4.5703125" style="2574" customWidth="1"/>
    <col min="4606" max="4606" width="29.85546875" style="2574" customWidth="1"/>
    <col min="4607" max="4608" width="6.5703125" style="2574" customWidth="1"/>
    <col min="4609" max="4609" width="28.85546875" style="2574" customWidth="1"/>
    <col min="4610" max="4610" width="7.28515625" style="2574" customWidth="1"/>
    <col min="4611" max="4611" width="26" style="2574" customWidth="1"/>
    <col min="4612" max="4612" width="6.28515625" style="2574" customWidth="1"/>
    <col min="4613" max="4613" width="14.28515625" style="2574" customWidth="1"/>
    <col min="4614" max="4855" width="11.42578125" style="2574"/>
    <col min="4856" max="4856" width="7" style="2574" customWidth="1"/>
    <col min="4857" max="4857" width="19.42578125" style="2574" customWidth="1"/>
    <col min="4858" max="4858" width="24.5703125" style="2574" customWidth="1"/>
    <col min="4859" max="4859" width="5.7109375" style="2574" customWidth="1"/>
    <col min="4860" max="4860" width="28.5703125" style="2574" customWidth="1"/>
    <col min="4861" max="4861" width="4.5703125" style="2574" customWidth="1"/>
    <col min="4862" max="4862" width="29.85546875" style="2574" customWidth="1"/>
    <col min="4863" max="4864" width="6.5703125" style="2574" customWidth="1"/>
    <col min="4865" max="4865" width="28.85546875" style="2574" customWidth="1"/>
    <col min="4866" max="4866" width="7.28515625" style="2574" customWidth="1"/>
    <col min="4867" max="4867" width="26" style="2574" customWidth="1"/>
    <col min="4868" max="4868" width="6.28515625" style="2574" customWidth="1"/>
    <col min="4869" max="4869" width="14.28515625" style="2574" customWidth="1"/>
    <col min="4870" max="5111" width="11.42578125" style="2574"/>
    <col min="5112" max="5112" width="7" style="2574" customWidth="1"/>
    <col min="5113" max="5113" width="19.42578125" style="2574" customWidth="1"/>
    <col min="5114" max="5114" width="24.5703125" style="2574" customWidth="1"/>
    <col min="5115" max="5115" width="5.7109375" style="2574" customWidth="1"/>
    <col min="5116" max="5116" width="28.5703125" style="2574" customWidth="1"/>
    <col min="5117" max="5117" width="4.5703125" style="2574" customWidth="1"/>
    <col min="5118" max="5118" width="29.85546875" style="2574" customWidth="1"/>
    <col min="5119" max="5120" width="6.5703125" style="2574" customWidth="1"/>
    <col min="5121" max="5121" width="28.85546875" style="2574" customWidth="1"/>
    <col min="5122" max="5122" width="7.28515625" style="2574" customWidth="1"/>
    <col min="5123" max="5123" width="26" style="2574" customWidth="1"/>
    <col min="5124" max="5124" width="6.28515625" style="2574" customWidth="1"/>
    <col min="5125" max="5125" width="14.28515625" style="2574" customWidth="1"/>
    <col min="5126" max="5367" width="11.42578125" style="2574"/>
    <col min="5368" max="5368" width="7" style="2574" customWidth="1"/>
    <col min="5369" max="5369" width="19.42578125" style="2574" customWidth="1"/>
    <col min="5370" max="5370" width="24.5703125" style="2574" customWidth="1"/>
    <col min="5371" max="5371" width="5.7109375" style="2574" customWidth="1"/>
    <col min="5372" max="5372" width="28.5703125" style="2574" customWidth="1"/>
    <col min="5373" max="5373" width="4.5703125" style="2574" customWidth="1"/>
    <col min="5374" max="5374" width="29.85546875" style="2574" customWidth="1"/>
    <col min="5375" max="5376" width="6.5703125" style="2574" customWidth="1"/>
    <col min="5377" max="5377" width="28.85546875" style="2574" customWidth="1"/>
    <col min="5378" max="5378" width="7.28515625" style="2574" customWidth="1"/>
    <col min="5379" max="5379" width="26" style="2574" customWidth="1"/>
    <col min="5380" max="5380" width="6.28515625" style="2574" customWidth="1"/>
    <col min="5381" max="5381" width="14.28515625" style="2574" customWidth="1"/>
    <col min="5382" max="5623" width="11.42578125" style="2574"/>
    <col min="5624" max="5624" width="7" style="2574" customWidth="1"/>
    <col min="5625" max="5625" width="19.42578125" style="2574" customWidth="1"/>
    <col min="5626" max="5626" width="24.5703125" style="2574" customWidth="1"/>
    <col min="5627" max="5627" width="5.7109375" style="2574" customWidth="1"/>
    <col min="5628" max="5628" width="28.5703125" style="2574" customWidth="1"/>
    <col min="5629" max="5629" width="4.5703125" style="2574" customWidth="1"/>
    <col min="5630" max="5630" width="29.85546875" style="2574" customWidth="1"/>
    <col min="5631" max="5632" width="6.5703125" style="2574" customWidth="1"/>
    <col min="5633" max="5633" width="28.85546875" style="2574" customWidth="1"/>
    <col min="5634" max="5634" width="7.28515625" style="2574" customWidth="1"/>
    <col min="5635" max="5635" width="26" style="2574" customWidth="1"/>
    <col min="5636" max="5636" width="6.28515625" style="2574" customWidth="1"/>
    <col min="5637" max="5637" width="14.28515625" style="2574" customWidth="1"/>
    <col min="5638" max="5879" width="11.42578125" style="2574"/>
    <col min="5880" max="5880" width="7" style="2574" customWidth="1"/>
    <col min="5881" max="5881" width="19.42578125" style="2574" customWidth="1"/>
    <col min="5882" max="5882" width="24.5703125" style="2574" customWidth="1"/>
    <col min="5883" max="5883" width="5.7109375" style="2574" customWidth="1"/>
    <col min="5884" max="5884" width="28.5703125" style="2574" customWidth="1"/>
    <col min="5885" max="5885" width="4.5703125" style="2574" customWidth="1"/>
    <col min="5886" max="5886" width="29.85546875" style="2574" customWidth="1"/>
    <col min="5887" max="5888" width="6.5703125" style="2574" customWidth="1"/>
    <col min="5889" max="5889" width="28.85546875" style="2574" customWidth="1"/>
    <col min="5890" max="5890" width="7.28515625" style="2574" customWidth="1"/>
    <col min="5891" max="5891" width="26" style="2574" customWidth="1"/>
    <col min="5892" max="5892" width="6.28515625" style="2574" customWidth="1"/>
    <col min="5893" max="5893" width="14.28515625" style="2574" customWidth="1"/>
    <col min="5894" max="6135" width="11.42578125" style="2574"/>
    <col min="6136" max="6136" width="7" style="2574" customWidth="1"/>
    <col min="6137" max="6137" width="19.42578125" style="2574" customWidth="1"/>
    <col min="6138" max="6138" width="24.5703125" style="2574" customWidth="1"/>
    <col min="6139" max="6139" width="5.7109375" style="2574" customWidth="1"/>
    <col min="6140" max="6140" width="28.5703125" style="2574" customWidth="1"/>
    <col min="6141" max="6141" width="4.5703125" style="2574" customWidth="1"/>
    <col min="6142" max="6142" width="29.85546875" style="2574" customWidth="1"/>
    <col min="6143" max="6144" width="6.5703125" style="2574" customWidth="1"/>
    <col min="6145" max="6145" width="28.85546875" style="2574" customWidth="1"/>
    <col min="6146" max="6146" width="7.28515625" style="2574" customWidth="1"/>
    <col min="6147" max="6147" width="26" style="2574" customWidth="1"/>
    <col min="6148" max="6148" width="6.28515625" style="2574" customWidth="1"/>
    <col min="6149" max="6149" width="14.28515625" style="2574" customWidth="1"/>
    <col min="6150" max="6391" width="11.42578125" style="2574"/>
    <col min="6392" max="6392" width="7" style="2574" customWidth="1"/>
    <col min="6393" max="6393" width="19.42578125" style="2574" customWidth="1"/>
    <col min="6394" max="6394" width="24.5703125" style="2574" customWidth="1"/>
    <col min="6395" max="6395" width="5.7109375" style="2574" customWidth="1"/>
    <col min="6396" max="6396" width="28.5703125" style="2574" customWidth="1"/>
    <col min="6397" max="6397" width="4.5703125" style="2574" customWidth="1"/>
    <col min="6398" max="6398" width="29.85546875" style="2574" customWidth="1"/>
    <col min="6399" max="6400" width="6.5703125" style="2574" customWidth="1"/>
    <col min="6401" max="6401" width="28.85546875" style="2574" customWidth="1"/>
    <col min="6402" max="6402" width="7.28515625" style="2574" customWidth="1"/>
    <col min="6403" max="6403" width="26" style="2574" customWidth="1"/>
    <col min="6404" max="6404" width="6.28515625" style="2574" customWidth="1"/>
    <col min="6405" max="6405" width="14.28515625" style="2574" customWidth="1"/>
    <col min="6406" max="6647" width="11.42578125" style="2574"/>
    <col min="6648" max="6648" width="7" style="2574" customWidth="1"/>
    <col min="6649" max="6649" width="19.42578125" style="2574" customWidth="1"/>
    <col min="6650" max="6650" width="24.5703125" style="2574" customWidth="1"/>
    <col min="6651" max="6651" width="5.7109375" style="2574" customWidth="1"/>
    <col min="6652" max="6652" width="28.5703125" style="2574" customWidth="1"/>
    <col min="6653" max="6653" width="4.5703125" style="2574" customWidth="1"/>
    <col min="6654" max="6654" width="29.85546875" style="2574" customWidth="1"/>
    <col min="6655" max="6656" width="6.5703125" style="2574" customWidth="1"/>
    <col min="6657" max="6657" width="28.85546875" style="2574" customWidth="1"/>
    <col min="6658" max="6658" width="7.28515625" style="2574" customWidth="1"/>
    <col min="6659" max="6659" width="26" style="2574" customWidth="1"/>
    <col min="6660" max="6660" width="6.28515625" style="2574" customWidth="1"/>
    <col min="6661" max="6661" width="14.28515625" style="2574" customWidth="1"/>
    <col min="6662" max="6903" width="11.42578125" style="2574"/>
    <col min="6904" max="6904" width="7" style="2574" customWidth="1"/>
    <col min="6905" max="6905" width="19.42578125" style="2574" customWidth="1"/>
    <col min="6906" max="6906" width="24.5703125" style="2574" customWidth="1"/>
    <col min="6907" max="6907" width="5.7109375" style="2574" customWidth="1"/>
    <col min="6908" max="6908" width="28.5703125" style="2574" customWidth="1"/>
    <col min="6909" max="6909" width="4.5703125" style="2574" customWidth="1"/>
    <col min="6910" max="6910" width="29.85546875" style="2574" customWidth="1"/>
    <col min="6911" max="6912" width="6.5703125" style="2574" customWidth="1"/>
    <col min="6913" max="6913" width="28.85546875" style="2574" customWidth="1"/>
    <col min="6914" max="6914" width="7.28515625" style="2574" customWidth="1"/>
    <col min="6915" max="6915" width="26" style="2574" customWidth="1"/>
    <col min="6916" max="6916" width="6.28515625" style="2574" customWidth="1"/>
    <col min="6917" max="6917" width="14.28515625" style="2574" customWidth="1"/>
    <col min="6918" max="7159" width="11.42578125" style="2574"/>
    <col min="7160" max="7160" width="7" style="2574" customWidth="1"/>
    <col min="7161" max="7161" width="19.42578125" style="2574" customWidth="1"/>
    <col min="7162" max="7162" width="24.5703125" style="2574" customWidth="1"/>
    <col min="7163" max="7163" width="5.7109375" style="2574" customWidth="1"/>
    <col min="7164" max="7164" width="28.5703125" style="2574" customWidth="1"/>
    <col min="7165" max="7165" width="4.5703125" style="2574" customWidth="1"/>
    <col min="7166" max="7166" width="29.85546875" style="2574" customWidth="1"/>
    <col min="7167" max="7168" width="6.5703125" style="2574" customWidth="1"/>
    <col min="7169" max="7169" width="28.85546875" style="2574" customWidth="1"/>
    <col min="7170" max="7170" width="7.28515625" style="2574" customWidth="1"/>
    <col min="7171" max="7171" width="26" style="2574" customWidth="1"/>
    <col min="7172" max="7172" width="6.28515625" style="2574" customWidth="1"/>
    <col min="7173" max="7173" width="14.28515625" style="2574" customWidth="1"/>
    <col min="7174" max="7415" width="11.42578125" style="2574"/>
    <col min="7416" max="7416" width="7" style="2574" customWidth="1"/>
    <col min="7417" max="7417" width="19.42578125" style="2574" customWidth="1"/>
    <col min="7418" max="7418" width="24.5703125" style="2574" customWidth="1"/>
    <col min="7419" max="7419" width="5.7109375" style="2574" customWidth="1"/>
    <col min="7420" max="7420" width="28.5703125" style="2574" customWidth="1"/>
    <col min="7421" max="7421" width="4.5703125" style="2574" customWidth="1"/>
    <col min="7422" max="7422" width="29.85546875" style="2574" customWidth="1"/>
    <col min="7423" max="7424" width="6.5703125" style="2574" customWidth="1"/>
    <col min="7425" max="7425" width="28.85546875" style="2574" customWidth="1"/>
    <col min="7426" max="7426" width="7.28515625" style="2574" customWidth="1"/>
    <col min="7427" max="7427" width="26" style="2574" customWidth="1"/>
    <col min="7428" max="7428" width="6.28515625" style="2574" customWidth="1"/>
    <col min="7429" max="7429" width="14.28515625" style="2574" customWidth="1"/>
    <col min="7430" max="7671" width="11.42578125" style="2574"/>
    <col min="7672" max="7672" width="7" style="2574" customWidth="1"/>
    <col min="7673" max="7673" width="19.42578125" style="2574" customWidth="1"/>
    <col min="7674" max="7674" width="24.5703125" style="2574" customWidth="1"/>
    <col min="7675" max="7675" width="5.7109375" style="2574" customWidth="1"/>
    <col min="7676" max="7676" width="28.5703125" style="2574" customWidth="1"/>
    <col min="7677" max="7677" width="4.5703125" style="2574" customWidth="1"/>
    <col min="7678" max="7678" width="29.85546875" style="2574" customWidth="1"/>
    <col min="7679" max="7680" width="6.5703125" style="2574" customWidth="1"/>
    <col min="7681" max="7681" width="28.85546875" style="2574" customWidth="1"/>
    <col min="7682" max="7682" width="7.28515625" style="2574" customWidth="1"/>
    <col min="7683" max="7683" width="26" style="2574" customWidth="1"/>
    <col min="7684" max="7684" width="6.28515625" style="2574" customWidth="1"/>
    <col min="7685" max="7685" width="14.28515625" style="2574" customWidth="1"/>
    <col min="7686" max="7927" width="11.42578125" style="2574"/>
    <col min="7928" max="7928" width="7" style="2574" customWidth="1"/>
    <col min="7929" max="7929" width="19.42578125" style="2574" customWidth="1"/>
    <col min="7930" max="7930" width="24.5703125" style="2574" customWidth="1"/>
    <col min="7931" max="7931" width="5.7109375" style="2574" customWidth="1"/>
    <col min="7932" max="7932" width="28.5703125" style="2574" customWidth="1"/>
    <col min="7933" max="7933" width="4.5703125" style="2574" customWidth="1"/>
    <col min="7934" max="7934" width="29.85546875" style="2574" customWidth="1"/>
    <col min="7935" max="7936" width="6.5703125" style="2574" customWidth="1"/>
    <col min="7937" max="7937" width="28.85546875" style="2574" customWidth="1"/>
    <col min="7938" max="7938" width="7.28515625" style="2574" customWidth="1"/>
    <col min="7939" max="7939" width="26" style="2574" customWidth="1"/>
    <col min="7940" max="7940" width="6.28515625" style="2574" customWidth="1"/>
    <col min="7941" max="7941" width="14.28515625" style="2574" customWidth="1"/>
    <col min="7942" max="8183" width="11.42578125" style="2574"/>
    <col min="8184" max="8184" width="7" style="2574" customWidth="1"/>
    <col min="8185" max="8185" width="19.42578125" style="2574" customWidth="1"/>
    <col min="8186" max="8186" width="24.5703125" style="2574" customWidth="1"/>
    <col min="8187" max="8187" width="5.7109375" style="2574" customWidth="1"/>
    <col min="8188" max="8188" width="28.5703125" style="2574" customWidth="1"/>
    <col min="8189" max="8189" width="4.5703125" style="2574" customWidth="1"/>
    <col min="8190" max="8190" width="29.85546875" style="2574" customWidth="1"/>
    <col min="8191" max="8192" width="6.5703125" style="2574" customWidth="1"/>
    <col min="8193" max="8193" width="28.85546875" style="2574" customWidth="1"/>
    <col min="8194" max="8194" width="7.28515625" style="2574" customWidth="1"/>
    <col min="8195" max="8195" width="26" style="2574" customWidth="1"/>
    <col min="8196" max="8196" width="6.28515625" style="2574" customWidth="1"/>
    <col min="8197" max="8197" width="14.28515625" style="2574" customWidth="1"/>
    <col min="8198" max="8439" width="11.42578125" style="2574"/>
    <col min="8440" max="8440" width="7" style="2574" customWidth="1"/>
    <col min="8441" max="8441" width="19.42578125" style="2574" customWidth="1"/>
    <col min="8442" max="8442" width="24.5703125" style="2574" customWidth="1"/>
    <col min="8443" max="8443" width="5.7109375" style="2574" customWidth="1"/>
    <col min="8444" max="8444" width="28.5703125" style="2574" customWidth="1"/>
    <col min="8445" max="8445" width="4.5703125" style="2574" customWidth="1"/>
    <col min="8446" max="8446" width="29.85546875" style="2574" customWidth="1"/>
    <col min="8447" max="8448" width="6.5703125" style="2574" customWidth="1"/>
    <col min="8449" max="8449" width="28.85546875" style="2574" customWidth="1"/>
    <col min="8450" max="8450" width="7.28515625" style="2574" customWidth="1"/>
    <col min="8451" max="8451" width="26" style="2574" customWidth="1"/>
    <col min="8452" max="8452" width="6.28515625" style="2574" customWidth="1"/>
    <col min="8453" max="8453" width="14.28515625" style="2574" customWidth="1"/>
    <col min="8454" max="8695" width="11.42578125" style="2574"/>
    <col min="8696" max="8696" width="7" style="2574" customWidth="1"/>
    <col min="8697" max="8697" width="19.42578125" style="2574" customWidth="1"/>
    <col min="8698" max="8698" width="24.5703125" style="2574" customWidth="1"/>
    <col min="8699" max="8699" width="5.7109375" style="2574" customWidth="1"/>
    <col min="8700" max="8700" width="28.5703125" style="2574" customWidth="1"/>
    <col min="8701" max="8701" width="4.5703125" style="2574" customWidth="1"/>
    <col min="8702" max="8702" width="29.85546875" style="2574" customWidth="1"/>
    <col min="8703" max="8704" width="6.5703125" style="2574" customWidth="1"/>
    <col min="8705" max="8705" width="28.85546875" style="2574" customWidth="1"/>
    <col min="8706" max="8706" width="7.28515625" style="2574" customWidth="1"/>
    <col min="8707" max="8707" width="26" style="2574" customWidth="1"/>
    <col min="8708" max="8708" width="6.28515625" style="2574" customWidth="1"/>
    <col min="8709" max="8709" width="14.28515625" style="2574" customWidth="1"/>
    <col min="8710" max="8951" width="11.42578125" style="2574"/>
    <col min="8952" max="8952" width="7" style="2574" customWidth="1"/>
    <col min="8953" max="8953" width="19.42578125" style="2574" customWidth="1"/>
    <col min="8954" max="8954" width="24.5703125" style="2574" customWidth="1"/>
    <col min="8955" max="8955" width="5.7109375" style="2574" customWidth="1"/>
    <col min="8956" max="8956" width="28.5703125" style="2574" customWidth="1"/>
    <col min="8957" max="8957" width="4.5703125" style="2574" customWidth="1"/>
    <col min="8958" max="8958" width="29.85546875" style="2574" customWidth="1"/>
    <col min="8959" max="8960" width="6.5703125" style="2574" customWidth="1"/>
    <col min="8961" max="8961" width="28.85546875" style="2574" customWidth="1"/>
    <col min="8962" max="8962" width="7.28515625" style="2574" customWidth="1"/>
    <col min="8963" max="8963" width="26" style="2574" customWidth="1"/>
    <col min="8964" max="8964" width="6.28515625" style="2574" customWidth="1"/>
    <col min="8965" max="8965" width="14.28515625" style="2574" customWidth="1"/>
    <col min="8966" max="9207" width="11.42578125" style="2574"/>
    <col min="9208" max="9208" width="7" style="2574" customWidth="1"/>
    <col min="9209" max="9209" width="19.42578125" style="2574" customWidth="1"/>
    <col min="9210" max="9210" width="24.5703125" style="2574" customWidth="1"/>
    <col min="9211" max="9211" width="5.7109375" style="2574" customWidth="1"/>
    <col min="9212" max="9212" width="28.5703125" style="2574" customWidth="1"/>
    <col min="9213" max="9213" width="4.5703125" style="2574" customWidth="1"/>
    <col min="9214" max="9214" width="29.85546875" style="2574" customWidth="1"/>
    <col min="9215" max="9216" width="6.5703125" style="2574" customWidth="1"/>
    <col min="9217" max="9217" width="28.85546875" style="2574" customWidth="1"/>
    <col min="9218" max="9218" width="7.28515625" style="2574" customWidth="1"/>
    <col min="9219" max="9219" width="26" style="2574" customWidth="1"/>
    <col min="9220" max="9220" width="6.28515625" style="2574" customWidth="1"/>
    <col min="9221" max="9221" width="14.28515625" style="2574" customWidth="1"/>
    <col min="9222" max="9463" width="11.42578125" style="2574"/>
    <col min="9464" max="9464" width="7" style="2574" customWidth="1"/>
    <col min="9465" max="9465" width="19.42578125" style="2574" customWidth="1"/>
    <col min="9466" max="9466" width="24.5703125" style="2574" customWidth="1"/>
    <col min="9467" max="9467" width="5.7109375" style="2574" customWidth="1"/>
    <col min="9468" max="9468" width="28.5703125" style="2574" customWidth="1"/>
    <col min="9469" max="9469" width="4.5703125" style="2574" customWidth="1"/>
    <col min="9470" max="9470" width="29.85546875" style="2574" customWidth="1"/>
    <col min="9471" max="9472" width="6.5703125" style="2574" customWidth="1"/>
    <col min="9473" max="9473" width="28.85546875" style="2574" customWidth="1"/>
    <col min="9474" max="9474" width="7.28515625" style="2574" customWidth="1"/>
    <col min="9475" max="9475" width="26" style="2574" customWidth="1"/>
    <col min="9476" max="9476" width="6.28515625" style="2574" customWidth="1"/>
    <col min="9477" max="9477" width="14.28515625" style="2574" customWidth="1"/>
    <col min="9478" max="9719" width="11.42578125" style="2574"/>
    <col min="9720" max="9720" width="7" style="2574" customWidth="1"/>
    <col min="9721" max="9721" width="19.42578125" style="2574" customWidth="1"/>
    <col min="9722" max="9722" width="24.5703125" style="2574" customWidth="1"/>
    <col min="9723" max="9723" width="5.7109375" style="2574" customWidth="1"/>
    <col min="9724" max="9724" width="28.5703125" style="2574" customWidth="1"/>
    <col min="9725" max="9725" width="4.5703125" style="2574" customWidth="1"/>
    <col min="9726" max="9726" width="29.85546875" style="2574" customWidth="1"/>
    <col min="9727" max="9728" width="6.5703125" style="2574" customWidth="1"/>
    <col min="9729" max="9729" width="28.85546875" style="2574" customWidth="1"/>
    <col min="9730" max="9730" width="7.28515625" style="2574" customWidth="1"/>
    <col min="9731" max="9731" width="26" style="2574" customWidth="1"/>
    <col min="9732" max="9732" width="6.28515625" style="2574" customWidth="1"/>
    <col min="9733" max="9733" width="14.28515625" style="2574" customWidth="1"/>
    <col min="9734" max="9975" width="11.42578125" style="2574"/>
    <col min="9976" max="9976" width="7" style="2574" customWidth="1"/>
    <col min="9977" max="9977" width="19.42578125" style="2574" customWidth="1"/>
    <col min="9978" max="9978" width="24.5703125" style="2574" customWidth="1"/>
    <col min="9979" max="9979" width="5.7109375" style="2574" customWidth="1"/>
    <col min="9980" max="9980" width="28.5703125" style="2574" customWidth="1"/>
    <col min="9981" max="9981" width="4.5703125" style="2574" customWidth="1"/>
    <col min="9982" max="9982" width="29.85546875" style="2574" customWidth="1"/>
    <col min="9983" max="9984" width="6.5703125" style="2574" customWidth="1"/>
    <col min="9985" max="9985" width="28.85546875" style="2574" customWidth="1"/>
    <col min="9986" max="9986" width="7.28515625" style="2574" customWidth="1"/>
    <col min="9987" max="9987" width="26" style="2574" customWidth="1"/>
    <col min="9988" max="9988" width="6.28515625" style="2574" customWidth="1"/>
    <col min="9989" max="9989" width="14.28515625" style="2574" customWidth="1"/>
    <col min="9990" max="10231" width="11.42578125" style="2574"/>
    <col min="10232" max="10232" width="7" style="2574" customWidth="1"/>
    <col min="10233" max="10233" width="19.42578125" style="2574" customWidth="1"/>
    <col min="10234" max="10234" width="24.5703125" style="2574" customWidth="1"/>
    <col min="10235" max="10235" width="5.7109375" style="2574" customWidth="1"/>
    <col min="10236" max="10236" width="28.5703125" style="2574" customWidth="1"/>
    <col min="10237" max="10237" width="4.5703125" style="2574" customWidth="1"/>
    <col min="10238" max="10238" width="29.85546875" style="2574" customWidth="1"/>
    <col min="10239" max="10240" width="6.5703125" style="2574" customWidth="1"/>
    <col min="10241" max="10241" width="28.85546875" style="2574" customWidth="1"/>
    <col min="10242" max="10242" width="7.28515625" style="2574" customWidth="1"/>
    <col min="10243" max="10243" width="26" style="2574" customWidth="1"/>
    <col min="10244" max="10244" width="6.28515625" style="2574" customWidth="1"/>
    <col min="10245" max="10245" width="14.28515625" style="2574" customWidth="1"/>
    <col min="10246" max="10487" width="11.42578125" style="2574"/>
    <col min="10488" max="10488" width="7" style="2574" customWidth="1"/>
    <col min="10489" max="10489" width="19.42578125" style="2574" customWidth="1"/>
    <col min="10490" max="10490" width="24.5703125" style="2574" customWidth="1"/>
    <col min="10491" max="10491" width="5.7109375" style="2574" customWidth="1"/>
    <col min="10492" max="10492" width="28.5703125" style="2574" customWidth="1"/>
    <col min="10493" max="10493" width="4.5703125" style="2574" customWidth="1"/>
    <col min="10494" max="10494" width="29.85546875" style="2574" customWidth="1"/>
    <col min="10495" max="10496" width="6.5703125" style="2574" customWidth="1"/>
    <col min="10497" max="10497" width="28.85546875" style="2574" customWidth="1"/>
    <col min="10498" max="10498" width="7.28515625" style="2574" customWidth="1"/>
    <col min="10499" max="10499" width="26" style="2574" customWidth="1"/>
    <col min="10500" max="10500" width="6.28515625" style="2574" customWidth="1"/>
    <col min="10501" max="10501" width="14.28515625" style="2574" customWidth="1"/>
    <col min="10502" max="10743" width="11.42578125" style="2574"/>
    <col min="10744" max="10744" width="7" style="2574" customWidth="1"/>
    <col min="10745" max="10745" width="19.42578125" style="2574" customWidth="1"/>
    <col min="10746" max="10746" width="24.5703125" style="2574" customWidth="1"/>
    <col min="10747" max="10747" width="5.7109375" style="2574" customWidth="1"/>
    <col min="10748" max="10748" width="28.5703125" style="2574" customWidth="1"/>
    <col min="10749" max="10749" width="4.5703125" style="2574" customWidth="1"/>
    <col min="10750" max="10750" width="29.85546875" style="2574" customWidth="1"/>
    <col min="10751" max="10752" width="6.5703125" style="2574" customWidth="1"/>
    <col min="10753" max="10753" width="28.85546875" style="2574" customWidth="1"/>
    <col min="10754" max="10754" width="7.28515625" style="2574" customWidth="1"/>
    <col min="10755" max="10755" width="26" style="2574" customWidth="1"/>
    <col min="10756" max="10756" width="6.28515625" style="2574" customWidth="1"/>
    <col min="10757" max="10757" width="14.28515625" style="2574" customWidth="1"/>
    <col min="10758" max="10999" width="11.42578125" style="2574"/>
    <col min="11000" max="11000" width="7" style="2574" customWidth="1"/>
    <col min="11001" max="11001" width="19.42578125" style="2574" customWidth="1"/>
    <col min="11002" max="11002" width="24.5703125" style="2574" customWidth="1"/>
    <col min="11003" max="11003" width="5.7109375" style="2574" customWidth="1"/>
    <col min="11004" max="11004" width="28.5703125" style="2574" customWidth="1"/>
    <col min="11005" max="11005" width="4.5703125" style="2574" customWidth="1"/>
    <col min="11006" max="11006" width="29.85546875" style="2574" customWidth="1"/>
    <col min="11007" max="11008" width="6.5703125" style="2574" customWidth="1"/>
    <col min="11009" max="11009" width="28.85546875" style="2574" customWidth="1"/>
    <col min="11010" max="11010" width="7.28515625" style="2574" customWidth="1"/>
    <col min="11011" max="11011" width="26" style="2574" customWidth="1"/>
    <col min="11012" max="11012" width="6.28515625" style="2574" customWidth="1"/>
    <col min="11013" max="11013" width="14.28515625" style="2574" customWidth="1"/>
    <col min="11014" max="11255" width="11.42578125" style="2574"/>
    <col min="11256" max="11256" width="7" style="2574" customWidth="1"/>
    <col min="11257" max="11257" width="19.42578125" style="2574" customWidth="1"/>
    <col min="11258" max="11258" width="24.5703125" style="2574" customWidth="1"/>
    <col min="11259" max="11259" width="5.7109375" style="2574" customWidth="1"/>
    <col min="11260" max="11260" width="28.5703125" style="2574" customWidth="1"/>
    <col min="11261" max="11261" width="4.5703125" style="2574" customWidth="1"/>
    <col min="11262" max="11262" width="29.85546875" style="2574" customWidth="1"/>
    <col min="11263" max="11264" width="6.5703125" style="2574" customWidth="1"/>
    <col min="11265" max="11265" width="28.85546875" style="2574" customWidth="1"/>
    <col min="11266" max="11266" width="7.28515625" style="2574" customWidth="1"/>
    <col min="11267" max="11267" width="26" style="2574" customWidth="1"/>
    <col min="11268" max="11268" width="6.28515625" style="2574" customWidth="1"/>
    <col min="11269" max="11269" width="14.28515625" style="2574" customWidth="1"/>
    <col min="11270" max="11511" width="11.42578125" style="2574"/>
    <col min="11512" max="11512" width="7" style="2574" customWidth="1"/>
    <col min="11513" max="11513" width="19.42578125" style="2574" customWidth="1"/>
    <col min="11514" max="11514" width="24.5703125" style="2574" customWidth="1"/>
    <col min="11515" max="11515" width="5.7109375" style="2574" customWidth="1"/>
    <col min="11516" max="11516" width="28.5703125" style="2574" customWidth="1"/>
    <col min="11517" max="11517" width="4.5703125" style="2574" customWidth="1"/>
    <col min="11518" max="11518" width="29.85546875" style="2574" customWidth="1"/>
    <col min="11519" max="11520" width="6.5703125" style="2574" customWidth="1"/>
    <col min="11521" max="11521" width="28.85546875" style="2574" customWidth="1"/>
    <col min="11522" max="11522" width="7.28515625" style="2574" customWidth="1"/>
    <col min="11523" max="11523" width="26" style="2574" customWidth="1"/>
    <col min="11524" max="11524" width="6.28515625" style="2574" customWidth="1"/>
    <col min="11525" max="11525" width="14.28515625" style="2574" customWidth="1"/>
    <col min="11526" max="11767" width="11.42578125" style="2574"/>
    <col min="11768" max="11768" width="7" style="2574" customWidth="1"/>
    <col min="11769" max="11769" width="19.42578125" style="2574" customWidth="1"/>
    <col min="11770" max="11770" width="24.5703125" style="2574" customWidth="1"/>
    <col min="11771" max="11771" width="5.7109375" style="2574" customWidth="1"/>
    <col min="11772" max="11772" width="28.5703125" style="2574" customWidth="1"/>
    <col min="11773" max="11773" width="4.5703125" style="2574" customWidth="1"/>
    <col min="11774" max="11774" width="29.85546875" style="2574" customWidth="1"/>
    <col min="11775" max="11776" width="6.5703125" style="2574" customWidth="1"/>
    <col min="11777" max="11777" width="28.85546875" style="2574" customWidth="1"/>
    <col min="11778" max="11778" width="7.28515625" style="2574" customWidth="1"/>
    <col min="11779" max="11779" width="26" style="2574" customWidth="1"/>
    <col min="11780" max="11780" width="6.28515625" style="2574" customWidth="1"/>
    <col min="11781" max="11781" width="14.28515625" style="2574" customWidth="1"/>
    <col min="11782" max="12023" width="11.42578125" style="2574"/>
    <col min="12024" max="12024" width="7" style="2574" customWidth="1"/>
    <col min="12025" max="12025" width="19.42578125" style="2574" customWidth="1"/>
    <col min="12026" max="12026" width="24.5703125" style="2574" customWidth="1"/>
    <col min="12027" max="12027" width="5.7109375" style="2574" customWidth="1"/>
    <col min="12028" max="12028" width="28.5703125" style="2574" customWidth="1"/>
    <col min="12029" max="12029" width="4.5703125" style="2574" customWidth="1"/>
    <col min="12030" max="12030" width="29.85546875" style="2574" customWidth="1"/>
    <col min="12031" max="12032" width="6.5703125" style="2574" customWidth="1"/>
    <col min="12033" max="12033" width="28.85546875" style="2574" customWidth="1"/>
    <col min="12034" max="12034" width="7.28515625" style="2574" customWidth="1"/>
    <col min="12035" max="12035" width="26" style="2574" customWidth="1"/>
    <col min="12036" max="12036" width="6.28515625" style="2574" customWidth="1"/>
    <col min="12037" max="12037" width="14.28515625" style="2574" customWidth="1"/>
    <col min="12038" max="12279" width="11.42578125" style="2574"/>
    <col min="12280" max="12280" width="7" style="2574" customWidth="1"/>
    <col min="12281" max="12281" width="19.42578125" style="2574" customWidth="1"/>
    <col min="12282" max="12282" width="24.5703125" style="2574" customWidth="1"/>
    <col min="12283" max="12283" width="5.7109375" style="2574" customWidth="1"/>
    <col min="12284" max="12284" width="28.5703125" style="2574" customWidth="1"/>
    <col min="12285" max="12285" width="4.5703125" style="2574" customWidth="1"/>
    <col min="12286" max="12286" width="29.85546875" style="2574" customWidth="1"/>
    <col min="12287" max="12288" width="6.5703125" style="2574" customWidth="1"/>
    <col min="12289" max="12289" width="28.85546875" style="2574" customWidth="1"/>
    <col min="12290" max="12290" width="7.28515625" style="2574" customWidth="1"/>
    <col min="12291" max="12291" width="26" style="2574" customWidth="1"/>
    <col min="12292" max="12292" width="6.28515625" style="2574" customWidth="1"/>
    <col min="12293" max="12293" width="14.28515625" style="2574" customWidth="1"/>
    <col min="12294" max="12535" width="11.42578125" style="2574"/>
    <col min="12536" max="12536" width="7" style="2574" customWidth="1"/>
    <col min="12537" max="12537" width="19.42578125" style="2574" customWidth="1"/>
    <col min="12538" max="12538" width="24.5703125" style="2574" customWidth="1"/>
    <col min="12539" max="12539" width="5.7109375" style="2574" customWidth="1"/>
    <col min="12540" max="12540" width="28.5703125" style="2574" customWidth="1"/>
    <col min="12541" max="12541" width="4.5703125" style="2574" customWidth="1"/>
    <col min="12542" max="12542" width="29.85546875" style="2574" customWidth="1"/>
    <col min="12543" max="12544" width="6.5703125" style="2574" customWidth="1"/>
    <col min="12545" max="12545" width="28.85546875" style="2574" customWidth="1"/>
    <col min="12546" max="12546" width="7.28515625" style="2574" customWidth="1"/>
    <col min="12547" max="12547" width="26" style="2574" customWidth="1"/>
    <col min="12548" max="12548" width="6.28515625" style="2574" customWidth="1"/>
    <col min="12549" max="12549" width="14.28515625" style="2574" customWidth="1"/>
    <col min="12550" max="12791" width="11.42578125" style="2574"/>
    <col min="12792" max="12792" width="7" style="2574" customWidth="1"/>
    <col min="12793" max="12793" width="19.42578125" style="2574" customWidth="1"/>
    <col min="12794" max="12794" width="24.5703125" style="2574" customWidth="1"/>
    <col min="12795" max="12795" width="5.7109375" style="2574" customWidth="1"/>
    <col min="12796" max="12796" width="28.5703125" style="2574" customWidth="1"/>
    <col min="12797" max="12797" width="4.5703125" style="2574" customWidth="1"/>
    <col min="12798" max="12798" width="29.85546875" style="2574" customWidth="1"/>
    <col min="12799" max="12800" width="6.5703125" style="2574" customWidth="1"/>
    <col min="12801" max="12801" width="28.85546875" style="2574" customWidth="1"/>
    <col min="12802" max="12802" width="7.28515625" style="2574" customWidth="1"/>
    <col min="12803" max="12803" width="26" style="2574" customWidth="1"/>
    <col min="12804" max="12804" width="6.28515625" style="2574" customWidth="1"/>
    <col min="12805" max="12805" width="14.28515625" style="2574" customWidth="1"/>
    <col min="12806" max="13047" width="11.42578125" style="2574"/>
    <col min="13048" max="13048" width="7" style="2574" customWidth="1"/>
    <col min="13049" max="13049" width="19.42578125" style="2574" customWidth="1"/>
    <col min="13050" max="13050" width="24.5703125" style="2574" customWidth="1"/>
    <col min="13051" max="13051" width="5.7109375" style="2574" customWidth="1"/>
    <col min="13052" max="13052" width="28.5703125" style="2574" customWidth="1"/>
    <col min="13053" max="13053" width="4.5703125" style="2574" customWidth="1"/>
    <col min="13054" max="13054" width="29.85546875" style="2574" customWidth="1"/>
    <col min="13055" max="13056" width="6.5703125" style="2574" customWidth="1"/>
    <col min="13057" max="13057" width="28.85546875" style="2574" customWidth="1"/>
    <col min="13058" max="13058" width="7.28515625" style="2574" customWidth="1"/>
    <col min="13059" max="13059" width="26" style="2574" customWidth="1"/>
    <col min="13060" max="13060" width="6.28515625" style="2574" customWidth="1"/>
    <col min="13061" max="13061" width="14.28515625" style="2574" customWidth="1"/>
    <col min="13062" max="13303" width="11.42578125" style="2574"/>
    <col min="13304" max="13304" width="7" style="2574" customWidth="1"/>
    <col min="13305" max="13305" width="19.42578125" style="2574" customWidth="1"/>
    <col min="13306" max="13306" width="24.5703125" style="2574" customWidth="1"/>
    <col min="13307" max="13307" width="5.7109375" style="2574" customWidth="1"/>
    <col min="13308" max="13308" width="28.5703125" style="2574" customWidth="1"/>
    <col min="13309" max="13309" width="4.5703125" style="2574" customWidth="1"/>
    <col min="13310" max="13310" width="29.85546875" style="2574" customWidth="1"/>
    <col min="13311" max="13312" width="6.5703125" style="2574" customWidth="1"/>
    <col min="13313" max="13313" width="28.85546875" style="2574" customWidth="1"/>
    <col min="13314" max="13314" width="7.28515625" style="2574" customWidth="1"/>
    <col min="13315" max="13315" width="26" style="2574" customWidth="1"/>
    <col min="13316" max="13316" width="6.28515625" style="2574" customWidth="1"/>
    <col min="13317" max="13317" width="14.28515625" style="2574" customWidth="1"/>
    <col min="13318" max="13559" width="11.42578125" style="2574"/>
    <col min="13560" max="13560" width="7" style="2574" customWidth="1"/>
    <col min="13561" max="13561" width="19.42578125" style="2574" customWidth="1"/>
    <col min="13562" max="13562" width="24.5703125" style="2574" customWidth="1"/>
    <col min="13563" max="13563" width="5.7109375" style="2574" customWidth="1"/>
    <col min="13564" max="13564" width="28.5703125" style="2574" customWidth="1"/>
    <col min="13565" max="13565" width="4.5703125" style="2574" customWidth="1"/>
    <col min="13566" max="13566" width="29.85546875" style="2574" customWidth="1"/>
    <col min="13567" max="13568" width="6.5703125" style="2574" customWidth="1"/>
    <col min="13569" max="13569" width="28.85546875" style="2574" customWidth="1"/>
    <col min="13570" max="13570" width="7.28515625" style="2574" customWidth="1"/>
    <col min="13571" max="13571" width="26" style="2574" customWidth="1"/>
    <col min="13572" max="13572" width="6.28515625" style="2574" customWidth="1"/>
    <col min="13573" max="13573" width="14.28515625" style="2574" customWidth="1"/>
    <col min="13574" max="13815" width="11.42578125" style="2574"/>
    <col min="13816" max="13816" width="7" style="2574" customWidth="1"/>
    <col min="13817" max="13817" width="19.42578125" style="2574" customWidth="1"/>
    <col min="13818" max="13818" width="24.5703125" style="2574" customWidth="1"/>
    <col min="13819" max="13819" width="5.7109375" style="2574" customWidth="1"/>
    <col min="13820" max="13820" width="28.5703125" style="2574" customWidth="1"/>
    <col min="13821" max="13821" width="4.5703125" style="2574" customWidth="1"/>
    <col min="13822" max="13822" width="29.85546875" style="2574" customWidth="1"/>
    <col min="13823" max="13824" width="6.5703125" style="2574" customWidth="1"/>
    <col min="13825" max="13825" width="28.85546875" style="2574" customWidth="1"/>
    <col min="13826" max="13826" width="7.28515625" style="2574" customWidth="1"/>
    <col min="13827" max="13827" width="26" style="2574" customWidth="1"/>
    <col min="13828" max="13828" width="6.28515625" style="2574" customWidth="1"/>
    <col min="13829" max="13829" width="14.28515625" style="2574" customWidth="1"/>
    <col min="13830" max="14071" width="11.42578125" style="2574"/>
    <col min="14072" max="14072" width="7" style="2574" customWidth="1"/>
    <col min="14073" max="14073" width="19.42578125" style="2574" customWidth="1"/>
    <col min="14074" max="14074" width="24.5703125" style="2574" customWidth="1"/>
    <col min="14075" max="14075" width="5.7109375" style="2574" customWidth="1"/>
    <col min="14076" max="14076" width="28.5703125" style="2574" customWidth="1"/>
    <col min="14077" max="14077" width="4.5703125" style="2574" customWidth="1"/>
    <col min="14078" max="14078" width="29.85546875" style="2574" customWidth="1"/>
    <col min="14079" max="14080" width="6.5703125" style="2574" customWidth="1"/>
    <col min="14081" max="14081" width="28.85546875" style="2574" customWidth="1"/>
    <col min="14082" max="14082" width="7.28515625" style="2574" customWidth="1"/>
    <col min="14083" max="14083" width="26" style="2574" customWidth="1"/>
    <col min="14084" max="14084" width="6.28515625" style="2574" customWidth="1"/>
    <col min="14085" max="14085" width="14.28515625" style="2574" customWidth="1"/>
    <col min="14086" max="14327" width="11.42578125" style="2574"/>
    <col min="14328" max="14328" width="7" style="2574" customWidth="1"/>
    <col min="14329" max="14329" width="19.42578125" style="2574" customWidth="1"/>
    <col min="14330" max="14330" width="24.5703125" style="2574" customWidth="1"/>
    <col min="14331" max="14331" width="5.7109375" style="2574" customWidth="1"/>
    <col min="14332" max="14332" width="28.5703125" style="2574" customWidth="1"/>
    <col min="14333" max="14333" width="4.5703125" style="2574" customWidth="1"/>
    <col min="14334" max="14334" width="29.85546875" style="2574" customWidth="1"/>
    <col min="14335" max="14336" width="6.5703125" style="2574" customWidth="1"/>
    <col min="14337" max="14337" width="28.85546875" style="2574" customWidth="1"/>
    <col min="14338" max="14338" width="7.28515625" style="2574" customWidth="1"/>
    <col min="14339" max="14339" width="26" style="2574" customWidth="1"/>
    <col min="14340" max="14340" width="6.28515625" style="2574" customWidth="1"/>
    <col min="14341" max="14341" width="14.28515625" style="2574" customWidth="1"/>
    <col min="14342" max="14583" width="11.42578125" style="2574"/>
    <col min="14584" max="14584" width="7" style="2574" customWidth="1"/>
    <col min="14585" max="14585" width="19.42578125" style="2574" customWidth="1"/>
    <col min="14586" max="14586" width="24.5703125" style="2574" customWidth="1"/>
    <col min="14587" max="14587" width="5.7109375" style="2574" customWidth="1"/>
    <col min="14588" max="14588" width="28.5703125" style="2574" customWidth="1"/>
    <col min="14589" max="14589" width="4.5703125" style="2574" customWidth="1"/>
    <col min="14590" max="14590" width="29.85546875" style="2574" customWidth="1"/>
    <col min="14591" max="14592" width="6.5703125" style="2574" customWidth="1"/>
    <col min="14593" max="14593" width="28.85546875" style="2574" customWidth="1"/>
    <col min="14594" max="14594" width="7.28515625" style="2574" customWidth="1"/>
    <col min="14595" max="14595" width="26" style="2574" customWidth="1"/>
    <col min="14596" max="14596" width="6.28515625" style="2574" customWidth="1"/>
    <col min="14597" max="14597" width="14.28515625" style="2574" customWidth="1"/>
    <col min="14598" max="14839" width="11.42578125" style="2574"/>
    <col min="14840" max="14840" width="7" style="2574" customWidth="1"/>
    <col min="14841" max="14841" width="19.42578125" style="2574" customWidth="1"/>
    <col min="14842" max="14842" width="24.5703125" style="2574" customWidth="1"/>
    <col min="14843" max="14843" width="5.7109375" style="2574" customWidth="1"/>
    <col min="14844" max="14844" width="28.5703125" style="2574" customWidth="1"/>
    <col min="14845" max="14845" width="4.5703125" style="2574" customWidth="1"/>
    <col min="14846" max="14846" width="29.85546875" style="2574" customWidth="1"/>
    <col min="14847" max="14848" width="6.5703125" style="2574" customWidth="1"/>
    <col min="14849" max="14849" width="28.85546875" style="2574" customWidth="1"/>
    <col min="14850" max="14850" width="7.28515625" style="2574" customWidth="1"/>
    <col min="14851" max="14851" width="26" style="2574" customWidth="1"/>
    <col min="14852" max="14852" width="6.28515625" style="2574" customWidth="1"/>
    <col min="14853" max="14853" width="14.28515625" style="2574" customWidth="1"/>
    <col min="14854" max="15095" width="11.42578125" style="2574"/>
    <col min="15096" max="15096" width="7" style="2574" customWidth="1"/>
    <col min="15097" max="15097" width="19.42578125" style="2574" customWidth="1"/>
    <col min="15098" max="15098" width="24.5703125" style="2574" customWidth="1"/>
    <col min="15099" max="15099" width="5.7109375" style="2574" customWidth="1"/>
    <col min="15100" max="15100" width="28.5703125" style="2574" customWidth="1"/>
    <col min="15101" max="15101" width="4.5703125" style="2574" customWidth="1"/>
    <col min="15102" max="15102" width="29.85546875" style="2574" customWidth="1"/>
    <col min="15103" max="15104" width="6.5703125" style="2574" customWidth="1"/>
    <col min="15105" max="15105" width="28.85546875" style="2574" customWidth="1"/>
    <col min="15106" max="15106" width="7.28515625" style="2574" customWidth="1"/>
    <col min="15107" max="15107" width="26" style="2574" customWidth="1"/>
    <col min="15108" max="15108" width="6.28515625" style="2574" customWidth="1"/>
    <col min="15109" max="15109" width="14.28515625" style="2574" customWidth="1"/>
    <col min="15110" max="15351" width="11.42578125" style="2574"/>
    <col min="15352" max="15352" width="7" style="2574" customWidth="1"/>
    <col min="15353" max="15353" width="19.42578125" style="2574" customWidth="1"/>
    <col min="15354" max="15354" width="24.5703125" style="2574" customWidth="1"/>
    <col min="15355" max="15355" width="5.7109375" style="2574" customWidth="1"/>
    <col min="15356" max="15356" width="28.5703125" style="2574" customWidth="1"/>
    <col min="15357" max="15357" width="4.5703125" style="2574" customWidth="1"/>
    <col min="15358" max="15358" width="29.85546875" style="2574" customWidth="1"/>
    <col min="15359" max="15360" width="6.5703125" style="2574" customWidth="1"/>
    <col min="15361" max="15361" width="28.85546875" style="2574" customWidth="1"/>
    <col min="15362" max="15362" width="7.28515625" style="2574" customWidth="1"/>
    <col min="15363" max="15363" width="26" style="2574" customWidth="1"/>
    <col min="15364" max="15364" width="6.28515625" style="2574" customWidth="1"/>
    <col min="15365" max="15365" width="14.28515625" style="2574" customWidth="1"/>
    <col min="15366" max="15607" width="11.42578125" style="2574"/>
    <col min="15608" max="15608" width="7" style="2574" customWidth="1"/>
    <col min="15609" max="15609" width="19.42578125" style="2574" customWidth="1"/>
    <col min="15610" max="15610" width="24.5703125" style="2574" customWidth="1"/>
    <col min="15611" max="15611" width="5.7109375" style="2574" customWidth="1"/>
    <col min="15612" max="15612" width="28.5703125" style="2574" customWidth="1"/>
    <col min="15613" max="15613" width="4.5703125" style="2574" customWidth="1"/>
    <col min="15614" max="15614" width="29.85546875" style="2574" customWidth="1"/>
    <col min="15615" max="15616" width="6.5703125" style="2574" customWidth="1"/>
    <col min="15617" max="15617" width="28.85546875" style="2574" customWidth="1"/>
    <col min="15618" max="15618" width="7.28515625" style="2574" customWidth="1"/>
    <col min="15619" max="15619" width="26" style="2574" customWidth="1"/>
    <col min="15620" max="15620" width="6.28515625" style="2574" customWidth="1"/>
    <col min="15621" max="15621" width="14.28515625" style="2574" customWidth="1"/>
    <col min="15622" max="15863" width="11.42578125" style="2574"/>
    <col min="15864" max="15864" width="7" style="2574" customWidth="1"/>
    <col min="15865" max="15865" width="19.42578125" style="2574" customWidth="1"/>
    <col min="15866" max="15866" width="24.5703125" style="2574" customWidth="1"/>
    <col min="15867" max="15867" width="5.7109375" style="2574" customWidth="1"/>
    <col min="15868" max="15868" width="28.5703125" style="2574" customWidth="1"/>
    <col min="15869" max="15869" width="4.5703125" style="2574" customWidth="1"/>
    <col min="15870" max="15870" width="29.85546875" style="2574" customWidth="1"/>
    <col min="15871" max="15872" width="6.5703125" style="2574" customWidth="1"/>
    <col min="15873" max="15873" width="28.85546875" style="2574" customWidth="1"/>
    <col min="15874" max="15874" width="7.28515625" style="2574" customWidth="1"/>
    <col min="15875" max="15875" width="26" style="2574" customWidth="1"/>
    <col min="15876" max="15876" width="6.28515625" style="2574" customWidth="1"/>
    <col min="15877" max="15877" width="14.28515625" style="2574" customWidth="1"/>
    <col min="15878" max="16119" width="11.42578125" style="2574"/>
    <col min="16120" max="16120" width="7" style="2574" customWidth="1"/>
    <col min="16121" max="16121" width="19.42578125" style="2574" customWidth="1"/>
    <col min="16122" max="16122" width="24.5703125" style="2574" customWidth="1"/>
    <col min="16123" max="16123" width="5.7109375" style="2574" customWidth="1"/>
    <col min="16124" max="16124" width="28.5703125" style="2574" customWidth="1"/>
    <col min="16125" max="16125" width="4.5703125" style="2574" customWidth="1"/>
    <col min="16126" max="16126" width="29.85546875" style="2574" customWidth="1"/>
    <col min="16127" max="16128" width="6.5703125" style="2574" customWidth="1"/>
    <col min="16129" max="16129" width="28.85546875" style="2574" customWidth="1"/>
    <col min="16130" max="16130" width="7.28515625" style="2574" customWidth="1"/>
    <col min="16131" max="16131" width="26" style="2574" customWidth="1"/>
    <col min="16132" max="16132" width="6.28515625" style="2574" customWidth="1"/>
    <col min="16133" max="16133" width="14.28515625" style="2574" customWidth="1"/>
    <col min="16134" max="16384" width="11.42578125" style="2574"/>
  </cols>
  <sheetData>
    <row r="1" spans="1:5">
      <c r="B1" s="2577"/>
      <c r="C1" s="2577"/>
      <c r="D1" s="2577"/>
      <c r="E1" s="2577"/>
    </row>
    <row r="2" spans="1:5">
      <c r="B2" s="2577"/>
      <c r="C2" s="2791"/>
      <c r="D2" s="2791"/>
      <c r="E2" s="2577"/>
    </row>
    <row r="3" spans="1:5">
      <c r="B3" s="2577"/>
      <c r="C3" s="2791"/>
      <c r="D3" s="2791"/>
      <c r="E3" s="2577"/>
    </row>
    <row r="4" spans="1:5">
      <c r="B4" s="2577"/>
      <c r="C4" s="2791"/>
      <c r="D4" s="2791"/>
      <c r="E4" s="2577"/>
    </row>
    <row r="5" spans="1:5">
      <c r="B5" s="2577"/>
      <c r="C5" s="2791"/>
      <c r="D5" s="2791"/>
      <c r="E5" s="2577"/>
    </row>
    <row r="6" spans="1:5" ht="14.25" customHeight="1">
      <c r="B6" s="2577"/>
      <c r="C6" s="2577"/>
      <c r="D6" s="2577"/>
      <c r="E6" s="2577"/>
    </row>
    <row r="7" spans="1:5" ht="21.75" customHeight="1" thickBot="1">
      <c r="B7" s="2578"/>
      <c r="C7" s="2578"/>
      <c r="D7" s="2781"/>
      <c r="E7" s="2578"/>
    </row>
    <row r="8" spans="1:5" ht="63" customHeight="1">
      <c r="A8" s="2792" t="s">
        <v>1836</v>
      </c>
      <c r="B8" s="2789" t="s">
        <v>1848</v>
      </c>
      <c r="C8" s="2780"/>
      <c r="D8" s="2780"/>
      <c r="E8" s="2579"/>
    </row>
    <row r="9" spans="1:5" ht="76.5" customHeight="1">
      <c r="A9" s="2792" t="s">
        <v>1839</v>
      </c>
      <c r="B9" s="2777"/>
      <c r="C9" s="2789" t="s">
        <v>1849</v>
      </c>
      <c r="D9" s="2782"/>
      <c r="E9" s="2783"/>
    </row>
    <row r="10" spans="1:5" ht="50.25" customHeight="1">
      <c r="A10" s="2792" t="s">
        <v>1840</v>
      </c>
      <c r="B10" s="2777"/>
      <c r="C10" s="2790" t="s">
        <v>1843</v>
      </c>
      <c r="D10" s="2782"/>
      <c r="E10" s="2783"/>
    </row>
    <row r="11" spans="1:5" ht="52.5" customHeight="1">
      <c r="A11" s="2792" t="s">
        <v>1837</v>
      </c>
      <c r="B11" s="2777"/>
      <c r="C11" s="2779"/>
      <c r="D11" s="2786" t="s">
        <v>1847</v>
      </c>
      <c r="E11" s="2580"/>
    </row>
    <row r="12" spans="1:5" ht="76.5" customHeight="1">
      <c r="A12" s="2792" t="s">
        <v>1838</v>
      </c>
      <c r="B12" s="2777"/>
      <c r="C12" s="2784"/>
      <c r="D12" s="2786" t="s">
        <v>1845</v>
      </c>
      <c r="E12" s="2580"/>
    </row>
    <row r="13" spans="1:5" ht="52.5" customHeight="1">
      <c r="A13" s="2792" t="s">
        <v>1842</v>
      </c>
      <c r="B13" s="2777"/>
      <c r="C13" s="2785" t="s">
        <v>1850</v>
      </c>
      <c r="D13" s="2782"/>
      <c r="E13" s="2580"/>
    </row>
    <row r="14" spans="1:5" ht="69" customHeight="1">
      <c r="A14" s="2792" t="s">
        <v>1841</v>
      </c>
      <c r="B14" s="2777"/>
      <c r="C14" s="2778"/>
      <c r="D14" s="2788" t="s">
        <v>1844</v>
      </c>
      <c r="E14" s="2787" t="s">
        <v>1846</v>
      </c>
    </row>
    <row r="15" spans="1:5" ht="43.5" customHeight="1"/>
  </sheetData>
  <pageMargins left="0.75" right="0.75" top="1" bottom="1" header="0" footer="0"/>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tabColor indexed="51"/>
  </sheetPr>
  <dimension ref="C5:D9"/>
  <sheetViews>
    <sheetView showGridLines="0" workbookViewId="0">
      <selection activeCell="F10" sqref="F10"/>
    </sheetView>
  </sheetViews>
  <sheetFormatPr baseColWidth="10" defaultColWidth="11.42578125" defaultRowHeight="12.75"/>
  <cols>
    <col min="1" max="2" width="11.42578125" style="2566"/>
    <col min="3" max="3" width="14.42578125" style="2566" bestFit="1" customWidth="1"/>
    <col min="4" max="4" width="14.5703125" style="2566" customWidth="1"/>
    <col min="5" max="259" width="11.42578125" style="2566"/>
    <col min="260" max="260" width="14.5703125" style="2566" customWidth="1"/>
    <col min="261" max="515" width="11.42578125" style="2566"/>
    <col min="516" max="516" width="14.5703125" style="2566" customWidth="1"/>
    <col min="517" max="771" width="11.42578125" style="2566"/>
    <col min="772" max="772" width="14.5703125" style="2566" customWidth="1"/>
    <col min="773" max="1027" width="11.42578125" style="2566"/>
    <col min="1028" max="1028" width="14.5703125" style="2566" customWidth="1"/>
    <col min="1029" max="1283" width="11.42578125" style="2566"/>
    <col min="1284" max="1284" width="14.5703125" style="2566" customWidth="1"/>
    <col min="1285" max="1539" width="11.42578125" style="2566"/>
    <col min="1540" max="1540" width="14.5703125" style="2566" customWidth="1"/>
    <col min="1541" max="1795" width="11.42578125" style="2566"/>
    <col min="1796" max="1796" width="14.5703125" style="2566" customWidth="1"/>
    <col min="1797" max="2051" width="11.42578125" style="2566"/>
    <col min="2052" max="2052" width="14.5703125" style="2566" customWidth="1"/>
    <col min="2053" max="2307" width="11.42578125" style="2566"/>
    <col min="2308" max="2308" width="14.5703125" style="2566" customWidth="1"/>
    <col min="2309" max="2563" width="11.42578125" style="2566"/>
    <col min="2564" max="2564" width="14.5703125" style="2566" customWidth="1"/>
    <col min="2565" max="2819" width="11.42578125" style="2566"/>
    <col min="2820" max="2820" width="14.5703125" style="2566" customWidth="1"/>
    <col min="2821" max="3075" width="11.42578125" style="2566"/>
    <col min="3076" max="3076" width="14.5703125" style="2566" customWidth="1"/>
    <col min="3077" max="3331" width="11.42578125" style="2566"/>
    <col min="3332" max="3332" width="14.5703125" style="2566" customWidth="1"/>
    <col min="3333" max="3587" width="11.42578125" style="2566"/>
    <col min="3588" max="3588" width="14.5703125" style="2566" customWidth="1"/>
    <col min="3589" max="3843" width="11.42578125" style="2566"/>
    <col min="3844" max="3844" width="14.5703125" style="2566" customWidth="1"/>
    <col min="3845" max="4099" width="11.42578125" style="2566"/>
    <col min="4100" max="4100" width="14.5703125" style="2566" customWidth="1"/>
    <col min="4101" max="4355" width="11.42578125" style="2566"/>
    <col min="4356" max="4356" width="14.5703125" style="2566" customWidth="1"/>
    <col min="4357" max="4611" width="11.42578125" style="2566"/>
    <col min="4612" max="4612" width="14.5703125" style="2566" customWidth="1"/>
    <col min="4613" max="4867" width="11.42578125" style="2566"/>
    <col min="4868" max="4868" width="14.5703125" style="2566" customWidth="1"/>
    <col min="4869" max="5123" width="11.42578125" style="2566"/>
    <col min="5124" max="5124" width="14.5703125" style="2566" customWidth="1"/>
    <col min="5125" max="5379" width="11.42578125" style="2566"/>
    <col min="5380" max="5380" width="14.5703125" style="2566" customWidth="1"/>
    <col min="5381" max="5635" width="11.42578125" style="2566"/>
    <col min="5636" max="5636" width="14.5703125" style="2566" customWidth="1"/>
    <col min="5637" max="5891" width="11.42578125" style="2566"/>
    <col min="5892" max="5892" width="14.5703125" style="2566" customWidth="1"/>
    <col min="5893" max="6147" width="11.42578125" style="2566"/>
    <col min="6148" max="6148" width="14.5703125" style="2566" customWidth="1"/>
    <col min="6149" max="6403" width="11.42578125" style="2566"/>
    <col min="6404" max="6404" width="14.5703125" style="2566" customWidth="1"/>
    <col min="6405" max="6659" width="11.42578125" style="2566"/>
    <col min="6660" max="6660" width="14.5703125" style="2566" customWidth="1"/>
    <col min="6661" max="6915" width="11.42578125" style="2566"/>
    <col min="6916" max="6916" width="14.5703125" style="2566" customWidth="1"/>
    <col min="6917" max="7171" width="11.42578125" style="2566"/>
    <col min="7172" max="7172" width="14.5703125" style="2566" customWidth="1"/>
    <col min="7173" max="7427" width="11.42578125" style="2566"/>
    <col min="7428" max="7428" width="14.5703125" style="2566" customWidth="1"/>
    <col min="7429" max="7683" width="11.42578125" style="2566"/>
    <col min="7684" max="7684" width="14.5703125" style="2566" customWidth="1"/>
    <col min="7685" max="7939" width="11.42578125" style="2566"/>
    <col min="7940" max="7940" width="14.5703125" style="2566" customWidth="1"/>
    <col min="7941" max="8195" width="11.42578125" style="2566"/>
    <col min="8196" max="8196" width="14.5703125" style="2566" customWidth="1"/>
    <col min="8197" max="8451" width="11.42578125" style="2566"/>
    <col min="8452" max="8452" width="14.5703125" style="2566" customWidth="1"/>
    <col min="8453" max="8707" width="11.42578125" style="2566"/>
    <col min="8708" max="8708" width="14.5703125" style="2566" customWidth="1"/>
    <col min="8709" max="8963" width="11.42578125" style="2566"/>
    <col min="8964" max="8964" width="14.5703125" style="2566" customWidth="1"/>
    <col min="8965" max="9219" width="11.42578125" style="2566"/>
    <col min="9220" max="9220" width="14.5703125" style="2566" customWidth="1"/>
    <col min="9221" max="9475" width="11.42578125" style="2566"/>
    <col min="9476" max="9476" width="14.5703125" style="2566" customWidth="1"/>
    <col min="9477" max="9731" width="11.42578125" style="2566"/>
    <col min="9732" max="9732" width="14.5703125" style="2566" customWidth="1"/>
    <col min="9733" max="9987" width="11.42578125" style="2566"/>
    <col min="9988" max="9988" width="14.5703125" style="2566" customWidth="1"/>
    <col min="9989" max="10243" width="11.42578125" style="2566"/>
    <col min="10244" max="10244" width="14.5703125" style="2566" customWidth="1"/>
    <col min="10245" max="10499" width="11.42578125" style="2566"/>
    <col min="10500" max="10500" width="14.5703125" style="2566" customWidth="1"/>
    <col min="10501" max="10755" width="11.42578125" style="2566"/>
    <col min="10756" max="10756" width="14.5703125" style="2566" customWidth="1"/>
    <col min="10757" max="11011" width="11.42578125" style="2566"/>
    <col min="11012" max="11012" width="14.5703125" style="2566" customWidth="1"/>
    <col min="11013" max="11267" width="11.42578125" style="2566"/>
    <col min="11268" max="11268" width="14.5703125" style="2566" customWidth="1"/>
    <col min="11269" max="11523" width="11.42578125" style="2566"/>
    <col min="11524" max="11524" width="14.5703125" style="2566" customWidth="1"/>
    <col min="11525" max="11779" width="11.42578125" style="2566"/>
    <col min="11780" max="11780" width="14.5703125" style="2566" customWidth="1"/>
    <col min="11781" max="12035" width="11.42578125" style="2566"/>
    <col min="12036" max="12036" width="14.5703125" style="2566" customWidth="1"/>
    <col min="12037" max="12291" width="11.42578125" style="2566"/>
    <col min="12292" max="12292" width="14.5703125" style="2566" customWidth="1"/>
    <col min="12293" max="12547" width="11.42578125" style="2566"/>
    <col min="12548" max="12548" width="14.5703125" style="2566" customWidth="1"/>
    <col min="12549" max="12803" width="11.42578125" style="2566"/>
    <col min="12804" max="12804" width="14.5703125" style="2566" customWidth="1"/>
    <col min="12805" max="13059" width="11.42578125" style="2566"/>
    <col min="13060" max="13060" width="14.5703125" style="2566" customWidth="1"/>
    <col min="13061" max="13315" width="11.42578125" style="2566"/>
    <col min="13316" max="13316" width="14.5703125" style="2566" customWidth="1"/>
    <col min="13317" max="13571" width="11.42578125" style="2566"/>
    <col min="13572" max="13572" width="14.5703125" style="2566" customWidth="1"/>
    <col min="13573" max="13827" width="11.42578125" style="2566"/>
    <col min="13828" max="13828" width="14.5703125" style="2566" customWidth="1"/>
    <col min="13829" max="14083" width="11.42578125" style="2566"/>
    <col min="14084" max="14084" width="14.5703125" style="2566" customWidth="1"/>
    <col min="14085" max="14339" width="11.42578125" style="2566"/>
    <col min="14340" max="14340" width="14.5703125" style="2566" customWidth="1"/>
    <col min="14341" max="14595" width="11.42578125" style="2566"/>
    <col min="14596" max="14596" width="14.5703125" style="2566" customWidth="1"/>
    <col min="14597" max="14851" width="11.42578125" style="2566"/>
    <col min="14852" max="14852" width="14.5703125" style="2566" customWidth="1"/>
    <col min="14853" max="15107" width="11.42578125" style="2566"/>
    <col min="15108" max="15108" width="14.5703125" style="2566" customWidth="1"/>
    <col min="15109" max="15363" width="11.42578125" style="2566"/>
    <col min="15364" max="15364" width="14.5703125" style="2566" customWidth="1"/>
    <col min="15365" max="15619" width="11.42578125" style="2566"/>
    <col min="15620" max="15620" width="14.5703125" style="2566" customWidth="1"/>
    <col min="15621" max="15875" width="11.42578125" style="2566"/>
    <col min="15876" max="15876" width="14.5703125" style="2566" customWidth="1"/>
    <col min="15877" max="16131" width="11.42578125" style="2566"/>
    <col min="16132" max="16132" width="14.5703125" style="2566" customWidth="1"/>
    <col min="16133" max="16384" width="11.42578125" style="2566"/>
  </cols>
  <sheetData>
    <row r="5" spans="3:4">
      <c r="C5" s="2567"/>
      <c r="D5" s="2568"/>
    </row>
    <row r="6" spans="3:4">
      <c r="C6" s="2567"/>
      <c r="D6" s="2569"/>
    </row>
    <row r="9" spans="3:4" ht="15">
      <c r="C9" s="2594" t="s">
        <v>1457</v>
      </c>
      <c r="D9" s="2605">
        <v>8.9</v>
      </c>
    </row>
  </sheetData>
  <hyperlinks>
    <hyperlink ref="D6" r:id="rId1" display="www.oanda.com"/>
  </hyperlinks>
  <pageMargins left="0.75" right="0.75" top="1" bottom="1" header="0" footer="0"/>
  <headerFooter alignWithMargins="0"/>
</worksheet>
</file>

<file path=xl/worksheets/sheet22.xml><?xml version="1.0" encoding="utf-8"?>
<worksheet xmlns="http://schemas.openxmlformats.org/spreadsheetml/2006/main" xmlns:r="http://schemas.openxmlformats.org/officeDocument/2006/relationships">
  <sheetPr codeName="Feuil1"/>
  <dimension ref="A1:J51"/>
  <sheetViews>
    <sheetView workbookViewId="0">
      <selection activeCell="M16" sqref="M16"/>
    </sheetView>
  </sheetViews>
  <sheetFormatPr baseColWidth="10" defaultColWidth="11.42578125" defaultRowHeight="12.75"/>
  <cols>
    <col min="1" max="1" width="11.42578125" style="1032" customWidth="1"/>
    <col min="2" max="10" width="11.42578125" style="997" customWidth="1"/>
    <col min="11" max="256" width="11.42578125" style="997"/>
    <col min="257" max="266" width="11.42578125" style="997" customWidth="1"/>
    <col min="267" max="512" width="11.42578125" style="997"/>
    <col min="513" max="522" width="11.42578125" style="997" customWidth="1"/>
    <col min="523" max="768" width="11.42578125" style="997"/>
    <col min="769" max="778" width="11.42578125" style="997" customWidth="1"/>
    <col min="779" max="1024" width="11.42578125" style="997"/>
    <col min="1025" max="1034" width="11.42578125" style="997" customWidth="1"/>
    <col min="1035" max="1280" width="11.42578125" style="997"/>
    <col min="1281" max="1290" width="11.42578125" style="997" customWidth="1"/>
    <col min="1291" max="1536" width="11.42578125" style="997"/>
    <col min="1537" max="1546" width="11.42578125" style="997" customWidth="1"/>
    <col min="1547" max="1792" width="11.42578125" style="997"/>
    <col min="1793" max="1802" width="11.42578125" style="997" customWidth="1"/>
    <col min="1803" max="2048" width="11.42578125" style="997"/>
    <col min="2049" max="2058" width="11.42578125" style="997" customWidth="1"/>
    <col min="2059" max="2304" width="11.42578125" style="997"/>
    <col min="2305" max="2314" width="11.42578125" style="997" customWidth="1"/>
    <col min="2315" max="2560" width="11.42578125" style="997"/>
    <col min="2561" max="2570" width="11.42578125" style="997" customWidth="1"/>
    <col min="2571" max="2816" width="11.42578125" style="997"/>
    <col min="2817" max="2826" width="11.42578125" style="997" customWidth="1"/>
    <col min="2827" max="3072" width="11.42578125" style="997"/>
    <col min="3073" max="3082" width="11.42578125" style="997" customWidth="1"/>
    <col min="3083" max="3328" width="11.42578125" style="997"/>
    <col min="3329" max="3338" width="11.42578125" style="997" customWidth="1"/>
    <col min="3339" max="3584" width="11.42578125" style="997"/>
    <col min="3585" max="3594" width="11.42578125" style="997" customWidth="1"/>
    <col min="3595" max="3840" width="11.42578125" style="997"/>
    <col min="3841" max="3850" width="11.42578125" style="997" customWidth="1"/>
    <col min="3851" max="4096" width="11.42578125" style="997"/>
    <col min="4097" max="4106" width="11.42578125" style="997" customWidth="1"/>
    <col min="4107" max="4352" width="11.42578125" style="997"/>
    <col min="4353" max="4362" width="11.42578125" style="997" customWidth="1"/>
    <col min="4363" max="4608" width="11.42578125" style="997"/>
    <col min="4609" max="4618" width="11.42578125" style="997" customWidth="1"/>
    <col min="4619" max="4864" width="11.42578125" style="997"/>
    <col min="4865" max="4874" width="11.42578125" style="997" customWidth="1"/>
    <col min="4875" max="5120" width="11.42578125" style="997"/>
    <col min="5121" max="5130" width="11.42578125" style="997" customWidth="1"/>
    <col min="5131" max="5376" width="11.42578125" style="997"/>
    <col min="5377" max="5386" width="11.42578125" style="997" customWidth="1"/>
    <col min="5387" max="5632" width="11.42578125" style="997"/>
    <col min="5633" max="5642" width="11.42578125" style="997" customWidth="1"/>
    <col min="5643" max="5888" width="11.42578125" style="997"/>
    <col min="5889" max="5898" width="11.42578125" style="997" customWidth="1"/>
    <col min="5899" max="6144" width="11.42578125" style="997"/>
    <col min="6145" max="6154" width="11.42578125" style="997" customWidth="1"/>
    <col min="6155" max="6400" width="11.42578125" style="997"/>
    <col min="6401" max="6410" width="11.42578125" style="997" customWidth="1"/>
    <col min="6411" max="6656" width="11.42578125" style="997"/>
    <col min="6657" max="6666" width="11.42578125" style="997" customWidth="1"/>
    <col min="6667" max="6912" width="11.42578125" style="997"/>
    <col min="6913" max="6922" width="11.42578125" style="997" customWidth="1"/>
    <col min="6923" max="7168" width="11.42578125" style="997"/>
    <col min="7169" max="7178" width="11.42578125" style="997" customWidth="1"/>
    <col min="7179" max="7424" width="11.42578125" style="997"/>
    <col min="7425" max="7434" width="11.42578125" style="997" customWidth="1"/>
    <col min="7435" max="7680" width="11.42578125" style="997"/>
    <col min="7681" max="7690" width="11.42578125" style="997" customWidth="1"/>
    <col min="7691" max="7936" width="11.42578125" style="997"/>
    <col min="7937" max="7946" width="11.42578125" style="997" customWidth="1"/>
    <col min="7947" max="8192" width="11.42578125" style="997"/>
    <col min="8193" max="8202" width="11.42578125" style="997" customWidth="1"/>
    <col min="8203" max="8448" width="11.42578125" style="997"/>
    <col min="8449" max="8458" width="11.42578125" style="997" customWidth="1"/>
    <col min="8459" max="8704" width="11.42578125" style="997"/>
    <col min="8705" max="8714" width="11.42578125" style="997" customWidth="1"/>
    <col min="8715" max="8960" width="11.42578125" style="997"/>
    <col min="8961" max="8970" width="11.42578125" style="997" customWidth="1"/>
    <col min="8971" max="9216" width="11.42578125" style="997"/>
    <col min="9217" max="9226" width="11.42578125" style="997" customWidth="1"/>
    <col min="9227" max="9472" width="11.42578125" style="997"/>
    <col min="9473" max="9482" width="11.42578125" style="997" customWidth="1"/>
    <col min="9483" max="9728" width="11.42578125" style="997"/>
    <col min="9729" max="9738" width="11.42578125" style="997" customWidth="1"/>
    <col min="9739" max="9984" width="11.42578125" style="997"/>
    <col min="9985" max="9994" width="11.42578125" style="997" customWidth="1"/>
    <col min="9995" max="10240" width="11.42578125" style="997"/>
    <col min="10241" max="10250" width="11.42578125" style="997" customWidth="1"/>
    <col min="10251" max="10496" width="11.42578125" style="997"/>
    <col min="10497" max="10506" width="11.42578125" style="997" customWidth="1"/>
    <col min="10507" max="10752" width="11.42578125" style="997"/>
    <col min="10753" max="10762" width="11.42578125" style="997" customWidth="1"/>
    <col min="10763" max="11008" width="11.42578125" style="997"/>
    <col min="11009" max="11018" width="11.42578125" style="997" customWidth="1"/>
    <col min="11019" max="11264" width="11.42578125" style="997"/>
    <col min="11265" max="11274" width="11.42578125" style="997" customWidth="1"/>
    <col min="11275" max="11520" width="11.42578125" style="997"/>
    <col min="11521" max="11530" width="11.42578125" style="997" customWidth="1"/>
    <col min="11531" max="11776" width="11.42578125" style="997"/>
    <col min="11777" max="11786" width="11.42578125" style="997" customWidth="1"/>
    <col min="11787" max="12032" width="11.42578125" style="997"/>
    <col min="12033" max="12042" width="11.42578125" style="997" customWidth="1"/>
    <col min="12043" max="12288" width="11.42578125" style="997"/>
    <col min="12289" max="12298" width="11.42578125" style="997" customWidth="1"/>
    <col min="12299" max="12544" width="11.42578125" style="997"/>
    <col min="12545" max="12554" width="11.42578125" style="997" customWidth="1"/>
    <col min="12555" max="12800" width="11.42578125" style="997"/>
    <col min="12801" max="12810" width="11.42578125" style="997" customWidth="1"/>
    <col min="12811" max="13056" width="11.42578125" style="997"/>
    <col min="13057" max="13066" width="11.42578125" style="997" customWidth="1"/>
    <col min="13067" max="13312" width="11.42578125" style="997"/>
    <col min="13313" max="13322" width="11.42578125" style="997" customWidth="1"/>
    <col min="13323" max="13568" width="11.42578125" style="997"/>
    <col min="13569" max="13578" width="11.42578125" style="997" customWidth="1"/>
    <col min="13579" max="13824" width="11.42578125" style="997"/>
    <col min="13825" max="13834" width="11.42578125" style="997" customWidth="1"/>
    <col min="13835" max="14080" width="11.42578125" style="997"/>
    <col min="14081" max="14090" width="11.42578125" style="997" customWidth="1"/>
    <col min="14091" max="14336" width="11.42578125" style="997"/>
    <col min="14337" max="14346" width="11.42578125" style="997" customWidth="1"/>
    <col min="14347" max="14592" width="11.42578125" style="997"/>
    <col min="14593" max="14602" width="11.42578125" style="997" customWidth="1"/>
    <col min="14603" max="14848" width="11.42578125" style="997"/>
    <col min="14849" max="14858" width="11.42578125" style="997" customWidth="1"/>
    <col min="14859" max="15104" width="11.42578125" style="997"/>
    <col min="15105" max="15114" width="11.42578125" style="997" customWidth="1"/>
    <col min="15115" max="15360" width="11.42578125" style="997"/>
    <col min="15361" max="15370" width="11.42578125" style="997" customWidth="1"/>
    <col min="15371" max="15616" width="11.42578125" style="997"/>
    <col min="15617" max="15626" width="11.42578125" style="997" customWidth="1"/>
    <col min="15627" max="15872" width="11.42578125" style="997"/>
    <col min="15873" max="15882" width="11.42578125" style="997" customWidth="1"/>
    <col min="15883" max="16128" width="11.42578125" style="997"/>
    <col min="16129" max="16138" width="11.42578125" style="997" customWidth="1"/>
    <col min="16139" max="16384" width="11.42578125" style="997"/>
  </cols>
  <sheetData>
    <row r="1" spans="1:10" ht="26.25">
      <c r="A1" s="992"/>
      <c r="B1" s="993"/>
      <c r="C1" s="994"/>
      <c r="D1" s="995" t="s">
        <v>204</v>
      </c>
      <c r="E1" s="995"/>
      <c r="F1" s="994"/>
      <c r="G1" s="2857" t="s">
        <v>862</v>
      </c>
      <c r="H1" s="2858"/>
      <c r="I1" s="1648" t="s">
        <v>662</v>
      </c>
      <c r="J1" s="996"/>
    </row>
    <row r="2" spans="1:10">
      <c r="A2" s="998"/>
      <c r="B2" s="999"/>
      <c r="C2" s="999"/>
      <c r="D2" s="999"/>
      <c r="E2" s="999"/>
      <c r="F2" s="999"/>
      <c r="G2" s="999"/>
      <c r="H2" s="999"/>
      <c r="I2" s="1679" t="s">
        <v>889</v>
      </c>
      <c r="J2" s="1000"/>
    </row>
    <row r="3" spans="1:10" ht="15" customHeight="1">
      <c r="A3" s="998"/>
      <c r="B3" s="999"/>
      <c r="C3" s="999"/>
      <c r="D3" s="999"/>
      <c r="E3" s="999"/>
      <c r="F3" s="999"/>
      <c r="G3" s="999"/>
      <c r="H3" s="999"/>
      <c r="I3" s="999"/>
      <c r="J3" s="1001"/>
    </row>
    <row r="4" spans="1:10" s="1002" customFormat="1" ht="15.95" customHeight="1">
      <c r="A4" s="2859" t="s">
        <v>540</v>
      </c>
      <c r="B4" s="2860"/>
      <c r="C4" s="2860"/>
      <c r="D4" s="2860"/>
      <c r="E4" s="2860"/>
      <c r="F4" s="2860"/>
      <c r="G4" s="2860"/>
      <c r="H4" s="2860"/>
      <c r="I4" s="2860"/>
      <c r="J4" s="2861"/>
    </row>
    <row r="5" spans="1:10" s="1002" customFormat="1" ht="15.95" customHeight="1">
      <c r="A5" s="2865" t="s">
        <v>861</v>
      </c>
      <c r="B5" s="2866"/>
      <c r="C5" s="2866"/>
      <c r="D5" s="2866"/>
      <c r="E5" s="2866"/>
      <c r="F5" s="2866"/>
      <c r="G5" s="2866"/>
      <c r="H5" s="2866"/>
      <c r="I5" s="2866"/>
      <c r="J5" s="2867"/>
    </row>
    <row r="6" spans="1:10" ht="15" customHeight="1">
      <c r="A6" s="1003"/>
      <c r="B6" s="1004"/>
      <c r="C6" s="1004"/>
      <c r="D6" s="1004"/>
      <c r="E6" s="1004"/>
      <c r="F6" s="1004"/>
      <c r="G6" s="1004"/>
      <c r="H6" s="1004"/>
      <c r="I6" s="1004"/>
      <c r="J6" s="1005"/>
    </row>
    <row r="7" spans="1:10" ht="15" customHeight="1">
      <c r="A7" s="1003"/>
      <c r="B7" s="1004"/>
      <c r="C7" s="1004"/>
      <c r="D7" s="1004"/>
      <c r="E7" s="1004"/>
      <c r="F7" s="1004"/>
      <c r="G7" s="1004"/>
      <c r="H7" s="1004"/>
      <c r="I7" s="1004"/>
      <c r="J7" s="1005"/>
    </row>
    <row r="8" spans="1:10" s="1010" customFormat="1" ht="15" customHeight="1">
      <c r="A8" s="1006"/>
      <c r="B8" s="1004"/>
      <c r="C8" s="1004"/>
      <c r="D8" s="1007"/>
      <c r="E8" s="1007"/>
      <c r="F8" s="1007"/>
      <c r="G8" s="1008"/>
      <c r="H8" s="1007"/>
      <c r="I8" s="1007"/>
      <c r="J8" s="1009"/>
    </row>
    <row r="9" spans="1:10" s="1010" customFormat="1" ht="15" customHeight="1">
      <c r="A9" s="998"/>
      <c r="B9" s="1004"/>
      <c r="C9" s="1004"/>
      <c r="D9" s="1007"/>
      <c r="E9" s="1007"/>
      <c r="F9" s="1007"/>
      <c r="G9" s="1007"/>
      <c r="H9" s="1007"/>
      <c r="I9" s="1007"/>
      <c r="J9" s="1009"/>
    </row>
    <row r="10" spans="1:10" s="1010" customFormat="1" ht="15" customHeight="1">
      <c r="A10" s="1006"/>
      <c r="B10" s="1007"/>
      <c r="C10" s="1007"/>
      <c r="D10" s="1007"/>
      <c r="E10" s="1007"/>
      <c r="F10" s="1640"/>
      <c r="G10" s="1007"/>
      <c r="H10" s="1007"/>
      <c r="I10" s="1007"/>
      <c r="J10" s="1009"/>
    </row>
    <row r="11" spans="1:10" s="1010" customFormat="1" ht="15" customHeight="1">
      <c r="A11" s="1006"/>
      <c r="B11" s="1007"/>
      <c r="C11" s="1007"/>
      <c r="D11" s="1007"/>
      <c r="E11" s="1007"/>
      <c r="F11" s="1641"/>
      <c r="G11" s="1007"/>
      <c r="H11" s="1007"/>
      <c r="I11" s="1007"/>
      <c r="J11" s="1009"/>
    </row>
    <row r="12" spans="1:10" s="1010" customFormat="1" ht="15" customHeight="1">
      <c r="A12" s="1006"/>
      <c r="B12" s="1007"/>
      <c r="C12" s="1007"/>
      <c r="D12" s="1007"/>
      <c r="E12" s="1007"/>
      <c r="F12" s="1641"/>
      <c r="G12" s="1007"/>
      <c r="H12" s="1007"/>
      <c r="I12" s="1007"/>
      <c r="J12" s="1009"/>
    </row>
    <row r="13" spans="1:10" s="1010" customFormat="1" ht="15" customHeight="1">
      <c r="A13" s="1006"/>
      <c r="B13" s="1007"/>
      <c r="C13" s="1007"/>
      <c r="D13" s="1011"/>
      <c r="E13" s="1007"/>
      <c r="F13" s="1641"/>
      <c r="G13" s="1007"/>
      <c r="H13" s="1007"/>
      <c r="I13" s="1007"/>
      <c r="J13" s="1009"/>
    </row>
    <row r="14" spans="1:10" s="1010" customFormat="1" ht="15" customHeight="1">
      <c r="A14" s="1012"/>
      <c r="B14" s="1013"/>
      <c r="C14" s="1013"/>
      <c r="D14" s="1013"/>
      <c r="E14" s="1007"/>
      <c r="F14" s="1641"/>
      <c r="G14" s="1007"/>
      <c r="H14" s="1007"/>
      <c r="I14" s="1007"/>
      <c r="J14" s="1009"/>
    </row>
    <row r="15" spans="1:10" s="1010" customFormat="1" ht="15" customHeight="1">
      <c r="A15" s="1006"/>
      <c r="B15" s="1007"/>
      <c r="C15" s="1007"/>
      <c r="D15" s="1014"/>
      <c r="E15" s="1007"/>
      <c r="F15" s="1007"/>
      <c r="G15" s="1007"/>
      <c r="H15" s="1007"/>
      <c r="I15" s="1007"/>
      <c r="J15" s="1009"/>
    </row>
    <row r="16" spans="1:10" s="1010" customFormat="1" ht="15" customHeight="1">
      <c r="A16" s="1006"/>
      <c r="B16" s="1007"/>
      <c r="C16" s="1007"/>
      <c r="D16" s="1007"/>
      <c r="E16" s="1007"/>
      <c r="F16" s="1007"/>
      <c r="G16" s="1007"/>
      <c r="H16" s="1007"/>
      <c r="I16" s="1007"/>
      <c r="J16" s="1009"/>
    </row>
    <row r="17" spans="1:10" s="1010" customFormat="1" ht="15" customHeight="1">
      <c r="A17" s="1006"/>
      <c r="B17" s="1007"/>
      <c r="C17" s="1015"/>
      <c r="D17" s="1007"/>
      <c r="E17" s="1007"/>
      <c r="F17" s="1640"/>
      <c r="G17" s="1007"/>
      <c r="H17" s="1007"/>
      <c r="I17" s="1007"/>
      <c r="J17" s="1009"/>
    </row>
    <row r="18" spans="1:10" s="1010" customFormat="1" ht="15" customHeight="1">
      <c r="A18" s="1003"/>
      <c r="B18" s="1007"/>
      <c r="C18" s="1007"/>
      <c r="D18" s="1007"/>
      <c r="E18" s="1007"/>
      <c r="F18" s="1641"/>
      <c r="G18" s="1007"/>
      <c r="H18" s="1007"/>
      <c r="I18" s="1007"/>
      <c r="J18" s="1009"/>
    </row>
    <row r="19" spans="1:10" s="1010" customFormat="1" ht="15" customHeight="1">
      <c r="A19" s="998"/>
      <c r="B19" s="1007"/>
      <c r="C19" s="1007"/>
      <c r="D19" s="1007"/>
      <c r="E19" s="1007"/>
      <c r="F19" s="1642"/>
      <c r="G19" s="1016"/>
      <c r="H19" s="1007"/>
      <c r="I19" s="1007"/>
      <c r="J19" s="1009"/>
    </row>
    <row r="20" spans="1:10" s="1010" customFormat="1" ht="15" customHeight="1">
      <c r="A20" s="1006"/>
      <c r="B20" s="1007"/>
      <c r="C20" s="1007"/>
      <c r="D20" s="1007"/>
      <c r="E20" s="1007"/>
      <c r="F20" s="1642"/>
      <c r="G20" s="1016"/>
      <c r="H20" s="1007"/>
      <c r="I20" s="1007"/>
      <c r="J20" s="1009"/>
    </row>
    <row r="21" spans="1:10" s="1010" customFormat="1" ht="15" customHeight="1">
      <c r="A21" s="1006"/>
      <c r="B21" s="1007"/>
      <c r="C21" s="1007"/>
      <c r="D21" s="1007"/>
      <c r="E21" s="1007"/>
      <c r="F21" s="1643"/>
      <c r="G21" s="1016"/>
      <c r="H21" s="1007"/>
      <c r="I21" s="1007"/>
      <c r="J21" s="1009"/>
    </row>
    <row r="22" spans="1:10" s="1010" customFormat="1" ht="15" customHeight="1">
      <c r="A22" s="1006"/>
      <c r="B22" s="1007"/>
      <c r="C22" s="1007"/>
      <c r="D22" s="1007"/>
      <c r="E22" s="1007"/>
      <c r="F22" s="1641"/>
      <c r="G22" s="1016"/>
      <c r="H22" s="1007"/>
      <c r="I22" s="1007"/>
      <c r="J22" s="1009"/>
    </row>
    <row r="23" spans="1:10" s="1010" customFormat="1" ht="15" customHeight="1">
      <c r="A23" s="1006"/>
      <c r="B23" s="1007"/>
      <c r="C23" s="1007"/>
      <c r="D23" s="1007"/>
      <c r="E23" s="1007"/>
      <c r="F23" s="1644"/>
      <c r="G23" s="1016"/>
      <c r="H23" s="1007"/>
      <c r="I23" s="1007"/>
      <c r="J23" s="1009"/>
    </row>
    <row r="24" spans="1:10" s="1010" customFormat="1" ht="15" customHeight="1">
      <c r="A24" s="998"/>
      <c r="B24" s="1007"/>
      <c r="C24" s="1007"/>
      <c r="D24" s="1007"/>
      <c r="E24" s="1007"/>
      <c r="F24" s="1644"/>
      <c r="G24" s="1016"/>
      <c r="H24" s="1007"/>
      <c r="I24" s="1007"/>
      <c r="J24" s="1009"/>
    </row>
    <row r="25" spans="1:10" s="1020" customFormat="1" ht="15" customHeight="1">
      <c r="A25" s="1017"/>
      <c r="B25" s="1018"/>
      <c r="C25" s="1018"/>
      <c r="D25" s="1014"/>
      <c r="E25" s="1018"/>
      <c r="F25" s="1641"/>
      <c r="G25" s="1016"/>
      <c r="H25" s="1018"/>
      <c r="I25" s="1018"/>
      <c r="J25" s="1019"/>
    </row>
    <row r="26" spans="1:10" s="1020" customFormat="1" ht="15" customHeight="1">
      <c r="A26" s="1017"/>
      <c r="B26" s="1018"/>
      <c r="C26" s="1015"/>
      <c r="D26" s="1018"/>
      <c r="E26" s="1018"/>
      <c r="F26" s="1641"/>
      <c r="G26" s="1018"/>
      <c r="H26" s="1018"/>
      <c r="I26" s="1018"/>
      <c r="J26" s="1019"/>
    </row>
    <row r="27" spans="1:10" s="1020" customFormat="1" ht="15" customHeight="1">
      <c r="A27" s="1017"/>
      <c r="B27" s="1018"/>
      <c r="C27" s="1018"/>
      <c r="D27" s="1018"/>
      <c r="E27" s="1018"/>
      <c r="F27" s="1641"/>
      <c r="G27" s="1018"/>
      <c r="H27" s="1018"/>
      <c r="I27" s="1018"/>
      <c r="J27" s="1019"/>
    </row>
    <row r="28" spans="1:10" s="1020" customFormat="1" ht="15" customHeight="1">
      <c r="A28" s="1021"/>
      <c r="B28" s="1018"/>
      <c r="C28" s="1018"/>
      <c r="D28" s="1018"/>
      <c r="E28" s="1018"/>
      <c r="F28" s="1007"/>
      <c r="G28" s="1018"/>
      <c r="H28" s="1018"/>
      <c r="I28" s="1018"/>
      <c r="J28" s="1019"/>
    </row>
    <row r="29" spans="1:10" s="1020" customFormat="1" ht="15" customHeight="1">
      <c r="A29" s="1003"/>
      <c r="B29" s="1018"/>
      <c r="C29" s="1018"/>
      <c r="D29" s="1018"/>
      <c r="E29" s="1018"/>
      <c r="F29" s="1007"/>
      <c r="G29" s="1018"/>
      <c r="H29" s="1018"/>
      <c r="I29" s="1018"/>
      <c r="J29" s="1019"/>
    </row>
    <row r="30" spans="1:10" s="1020" customFormat="1" ht="15" customHeight="1">
      <c r="A30" s="1017"/>
      <c r="B30" s="1018"/>
      <c r="C30" s="1018"/>
      <c r="D30" s="1018"/>
      <c r="E30" s="1018"/>
      <c r="F30" s="1640"/>
      <c r="G30" s="1018"/>
      <c r="H30" s="1018"/>
      <c r="I30" s="1018"/>
      <c r="J30" s="1019"/>
    </row>
    <row r="31" spans="1:10" s="1020" customFormat="1" ht="15" customHeight="1">
      <c r="A31" s="1017"/>
      <c r="B31" s="1018"/>
      <c r="C31" s="1018"/>
      <c r="D31" s="1018"/>
      <c r="E31" s="1018"/>
      <c r="F31" s="1641"/>
      <c r="G31" s="1018"/>
      <c r="H31" s="1018"/>
      <c r="I31" s="1018"/>
      <c r="J31" s="1019"/>
    </row>
    <row r="32" spans="1:10" s="1020" customFormat="1" ht="15" customHeight="1">
      <c r="A32" s="1021"/>
      <c r="B32" s="1018"/>
      <c r="C32" s="1018"/>
      <c r="D32" s="1018"/>
      <c r="E32" s="1018"/>
      <c r="F32" s="1641"/>
      <c r="G32" s="1018"/>
      <c r="H32" s="1018"/>
      <c r="I32" s="1018"/>
      <c r="J32" s="1019"/>
    </row>
    <row r="33" spans="1:10" s="1020" customFormat="1" ht="15" customHeight="1">
      <c r="A33" s="1022"/>
      <c r="B33" s="1018"/>
      <c r="C33" s="1018"/>
      <c r="D33" s="1023"/>
      <c r="E33" s="1018"/>
      <c r="F33" s="1641"/>
      <c r="G33" s="1018"/>
      <c r="H33" s="1018"/>
      <c r="I33" s="1018"/>
      <c r="J33" s="1019"/>
    </row>
    <row r="34" spans="1:10" s="1020" customFormat="1" ht="15" customHeight="1">
      <c r="A34" s="1017"/>
      <c r="B34" s="1018"/>
      <c r="C34" s="1018"/>
      <c r="D34" s="1018"/>
      <c r="E34" s="1018"/>
      <c r="F34" s="1645"/>
      <c r="G34" s="1018"/>
      <c r="H34" s="1018"/>
      <c r="I34" s="1018"/>
      <c r="J34" s="1019"/>
    </row>
    <row r="35" spans="1:10" s="1020" customFormat="1" ht="15" customHeight="1">
      <c r="A35" s="1017"/>
      <c r="B35" s="1018"/>
      <c r="C35" s="1018"/>
      <c r="D35" s="1018"/>
      <c r="E35" s="1018"/>
      <c r="F35" s="1641"/>
      <c r="G35" s="1018"/>
      <c r="H35" s="1018"/>
      <c r="I35" s="1018"/>
      <c r="J35" s="1019"/>
    </row>
    <row r="36" spans="1:10" s="1020" customFormat="1" ht="15" customHeight="1">
      <c r="A36" s="1003"/>
      <c r="B36" s="1018"/>
      <c r="C36" s="1018"/>
      <c r="D36" s="1018"/>
      <c r="E36" s="1018"/>
      <c r="F36" s="1645"/>
      <c r="G36" s="1018"/>
      <c r="H36" s="1018"/>
      <c r="I36" s="1018"/>
      <c r="J36" s="1019"/>
    </row>
    <row r="37" spans="1:10" s="1020" customFormat="1" ht="15" customHeight="1">
      <c r="A37" s="1024"/>
      <c r="B37" s="1018"/>
      <c r="C37" s="1018"/>
      <c r="D37" s="1018"/>
      <c r="E37" s="1018"/>
      <c r="F37" s="1645"/>
      <c r="G37" s="1018"/>
      <c r="H37" s="1018"/>
      <c r="I37" s="1018"/>
      <c r="J37" s="1019"/>
    </row>
    <row r="38" spans="1:10" s="1020" customFormat="1" ht="15" customHeight="1">
      <c r="A38" s="1024"/>
      <c r="B38" s="1018"/>
      <c r="C38" s="1018"/>
      <c r="D38" s="1018"/>
      <c r="E38" s="1018"/>
      <c r="F38" s="1646"/>
      <c r="G38" s="1018"/>
      <c r="H38" s="1018"/>
      <c r="I38" s="1018"/>
      <c r="J38" s="1019"/>
    </row>
    <row r="39" spans="1:10" s="1020" customFormat="1" ht="15" customHeight="1">
      <c r="A39" s="1024"/>
      <c r="B39" s="1018"/>
      <c r="C39" s="1018"/>
      <c r="D39" s="1018"/>
      <c r="E39" s="1018"/>
      <c r="F39" s="1018"/>
      <c r="G39" s="1018"/>
      <c r="H39" s="1018"/>
      <c r="I39" s="1018"/>
      <c r="J39" s="1019"/>
    </row>
    <row r="40" spans="1:10" s="1020" customFormat="1" ht="15" customHeight="1">
      <c r="A40" s="1024"/>
      <c r="B40" s="1018"/>
      <c r="C40" s="1018"/>
      <c r="D40" s="1018"/>
      <c r="E40" s="1018"/>
      <c r="F40" s="1018"/>
      <c r="G40" s="1018"/>
      <c r="H40" s="1018"/>
      <c r="I40" s="1018"/>
      <c r="J40" s="1019"/>
    </row>
    <row r="41" spans="1:10" s="1020" customFormat="1" ht="15" customHeight="1">
      <c r="A41" s="1024"/>
      <c r="B41" s="1018"/>
      <c r="C41" s="1018"/>
      <c r="D41" s="1018"/>
      <c r="E41" s="1018"/>
      <c r="F41" s="1018"/>
      <c r="G41" s="1018"/>
      <c r="H41" s="1018"/>
      <c r="I41" s="1018"/>
      <c r="J41" s="1019"/>
    </row>
    <row r="42" spans="1:10" s="1020" customFormat="1" ht="15" customHeight="1">
      <c r="A42" s="1024"/>
      <c r="B42" s="1018"/>
      <c r="C42" s="1018"/>
      <c r="D42" s="1018"/>
      <c r="E42" s="1018"/>
      <c r="F42" s="1018"/>
      <c r="G42" s="1018"/>
      <c r="H42" s="1018"/>
      <c r="I42" s="1018"/>
      <c r="J42" s="1019"/>
    </row>
    <row r="43" spans="1:10" ht="15" customHeight="1">
      <c r="A43" s="1025"/>
      <c r="B43" s="1004"/>
      <c r="C43" s="1004"/>
      <c r="D43" s="1004"/>
      <c r="E43" s="1647"/>
      <c r="F43" s="1018"/>
      <c r="G43" s="1004"/>
      <c r="H43" s="1004"/>
      <c r="I43" s="1004"/>
      <c r="J43" s="1005"/>
    </row>
    <row r="44" spans="1:10" s="1026" customFormat="1" ht="15" customHeight="1">
      <c r="A44" s="2862" t="s">
        <v>887</v>
      </c>
      <c r="B44" s="2863"/>
      <c r="C44" s="2863"/>
      <c r="D44" s="2863"/>
      <c r="E44" s="2863"/>
      <c r="F44" s="2863"/>
      <c r="G44" s="2863"/>
      <c r="H44" s="2863"/>
      <c r="I44" s="2863"/>
      <c r="J44" s="2864"/>
    </row>
    <row r="45" spans="1:10" s="1028" customFormat="1" ht="15" customHeight="1">
      <c r="A45" s="1628"/>
      <c r="B45" s="1629"/>
      <c r="C45" s="1629"/>
      <c r="D45" s="1629"/>
      <c r="E45" s="1629"/>
      <c r="F45" s="1629"/>
      <c r="G45" s="1629"/>
      <c r="H45" s="1629"/>
      <c r="I45" s="1629"/>
      <c r="J45" s="1630"/>
    </row>
    <row r="46" spans="1:10" s="1028" customFormat="1" ht="15" customHeight="1">
      <c r="A46" s="1633"/>
      <c r="B46" s="1027"/>
      <c r="C46" s="1027"/>
      <c r="D46" s="1027"/>
      <c r="E46" s="1027"/>
      <c r="F46" s="1027"/>
      <c r="G46" s="1027"/>
      <c r="H46" s="1027"/>
      <c r="I46" s="1027"/>
      <c r="J46" s="1632"/>
    </row>
    <row r="47" spans="1:10" s="1028" customFormat="1" ht="15" customHeight="1">
      <c r="A47" s="1631" t="s">
        <v>541</v>
      </c>
      <c r="B47" s="1029"/>
      <c r="C47" s="1677" t="s">
        <v>820</v>
      </c>
      <c r="D47" s="1030"/>
      <c r="E47" s="1030"/>
      <c r="F47" s="1030" t="s">
        <v>821</v>
      </c>
      <c r="G47" s="1030"/>
      <c r="H47" s="991" t="s">
        <v>822</v>
      </c>
      <c r="I47" s="1031"/>
      <c r="J47" s="1632"/>
    </row>
    <row r="48" spans="1:10" s="1028" customFormat="1" ht="15" customHeight="1">
      <c r="A48" s="1676" t="s">
        <v>888</v>
      </c>
      <c r="B48" s="1029"/>
      <c r="C48" s="1678"/>
      <c r="D48" s="1030"/>
      <c r="E48" s="1030"/>
      <c r="F48" s="1030"/>
      <c r="G48" s="1030"/>
      <c r="H48" s="991"/>
      <c r="I48" s="1031"/>
      <c r="J48" s="1632"/>
    </row>
    <row r="49" spans="1:10" s="1028" customFormat="1" ht="15" customHeight="1">
      <c r="A49" s="1633"/>
      <c r="B49" s="1029"/>
      <c r="J49" s="1632"/>
    </row>
    <row r="50" spans="1:10" s="1028" customFormat="1" ht="15" customHeight="1">
      <c r="A50" s="1633"/>
      <c r="B50" s="1029"/>
      <c r="C50" s="1677" t="s">
        <v>920</v>
      </c>
      <c r="D50" s="1030"/>
      <c r="E50" s="1030"/>
      <c r="F50" s="1682" t="s">
        <v>921</v>
      </c>
      <c r="G50" s="1030"/>
      <c r="H50" s="991" t="s">
        <v>922</v>
      </c>
      <c r="I50" s="1031"/>
      <c r="J50" s="1632"/>
    </row>
    <row r="51" spans="1:10" s="1028" customFormat="1" ht="15" customHeight="1">
      <c r="A51" s="1634"/>
      <c r="B51" s="1635"/>
      <c r="C51" s="1636"/>
      <c r="D51" s="1636"/>
      <c r="E51" s="1636"/>
      <c r="F51" s="1636"/>
      <c r="G51" s="1636"/>
      <c r="H51" s="1637"/>
      <c r="I51" s="1638"/>
      <c r="J51" s="1639"/>
    </row>
  </sheetData>
  <mergeCells count="4">
    <mergeCell ref="G1:H1"/>
    <mergeCell ref="A4:J4"/>
    <mergeCell ref="A44:J44"/>
    <mergeCell ref="A5:J5"/>
  </mergeCells>
  <dataValidations count="1">
    <dataValidation type="list" allowBlank="1" showInputMessage="1" showErrorMessage="1" sqref="I1">
      <formula1>"Français,English"</formula1>
    </dataValidation>
  </dataValidations>
  <hyperlinks>
    <hyperlink ref="H47" r:id="rId1"/>
    <hyperlink ref="H50" r:id="rId2"/>
  </hyperlinks>
  <printOptions horizontalCentered="1"/>
  <pageMargins left="0" right="0" top="0.6692913385826772" bottom="0.39370078740157483" header="0.19685039370078741" footer="0.19685039370078741"/>
  <pageSetup paperSize="9" scale="85" orientation="portrait" r:id="rId3"/>
  <headerFooter alignWithMargins="0">
    <oddFooter>&amp;L&amp;"Arial,Gras"&amp;8DSF-MDL-2012-0004&amp;R9/9</oddFooter>
  </headerFooter>
  <drawing r:id="rId4"/>
  <legacyDrawing r:id="rId5"/>
  <oleObjects>
    <oleObject progId="Visio.Drawing.11" shapeId="71685" r:id="rId6"/>
    <oleObject progId="Visio.Drawing.11" shapeId="71688" r:id="rId7"/>
  </oleObjects>
</worksheet>
</file>

<file path=xl/worksheets/sheet23.xml><?xml version="1.0" encoding="utf-8"?>
<worksheet xmlns="http://schemas.openxmlformats.org/spreadsheetml/2006/main" xmlns:r="http://schemas.openxmlformats.org/officeDocument/2006/relationships">
  <sheetPr>
    <pageSetUpPr fitToPage="1"/>
  </sheetPr>
  <dimension ref="A2:F65"/>
  <sheetViews>
    <sheetView zoomScale="90" zoomScaleNormal="90" workbookViewId="0">
      <selection activeCell="C18" sqref="C18"/>
    </sheetView>
  </sheetViews>
  <sheetFormatPr baseColWidth="10" defaultColWidth="11.42578125" defaultRowHeight="12.75"/>
  <cols>
    <col min="1" max="1" width="31.7109375" style="997" customWidth="1"/>
    <col min="2" max="2" width="26" style="997" customWidth="1"/>
    <col min="3" max="3" width="44.28515625" style="997" customWidth="1"/>
    <col min="4" max="4" width="25.85546875" style="997" bestFit="1" customWidth="1"/>
    <col min="5" max="5" width="16.7109375" style="997" customWidth="1"/>
    <col min="6" max="6" width="12.7109375" style="997" bestFit="1" customWidth="1"/>
    <col min="7" max="16384" width="11.42578125" style="997"/>
  </cols>
  <sheetData>
    <row r="2" spans="1:6">
      <c r="A2" s="2204" t="s">
        <v>1305</v>
      </c>
      <c r="B2" s="2201"/>
      <c r="C2" s="2201"/>
      <c r="D2" s="2201"/>
      <c r="E2" s="2201"/>
      <c r="F2" s="2201"/>
    </row>
    <row r="3" spans="1:6">
      <c r="A3" s="2201"/>
      <c r="B3" s="2870" t="s">
        <v>1042</v>
      </c>
      <c r="C3" s="2870"/>
      <c r="D3" s="2870"/>
      <c r="E3" s="2201"/>
      <c r="F3" s="2201"/>
    </row>
    <row r="4" spans="1:6">
      <c r="A4" s="2201"/>
      <c r="B4" s="2202" t="s">
        <v>1306</v>
      </c>
      <c r="C4" s="2284"/>
      <c r="D4" s="2284"/>
      <c r="E4" s="2201"/>
      <c r="F4" s="2201"/>
    </row>
    <row r="5" spans="1:6">
      <c r="A5" s="2201"/>
      <c r="B5" s="2870" t="s">
        <v>1043</v>
      </c>
      <c r="C5" s="2870"/>
      <c r="D5" s="2870"/>
      <c r="E5" s="2201"/>
      <c r="F5" s="2201"/>
    </row>
    <row r="6" spans="1:6">
      <c r="A6" s="2201"/>
      <c r="B6" s="2202" t="s">
        <v>1307</v>
      </c>
      <c r="C6" s="2284"/>
      <c r="D6" s="2284"/>
      <c r="E6" s="2201"/>
      <c r="F6" s="2201"/>
    </row>
    <row r="7" spans="1:6">
      <c r="A7" s="2201"/>
      <c r="B7" s="2369" t="s">
        <v>1304</v>
      </c>
      <c r="C7" s="2203"/>
      <c r="D7" s="2203"/>
      <c r="E7" s="2201"/>
      <c r="F7" s="2201"/>
    </row>
    <row r="8" spans="1:6">
      <c r="A8" s="2201"/>
      <c r="B8" s="2202" t="s">
        <v>1308</v>
      </c>
      <c r="C8" s="2284"/>
      <c r="D8" s="2284"/>
      <c r="E8" s="2201"/>
      <c r="F8" s="2201"/>
    </row>
    <row r="9" spans="1:6">
      <c r="A9" s="2201"/>
      <c r="B9" s="2202"/>
      <c r="C9" s="2284"/>
      <c r="D9" s="2284"/>
      <c r="E9" s="2201"/>
      <c r="F9" s="2201"/>
    </row>
    <row r="10" spans="1:6">
      <c r="A10" s="2201"/>
      <c r="B10" s="2202"/>
      <c r="C10" s="2284"/>
      <c r="D10" s="2284"/>
      <c r="E10" s="2201"/>
      <c r="F10" s="2201"/>
    </row>
    <row r="11" spans="1:6">
      <c r="A11" s="2204" t="s">
        <v>1309</v>
      </c>
      <c r="B11" s="2871" t="s">
        <v>1318</v>
      </c>
      <c r="C11" s="2871"/>
      <c r="D11" s="2871"/>
      <c r="E11" s="2201"/>
      <c r="F11" s="2201"/>
    </row>
    <row r="12" spans="1:6">
      <c r="A12" s="2201"/>
      <c r="B12" s="2871" t="s">
        <v>1319</v>
      </c>
      <c r="C12" s="2871"/>
      <c r="D12" s="2871"/>
      <c r="E12" s="2201"/>
      <c r="F12" s="2201"/>
    </row>
    <row r="13" spans="1:6">
      <c r="A13" s="2201"/>
      <c r="B13" s="2201"/>
      <c r="C13" s="2201"/>
      <c r="D13" s="2201"/>
      <c r="E13" s="2201"/>
      <c r="F13" s="2201"/>
    </row>
    <row r="14" spans="1:6" ht="25.5">
      <c r="A14" s="2204" t="s">
        <v>1040</v>
      </c>
      <c r="B14" s="2204" t="s">
        <v>1185</v>
      </c>
      <c r="C14" s="2204"/>
      <c r="D14" s="2204" t="s">
        <v>277</v>
      </c>
      <c r="E14" s="2204" t="s">
        <v>1051</v>
      </c>
      <c r="F14" s="2201"/>
    </row>
    <row r="15" spans="1:6">
      <c r="A15" s="2201"/>
      <c r="B15" s="2201"/>
      <c r="C15" s="2201"/>
      <c r="D15" s="2201"/>
      <c r="E15" s="2205"/>
      <c r="F15" s="2201"/>
    </row>
    <row r="16" spans="1:6">
      <c r="A16" s="2206" t="s">
        <v>1041</v>
      </c>
      <c r="B16" s="2206" t="s">
        <v>1039</v>
      </c>
      <c r="C16" s="2206" t="s">
        <v>1269</v>
      </c>
      <c r="D16" s="2206"/>
      <c r="E16" s="2206" t="s">
        <v>1052</v>
      </c>
      <c r="F16" s="2201"/>
    </row>
    <row r="17" spans="1:6">
      <c r="A17" s="2207" t="s">
        <v>741</v>
      </c>
      <c r="B17" s="2207" t="s">
        <v>1186</v>
      </c>
      <c r="C17" s="2207" t="s">
        <v>1329</v>
      </c>
      <c r="D17" s="2207"/>
      <c r="E17" s="2207" t="s">
        <v>741</v>
      </c>
      <c r="F17" s="2201"/>
    </row>
    <row r="18" spans="1:6" ht="13.5" thickBot="1">
      <c r="A18" s="2205"/>
      <c r="B18" s="2205"/>
      <c r="C18" s="2205"/>
      <c r="D18" s="2205"/>
      <c r="E18" s="2205"/>
      <c r="F18" s="2201"/>
    </row>
    <row r="19" spans="1:6" ht="76.5">
      <c r="A19" s="2868" t="s">
        <v>1280</v>
      </c>
      <c r="B19" s="2208" t="s">
        <v>1</v>
      </c>
      <c r="C19" s="2209" t="s">
        <v>1187</v>
      </c>
      <c r="D19" s="2208" t="s">
        <v>1265</v>
      </c>
      <c r="E19" s="2210" t="s">
        <v>1052</v>
      </c>
      <c r="F19" s="2201"/>
    </row>
    <row r="20" spans="1:6" ht="51">
      <c r="A20" s="2869"/>
      <c r="B20" s="2211" t="s">
        <v>684</v>
      </c>
      <c r="C20" s="2212" t="s">
        <v>1188</v>
      </c>
      <c r="D20" s="2211" t="s">
        <v>1189</v>
      </c>
      <c r="E20" s="2213" t="s">
        <v>741</v>
      </c>
      <c r="F20" s="2201"/>
    </row>
    <row r="21" spans="1:6" ht="38.25">
      <c r="A21" s="2869"/>
      <c r="B21" s="2206" t="s">
        <v>1044</v>
      </c>
      <c r="C21" s="2206" t="s">
        <v>1045</v>
      </c>
      <c r="D21" s="2206" t="s">
        <v>1047</v>
      </c>
      <c r="E21" s="2214" t="s">
        <v>1053</v>
      </c>
      <c r="F21" s="2201"/>
    </row>
    <row r="22" spans="1:6" ht="25.5">
      <c r="A22" s="2869"/>
      <c r="B22" s="2207"/>
      <c r="C22" s="2207" t="s">
        <v>1190</v>
      </c>
      <c r="D22" s="2207" t="s">
        <v>1191</v>
      </c>
      <c r="E22" s="2215" t="s">
        <v>1275</v>
      </c>
      <c r="F22" s="2201"/>
    </row>
    <row r="23" spans="1:6" ht="63.75">
      <c r="A23" s="2869"/>
      <c r="B23" s="2216" t="s">
        <v>54</v>
      </c>
      <c r="C23" s="2216" t="s">
        <v>1192</v>
      </c>
      <c r="D23" s="2216" t="s">
        <v>1048</v>
      </c>
      <c r="E23" s="2217" t="s">
        <v>1053</v>
      </c>
      <c r="F23" s="2201"/>
    </row>
    <row r="24" spans="1:6" ht="63.75">
      <c r="A24" s="2869"/>
      <c r="B24" s="2218"/>
      <c r="C24" s="2218" t="s">
        <v>1193</v>
      </c>
      <c r="D24" s="2218" t="s">
        <v>1266</v>
      </c>
      <c r="E24" s="2219" t="s">
        <v>1275</v>
      </c>
      <c r="F24" s="2201"/>
    </row>
    <row r="25" spans="1:6" ht="76.5">
      <c r="A25" s="2869"/>
      <c r="B25" s="2206" t="s">
        <v>1046</v>
      </c>
      <c r="C25" s="2206" t="s">
        <v>1194</v>
      </c>
      <c r="D25" s="2206" t="s">
        <v>1278</v>
      </c>
      <c r="E25" s="2214" t="s">
        <v>1276</v>
      </c>
      <c r="F25" s="2201"/>
    </row>
    <row r="26" spans="1:6" ht="76.5">
      <c r="A26" s="2869"/>
      <c r="B26" s="2206"/>
      <c r="C26" s="2207" t="s">
        <v>1195</v>
      </c>
      <c r="D26" s="2207" t="s">
        <v>1279</v>
      </c>
      <c r="E26" s="2215" t="s">
        <v>1277</v>
      </c>
      <c r="F26" s="2201"/>
    </row>
    <row r="27" spans="1:6" ht="51">
      <c r="A27" s="2869"/>
      <c r="B27" s="2216" t="s">
        <v>627</v>
      </c>
      <c r="C27" s="2216" t="s">
        <v>1049</v>
      </c>
      <c r="D27" s="2216" t="s">
        <v>1054</v>
      </c>
      <c r="E27" s="2217" t="s">
        <v>1267</v>
      </c>
      <c r="F27" s="2201"/>
    </row>
    <row r="28" spans="1:6" ht="51">
      <c r="A28" s="2869"/>
      <c r="B28" s="2220"/>
      <c r="C28" s="2220" t="s">
        <v>1196</v>
      </c>
      <c r="D28" s="2220" t="s">
        <v>1197</v>
      </c>
      <c r="E28" s="2221" t="s">
        <v>1268</v>
      </c>
      <c r="F28" s="2201"/>
    </row>
    <row r="29" spans="1:6" ht="38.25">
      <c r="A29" s="2869"/>
      <c r="B29" s="2280" t="s">
        <v>75</v>
      </c>
      <c r="C29" s="2280" t="s">
        <v>1272</v>
      </c>
      <c r="D29" s="2280" t="s">
        <v>1050</v>
      </c>
      <c r="E29" s="2281" t="s">
        <v>1274</v>
      </c>
      <c r="F29" s="2201"/>
    </row>
    <row r="30" spans="1:6" ht="38.25">
      <c r="A30" s="2869"/>
      <c r="B30" s="2220"/>
      <c r="C30" s="2220" t="s">
        <v>1273</v>
      </c>
      <c r="D30" s="2220" t="s">
        <v>1198</v>
      </c>
      <c r="E30" s="2221" t="s">
        <v>1274</v>
      </c>
      <c r="F30" s="2201"/>
    </row>
    <row r="31" spans="1:6">
      <c r="A31" s="2869"/>
      <c r="B31" s="2222"/>
      <c r="C31" s="2222"/>
      <c r="D31" s="2222"/>
      <c r="E31" s="2223"/>
      <c r="F31" s="2201"/>
    </row>
    <row r="32" spans="1:6" ht="13.5" thickBot="1">
      <c r="A32" s="2872"/>
      <c r="B32" s="2224"/>
      <c r="C32" s="2225"/>
      <c r="D32" s="2225"/>
      <c r="E32" s="2226"/>
      <c r="F32" s="2201"/>
    </row>
    <row r="33" spans="1:6" ht="13.5" thickBot="1">
      <c r="A33" s="2205"/>
      <c r="B33" s="2205"/>
      <c r="C33" s="2205"/>
      <c r="D33" s="2205"/>
      <c r="E33" s="2205"/>
      <c r="F33" s="2201"/>
    </row>
    <row r="34" spans="1:6" ht="76.5">
      <c r="A34" s="2868" t="s">
        <v>1312</v>
      </c>
      <c r="B34" s="2208" t="s">
        <v>1</v>
      </c>
      <c r="C34" s="2209" t="s">
        <v>1187</v>
      </c>
      <c r="D34" s="2208" t="s">
        <v>1265</v>
      </c>
      <c r="E34" s="2210" t="s">
        <v>1052</v>
      </c>
      <c r="F34" s="2201"/>
    </row>
    <row r="35" spans="1:6" ht="51">
      <c r="A35" s="2869"/>
      <c r="B35" s="2211" t="s">
        <v>684</v>
      </c>
      <c r="C35" s="2212" t="s">
        <v>1188</v>
      </c>
      <c r="D35" s="2211" t="s">
        <v>1189</v>
      </c>
      <c r="E35" s="2213" t="s">
        <v>741</v>
      </c>
      <c r="F35" s="2201"/>
    </row>
    <row r="36" spans="1:6" ht="38.25">
      <c r="A36" s="2869"/>
      <c r="B36" s="2206" t="s">
        <v>1044</v>
      </c>
      <c r="C36" s="2206" t="s">
        <v>1045</v>
      </c>
      <c r="D36" s="2206" t="s">
        <v>1047</v>
      </c>
      <c r="E36" s="2214" t="s">
        <v>1053</v>
      </c>
      <c r="F36" s="2201"/>
    </row>
    <row r="37" spans="1:6" ht="25.5">
      <c r="A37" s="2869"/>
      <c r="B37" s="2207"/>
      <c r="C37" s="2207" t="s">
        <v>1190</v>
      </c>
      <c r="D37" s="2207" t="s">
        <v>1191</v>
      </c>
      <c r="E37" s="2215" t="s">
        <v>1275</v>
      </c>
      <c r="F37" s="2201"/>
    </row>
    <row r="38" spans="1:6" ht="63.75">
      <c r="A38" s="2869"/>
      <c r="B38" s="2216" t="s">
        <v>54</v>
      </c>
      <c r="C38" s="2216" t="s">
        <v>1192</v>
      </c>
      <c r="D38" s="2216" t="s">
        <v>1048</v>
      </c>
      <c r="E38" s="2217" t="s">
        <v>1053</v>
      </c>
      <c r="F38" s="2201"/>
    </row>
    <row r="39" spans="1:6" ht="63.75">
      <c r="A39" s="2869"/>
      <c r="B39" s="2218"/>
      <c r="C39" s="2218" t="s">
        <v>1193</v>
      </c>
      <c r="D39" s="2218" t="s">
        <v>1266</v>
      </c>
      <c r="E39" s="2219" t="s">
        <v>1275</v>
      </c>
      <c r="F39" s="2201"/>
    </row>
    <row r="40" spans="1:6" ht="76.5">
      <c r="A40" s="2869"/>
      <c r="B40" s="2206" t="s">
        <v>1046</v>
      </c>
      <c r="C40" s="2206" t="s">
        <v>1194</v>
      </c>
      <c r="D40" s="2206" t="s">
        <v>1278</v>
      </c>
      <c r="E40" s="2214" t="s">
        <v>1276</v>
      </c>
      <c r="F40" s="2201"/>
    </row>
    <row r="41" spans="1:6" ht="76.5">
      <c r="A41" s="2869"/>
      <c r="B41" s="2206"/>
      <c r="C41" s="2207" t="s">
        <v>1195</v>
      </c>
      <c r="D41" s="2207" t="s">
        <v>1279</v>
      </c>
      <c r="E41" s="2215" t="s">
        <v>1277</v>
      </c>
      <c r="F41" s="2201"/>
    </row>
    <row r="42" spans="1:6" ht="51">
      <c r="A42" s="2869"/>
      <c r="B42" s="2216" t="s">
        <v>627</v>
      </c>
      <c r="C42" s="2216" t="s">
        <v>1049</v>
      </c>
      <c r="D42" s="2216" t="s">
        <v>1054</v>
      </c>
      <c r="E42" s="2217" t="s">
        <v>1267</v>
      </c>
      <c r="F42" s="2201"/>
    </row>
    <row r="43" spans="1:6" ht="51">
      <c r="A43" s="2869"/>
      <c r="B43" s="2220"/>
      <c r="C43" s="2220" t="s">
        <v>1196</v>
      </c>
      <c r="D43" s="2220" t="s">
        <v>1197</v>
      </c>
      <c r="E43" s="2221" t="s">
        <v>1268</v>
      </c>
      <c r="F43" s="2201"/>
    </row>
    <row r="44" spans="1:6" ht="38.25">
      <c r="A44" s="2869"/>
      <c r="B44" s="2222" t="s">
        <v>75</v>
      </c>
      <c r="C44" s="2222" t="s">
        <v>1272</v>
      </c>
      <c r="D44" s="2222" t="s">
        <v>1050</v>
      </c>
      <c r="E44" s="2223" t="s">
        <v>1274</v>
      </c>
      <c r="F44" s="2201"/>
    </row>
    <row r="45" spans="1:6" ht="38.25">
      <c r="A45" s="2873"/>
      <c r="B45" s="2206"/>
      <c r="C45" s="2207" t="s">
        <v>1273</v>
      </c>
      <c r="D45" s="2207" t="s">
        <v>1198</v>
      </c>
      <c r="E45" s="2215" t="s">
        <v>1274</v>
      </c>
      <c r="F45" s="2201"/>
    </row>
    <row r="46" spans="1:6">
      <c r="A46" s="2873"/>
      <c r="B46" s="2206"/>
      <c r="C46" s="2206"/>
      <c r="D46" s="2206"/>
      <c r="E46" s="2214"/>
      <c r="F46" s="2201"/>
    </row>
    <row r="47" spans="1:6" ht="13.5" thickBot="1">
      <c r="A47" s="2874"/>
      <c r="B47" s="2224"/>
      <c r="C47" s="2225"/>
      <c r="D47" s="2225"/>
      <c r="E47" s="2226"/>
      <c r="F47" s="2201"/>
    </row>
    <row r="49" spans="1:6" ht="13.5" thickBot="1"/>
    <row r="50" spans="1:6" ht="76.5">
      <c r="A50" s="2868" t="s">
        <v>1281</v>
      </c>
      <c r="B50" s="2208" t="s">
        <v>1</v>
      </c>
      <c r="C50" s="2209" t="s">
        <v>1187</v>
      </c>
      <c r="D50" s="2208" t="s">
        <v>1265</v>
      </c>
      <c r="E50" s="2210" t="s">
        <v>1052</v>
      </c>
      <c r="F50" s="2201"/>
    </row>
    <row r="51" spans="1:6" ht="51">
      <c r="A51" s="2869"/>
      <c r="B51" s="2211" t="s">
        <v>684</v>
      </c>
      <c r="C51" s="2212" t="s">
        <v>1188</v>
      </c>
      <c r="D51" s="2211" t="s">
        <v>1189</v>
      </c>
      <c r="E51" s="2213" t="s">
        <v>741</v>
      </c>
      <c r="F51" s="2201"/>
    </row>
    <row r="52" spans="1:6" ht="38.25">
      <c r="A52" s="2869"/>
      <c r="B52" s="2206" t="s">
        <v>1044</v>
      </c>
      <c r="C52" s="2206" t="s">
        <v>1045</v>
      </c>
      <c r="D52" s="2206" t="s">
        <v>1047</v>
      </c>
      <c r="E52" s="2214" t="s">
        <v>1041</v>
      </c>
      <c r="F52" s="2201"/>
    </row>
    <row r="53" spans="1:6" ht="25.5">
      <c r="A53" s="2869"/>
      <c r="B53" s="2207"/>
      <c r="C53" s="2207" t="s">
        <v>1190</v>
      </c>
      <c r="D53" s="2207" t="s">
        <v>1191</v>
      </c>
      <c r="E53" s="2215" t="s">
        <v>741</v>
      </c>
      <c r="F53" s="2201"/>
    </row>
    <row r="54" spans="1:6" ht="63.75">
      <c r="A54" s="2869"/>
      <c r="B54" s="2216" t="s">
        <v>54</v>
      </c>
      <c r="C54" s="2216" t="s">
        <v>1192</v>
      </c>
      <c r="D54" s="2216" t="s">
        <v>1048</v>
      </c>
      <c r="E54" s="2217" t="s">
        <v>1041</v>
      </c>
      <c r="F54" s="2201"/>
    </row>
    <row r="55" spans="1:6" ht="63.75">
      <c r="A55" s="2869"/>
      <c r="B55" s="2218"/>
      <c r="C55" s="2218" t="s">
        <v>1193</v>
      </c>
      <c r="D55" s="2218" t="s">
        <v>1266</v>
      </c>
      <c r="E55" s="2219" t="s">
        <v>741</v>
      </c>
      <c r="F55" s="2201"/>
    </row>
    <row r="56" spans="1:6" ht="76.5">
      <c r="A56" s="2869"/>
      <c r="B56" s="2206" t="s">
        <v>1046</v>
      </c>
      <c r="C56" s="2206" t="s">
        <v>1194</v>
      </c>
      <c r="D56" s="2206" t="s">
        <v>1278</v>
      </c>
      <c r="E56" s="2214" t="s">
        <v>1310</v>
      </c>
      <c r="F56" s="2201"/>
    </row>
    <row r="57" spans="1:6" ht="76.5">
      <c r="A57" s="2869"/>
      <c r="B57" s="2206"/>
      <c r="C57" s="2207" t="s">
        <v>1195</v>
      </c>
      <c r="D57" s="2207" t="s">
        <v>1279</v>
      </c>
      <c r="E57" s="2215" t="s">
        <v>1311</v>
      </c>
      <c r="F57" s="2201"/>
    </row>
    <row r="58" spans="1:6" ht="51">
      <c r="A58" s="2869"/>
      <c r="B58" s="2216" t="s">
        <v>627</v>
      </c>
      <c r="C58" s="2216" t="s">
        <v>1049</v>
      </c>
      <c r="D58" s="2216" t="s">
        <v>1054</v>
      </c>
      <c r="E58" s="2217" t="s">
        <v>1041</v>
      </c>
      <c r="F58" s="2201"/>
    </row>
    <row r="59" spans="1:6" ht="51">
      <c r="A59" s="2869"/>
      <c r="B59" s="2220"/>
      <c r="C59" s="2220" t="s">
        <v>1196</v>
      </c>
      <c r="D59" s="2220" t="s">
        <v>1197</v>
      </c>
      <c r="E59" s="2221" t="s">
        <v>741</v>
      </c>
      <c r="F59" s="2201"/>
    </row>
    <row r="60" spans="1:6" ht="38.25">
      <c r="A60" s="2869"/>
      <c r="B60" s="2222" t="s">
        <v>75</v>
      </c>
      <c r="C60" s="2222" t="s">
        <v>1313</v>
      </c>
      <c r="D60" s="2222" t="s">
        <v>1050</v>
      </c>
      <c r="E60" s="2223" t="s">
        <v>1041</v>
      </c>
      <c r="F60" s="2201"/>
    </row>
    <row r="61" spans="1:6" ht="38.25">
      <c r="A61" s="2869"/>
      <c r="B61" s="2222"/>
      <c r="C61" s="2376" t="s">
        <v>1314</v>
      </c>
      <c r="D61" s="2376" t="s">
        <v>1198</v>
      </c>
      <c r="E61" s="2377" t="s">
        <v>741</v>
      </c>
      <c r="F61" s="2201"/>
    </row>
    <row r="62" spans="1:6" ht="51">
      <c r="A62" s="2375"/>
      <c r="B62" s="2216" t="s">
        <v>1282</v>
      </c>
      <c r="C62" s="2216" t="s">
        <v>1315</v>
      </c>
      <c r="D62" s="2216" t="s">
        <v>1320</v>
      </c>
      <c r="E62" s="2217" t="s">
        <v>1041</v>
      </c>
      <c r="F62" s="2201"/>
    </row>
    <row r="63" spans="1:6" ht="63.75">
      <c r="B63" s="2220"/>
      <c r="C63" s="2220" t="s">
        <v>1316</v>
      </c>
      <c r="D63" s="2220" t="s">
        <v>1317</v>
      </c>
      <c r="E63" s="2221" t="s">
        <v>741</v>
      </c>
    </row>
    <row r="64" spans="1:6" ht="40.5" customHeight="1">
      <c r="B64" s="2206" t="s">
        <v>1321</v>
      </c>
      <c r="C64" s="2206" t="s">
        <v>1315</v>
      </c>
      <c r="D64" s="2206" t="s">
        <v>1331</v>
      </c>
      <c r="E64" s="2206" t="s">
        <v>1333</v>
      </c>
    </row>
    <row r="65" spans="2:5" ht="25.5">
      <c r="B65" s="2206"/>
      <c r="C65" s="2207" t="s">
        <v>1329</v>
      </c>
      <c r="D65" s="2207" t="s">
        <v>1332</v>
      </c>
      <c r="E65" s="2207" t="s">
        <v>1334</v>
      </c>
    </row>
  </sheetData>
  <mergeCells count="7">
    <mergeCell ref="A50:A61"/>
    <mergeCell ref="B3:D3"/>
    <mergeCell ref="B5:D5"/>
    <mergeCell ref="B11:D11"/>
    <mergeCell ref="A19:A32"/>
    <mergeCell ref="A34:A47"/>
    <mergeCell ref="B12:D12"/>
  </mergeCells>
  <pageMargins left="0.70866141732283472" right="0.70866141732283472" top="0.74803149606299213" bottom="0.74803149606299213" header="0.31496062992125984" footer="0.31496062992125984"/>
  <pageSetup paperSize="9" scale="33" orientation="portrait" r:id="rId1"/>
</worksheet>
</file>

<file path=xl/worksheets/sheet24.xml><?xml version="1.0" encoding="utf-8"?>
<worksheet xmlns="http://schemas.openxmlformats.org/spreadsheetml/2006/main" xmlns:r="http://schemas.openxmlformats.org/officeDocument/2006/relationships">
  <sheetPr codeName="Feuil8">
    <tabColor rgb="FFCCECFF"/>
    <pageSetUpPr fitToPage="1"/>
  </sheetPr>
  <dimension ref="A1:V76"/>
  <sheetViews>
    <sheetView topLeftCell="B28" workbookViewId="0">
      <selection activeCell="D51" sqref="D51:I51"/>
    </sheetView>
  </sheetViews>
  <sheetFormatPr baseColWidth="10" defaultColWidth="11.42578125" defaultRowHeight="12.75"/>
  <cols>
    <col min="1" max="1" width="0" style="17" hidden="1" customWidth="1"/>
    <col min="2" max="2" width="14.85546875" style="17" customWidth="1"/>
    <col min="3" max="3" width="6.5703125" style="17" bestFit="1" customWidth="1"/>
    <col min="4" max="9" width="15" style="17" customWidth="1"/>
    <col min="10" max="10" width="11.42578125" style="17" customWidth="1"/>
    <col min="11" max="11" width="55.28515625" style="17" hidden="1" customWidth="1"/>
    <col min="12" max="12" width="1.5703125" style="17" hidden="1" customWidth="1"/>
    <col min="13" max="13" width="38.85546875" style="1553" hidden="1" customWidth="1"/>
    <col min="14" max="19" width="7" style="17" hidden="1" customWidth="1"/>
    <col min="20" max="20" width="11.42578125" style="17" hidden="1" customWidth="1"/>
    <col min="21" max="21" width="96.140625" style="17" customWidth="1"/>
    <col min="22" max="22" width="92.85546875" style="17" bestFit="1" customWidth="1"/>
    <col min="23" max="16384" width="11.42578125" style="17"/>
  </cols>
  <sheetData>
    <row r="1" spans="1:22" customFormat="1" ht="26.25">
      <c r="D1" s="17"/>
      <c r="E1" s="73" t="str">
        <f>IF('Mode Opératoire'!$I$1="Français",+'Cpte exploitation 1+2+3'!K1,'Cpte exploitation 1+2+3'!M1)</f>
        <v>Compte d'Exploitation Total</v>
      </c>
      <c r="F1" s="17"/>
      <c r="K1" s="73" t="s">
        <v>190</v>
      </c>
      <c r="M1" s="1552" t="s">
        <v>740</v>
      </c>
    </row>
    <row r="2" spans="1:22" customFormat="1">
      <c r="M2" s="1553"/>
    </row>
    <row r="3" spans="1:22" customFormat="1">
      <c r="J3" s="3"/>
      <c r="M3" s="1553"/>
    </row>
    <row r="4" spans="1:22" ht="26.25">
      <c r="B4" s="78" t="str">
        <f>+'Synthèse projet'!A3</f>
        <v>Nom projet / Project Name :</v>
      </c>
      <c r="C4" s="145"/>
      <c r="D4" s="78"/>
      <c r="E4" s="953" t="str">
        <f>+'Synthèse projet'!C3</f>
        <v>xxxxxx</v>
      </c>
      <c r="F4" s="16"/>
      <c r="G4" s="16"/>
      <c r="H4" s="16"/>
      <c r="I4" s="16"/>
      <c r="K4" s="1217"/>
      <c r="L4" s="834"/>
      <c r="M4" s="1554"/>
      <c r="U4" s="1706" t="s">
        <v>988</v>
      </c>
      <c r="V4" s="1711" t="s">
        <v>989</v>
      </c>
    </row>
    <row r="5" spans="1:22" s="15" customFormat="1" ht="6" customHeight="1">
      <c r="B5" s="64"/>
      <c r="C5" s="64"/>
      <c r="D5" s="18"/>
      <c r="E5" s="18"/>
      <c r="F5" s="18"/>
      <c r="G5" s="18"/>
      <c r="H5" s="18"/>
      <c r="I5" s="18"/>
      <c r="K5" s="838"/>
      <c r="L5" s="838"/>
      <c r="M5" s="1555"/>
      <c r="U5" s="1707"/>
      <c r="V5" s="1712"/>
    </row>
    <row r="6" spans="1:22" s="28" customFormat="1" ht="23.25">
      <c r="B6" s="146" t="str">
        <f>+'Synthèse projet'!A5</f>
        <v>Rédacteur / Writer  :</v>
      </c>
      <c r="C6" s="146"/>
      <c r="D6" s="146"/>
      <c r="E6" s="148" t="str">
        <f>'Cpte exploitation ARG'!E6</f>
        <v>xxxxx</v>
      </c>
      <c r="F6" s="33"/>
      <c r="G6" s="154" t="s">
        <v>98</v>
      </c>
      <c r="H6" s="149" t="s">
        <v>741</v>
      </c>
      <c r="J6" s="27"/>
      <c r="K6" s="842"/>
      <c r="L6" s="842"/>
      <c r="M6" s="1487"/>
      <c r="U6" s="1708" t="s">
        <v>985</v>
      </c>
      <c r="V6" s="1713" t="s">
        <v>991</v>
      </c>
    </row>
    <row r="7" spans="1:22" s="29" customFormat="1" ht="15.75">
      <c r="B7" s="147" t="str">
        <f>+'Synthèse projet'!A6</f>
        <v>Version / Date :</v>
      </c>
      <c r="C7" s="147"/>
      <c r="D7" s="147"/>
      <c r="E7" s="921" t="str">
        <f>'Cpte exploitation ARG'!E7</f>
        <v>xxxxx</v>
      </c>
      <c r="F7" s="30"/>
      <c r="G7" s="30"/>
      <c r="H7" s="30"/>
      <c r="I7" s="30"/>
      <c r="J7" s="27"/>
      <c r="K7" s="1220"/>
      <c r="L7" s="1220"/>
      <c r="M7" s="1556"/>
      <c r="U7" s="1708"/>
      <c r="V7" s="1713"/>
    </row>
    <row r="8" spans="1:22" s="15" customFormat="1" ht="26.25" customHeight="1">
      <c r="B8" s="19"/>
      <c r="C8" s="19"/>
      <c r="D8" s="257"/>
      <c r="E8" s="238"/>
      <c r="F8" s="238"/>
      <c r="G8" s="238"/>
      <c r="H8" s="238"/>
      <c r="I8" s="238"/>
      <c r="K8" s="19"/>
      <c r="L8" s="19"/>
      <c r="M8" s="1555"/>
      <c r="U8" s="1707"/>
      <c r="V8" s="1712"/>
    </row>
    <row r="9" spans="1:22" s="15" customFormat="1" ht="15">
      <c r="B9" s="19"/>
      <c r="C9" s="19"/>
      <c r="D9" s="902"/>
      <c r="E9" s="903"/>
      <c r="F9" s="902"/>
      <c r="G9" s="903"/>
      <c r="H9" s="902"/>
      <c r="I9" s="903"/>
      <c r="K9" s="19"/>
      <c r="L9" s="19"/>
      <c r="M9" s="1555"/>
      <c r="U9" s="1707"/>
      <c r="V9" s="1712"/>
    </row>
    <row r="10" spans="1:22" s="15" customFormat="1" ht="15">
      <c r="B10" s="19"/>
      <c r="C10" s="19"/>
      <c r="K10" s="19"/>
      <c r="L10" s="19"/>
      <c r="M10" s="1555"/>
      <c r="N10" s="174" t="s">
        <v>38</v>
      </c>
      <c r="O10" s="174" t="s">
        <v>39</v>
      </c>
      <c r="P10" s="174" t="s">
        <v>40</v>
      </c>
      <c r="Q10" s="174" t="s">
        <v>41</v>
      </c>
      <c r="R10" s="174" t="s">
        <v>42</v>
      </c>
      <c r="S10" s="177" t="s">
        <v>78</v>
      </c>
      <c r="U10" s="1707"/>
      <c r="V10" s="1712"/>
    </row>
    <row r="11" spans="1:22" ht="6" customHeight="1">
      <c r="B11" s="167"/>
      <c r="C11" s="170"/>
      <c r="D11" s="173"/>
      <c r="E11" s="173"/>
      <c r="F11" s="173"/>
      <c r="G11" s="173"/>
      <c r="H11" s="173"/>
      <c r="I11" s="176"/>
      <c r="K11" s="167"/>
      <c r="L11" s="170"/>
      <c r="U11" s="1708"/>
      <c r="V11" s="1713"/>
    </row>
    <row r="12" spans="1:22" s="20" customFormat="1" ht="13.5" thickBot="1">
      <c r="B12" s="180" t="str">
        <f>IF('Mode Opératoire'!$I$1="Français",+'Cpte exploitation 1+2+3'!K11:K12,'Cpte exploitation 1+2+3'!M12)</f>
        <v>K€ (montants signés)</v>
      </c>
      <c r="C12" s="171"/>
      <c r="D12" s="174" t="str">
        <f>IF('Mode Opératoire'!$I$1="Français",+'Cpte exploitation 1+2+3'!N10,'Cpte exploitation 1+2+3'!N13)</f>
        <v>Année 1</v>
      </c>
      <c r="E12" s="174" t="str">
        <f>IF('Mode Opératoire'!$I$1="Français",+'Cpte exploitation 1+2+3'!O10,'Cpte exploitation 1+2+3'!O13)</f>
        <v>Année 2</v>
      </c>
      <c r="F12" s="174" t="str">
        <f>IF('Mode Opératoire'!$I$1="Français",+'Cpte exploitation 1+2+3'!P10,'Cpte exploitation 1+2+3'!P13)</f>
        <v>Année 3</v>
      </c>
      <c r="G12" s="174" t="str">
        <f>IF('Mode Opératoire'!$I$1="Français",+'Cpte exploitation 1+2+3'!Q10,'Cpte exploitation 1+2+3'!Q13)</f>
        <v>Année 4</v>
      </c>
      <c r="H12" s="174" t="str">
        <f>IF('Mode Opératoire'!$I$1="Français",+'Cpte exploitation 1+2+3'!R10,'Cpte exploitation 1+2+3'!R13)</f>
        <v>Année 5</v>
      </c>
      <c r="I12" s="174" t="str">
        <f>IF('Mode Opératoire'!$I$1="Français",+'Cpte exploitation 1+2+3'!S10,'Cpte exploitation 1+2+3'!S13)</f>
        <v>Année 6</v>
      </c>
      <c r="K12" s="168" t="s">
        <v>137</v>
      </c>
      <c r="L12" s="171"/>
      <c r="M12" s="1557" t="s">
        <v>836</v>
      </c>
      <c r="U12" s="1708"/>
      <c r="V12" s="1713"/>
    </row>
    <row r="13" spans="1:22" ht="14.25" thickTop="1" thickBot="1">
      <c r="B13" s="169"/>
      <c r="C13" s="172"/>
      <c r="D13" s="1705">
        <f>'Cpte exploitation ARG'!D13</f>
        <v>2014</v>
      </c>
      <c r="E13" s="178">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U13" s="1708" t="s">
        <v>990</v>
      </c>
      <c r="V13" s="1713" t="s">
        <v>974</v>
      </c>
    </row>
    <row r="14" spans="1:22" ht="13.5" thickTop="1">
      <c r="A14" s="17" t="str">
        <f>+$H$6</f>
        <v>All</v>
      </c>
      <c r="B14" s="179" t="str">
        <f>IF('Mode Opératoire'!$I$1="Français",+'Cpte exploitation 1+2+3'!K14,'Cpte exploitation 1+2+3'!M14)</f>
        <v>Ventes PSA</v>
      </c>
      <c r="C14" s="182"/>
      <c r="D14" s="1810" t="e">
        <f>SUM('UO 1:UO 3'!D14)</f>
        <v>#REF!</v>
      </c>
      <c r="E14" s="1061" t="e">
        <f>SUM('UO 1:UO 3'!E14)</f>
        <v>#REF!</v>
      </c>
      <c r="F14" s="1061" t="e">
        <f>SUM('UO 1:UO 3'!F14)</f>
        <v>#REF!</v>
      </c>
      <c r="G14" s="1061" t="e">
        <f>SUM('UO 1:UO 3'!G14)</f>
        <v>#REF!</v>
      </c>
      <c r="H14" s="1061" t="e">
        <f>SUM('UO 1:UO 3'!H14)</f>
        <v>#REF!</v>
      </c>
      <c r="I14" s="1061" t="e">
        <f>SUM('UO 1:UO 3'!I14)</f>
        <v>#REF!</v>
      </c>
      <c r="K14" s="179" t="s">
        <v>17</v>
      </c>
      <c r="L14" s="182"/>
      <c r="M14" s="1558" t="s">
        <v>79</v>
      </c>
      <c r="U14" s="1708"/>
      <c r="V14" s="1713"/>
    </row>
    <row r="15" spans="1:22">
      <c r="A15" s="17" t="str">
        <f t="shared" ref="A15:A65" si="0">+$H$6</f>
        <v>All</v>
      </c>
      <c r="B15" s="180" t="str">
        <f>IF('Mode Opératoire'!$I$1="Français",+'Cpte exploitation 1+2+3'!K15,'Cpte exploitation 1+2+3'!M15)</f>
        <v>Ventes Hors Groupe</v>
      </c>
      <c r="C15" s="183"/>
      <c r="D15" s="1061" t="e">
        <f>SUM('UO 1:UO 3'!D15)</f>
        <v>#REF!</v>
      </c>
      <c r="E15" s="1061" t="e">
        <f>SUM('UO 1:UO 3'!E15)</f>
        <v>#REF!</v>
      </c>
      <c r="F15" s="1061" t="e">
        <f>SUM('UO 1:UO 3'!F15)</f>
        <v>#REF!</v>
      </c>
      <c r="G15" s="1061" t="e">
        <f>SUM('UO 1:UO 3'!G15)</f>
        <v>#REF!</v>
      </c>
      <c r="H15" s="1061" t="e">
        <f>SUM('UO 1:UO 3'!H15)</f>
        <v>#REF!</v>
      </c>
      <c r="I15" s="1061" t="e">
        <f>SUM('UO 1:UO 3'!I15)</f>
        <v>#REF!</v>
      </c>
      <c r="J15" s="451"/>
      <c r="K15" s="180" t="s">
        <v>19</v>
      </c>
      <c r="L15" s="183"/>
      <c r="M15" s="1559" t="s">
        <v>80</v>
      </c>
      <c r="U15" s="1708"/>
      <c r="V15" s="1713"/>
    </row>
    <row r="16" spans="1:22">
      <c r="B16" s="180" t="str">
        <f>IF('Mode Opératoire'!$I$1="Français",+'Cpte exploitation 1+2+3'!K16,'Cpte exploitation 1+2+3'!M16)</f>
        <v>Ventes GM</v>
      </c>
      <c r="C16" s="183"/>
      <c r="D16" s="1061" t="e">
        <f>SUM('UO 1:UO 3'!D16)</f>
        <v>#REF!</v>
      </c>
      <c r="E16" s="1061" t="e">
        <f>SUM('UO 1:UO 3'!E16)</f>
        <v>#REF!</v>
      </c>
      <c r="F16" s="1061" t="e">
        <f>SUM('UO 1:UO 3'!F16)</f>
        <v>#REF!</v>
      </c>
      <c r="G16" s="1061" t="e">
        <f>SUM('UO 1:UO 3'!G16)</f>
        <v>#REF!</v>
      </c>
      <c r="H16" s="1061" t="e">
        <f>SUM('UO 1:UO 3'!H16)</f>
        <v>#REF!</v>
      </c>
      <c r="I16" s="1061" t="e">
        <f>SUM('UO 1:UO 3'!I16)</f>
        <v>#REF!</v>
      </c>
      <c r="J16" s="451"/>
      <c r="K16" s="180" t="s">
        <v>948</v>
      </c>
      <c r="L16" s="183"/>
      <c r="M16" s="1559" t="s">
        <v>952</v>
      </c>
      <c r="U16" s="1708"/>
      <c r="V16" s="1713"/>
    </row>
    <row r="17" spans="1:22">
      <c r="B17" s="180" t="str">
        <f>IF('Mode Opératoire'!$I$1="Français",+'Cpte exploitation 1+2+3'!K17,'Cpte exploitation 1+2+3'!M17)</f>
        <v>Ventes RZD</v>
      </c>
      <c r="C17" s="183"/>
      <c r="D17" s="1061" t="e">
        <f>SUM('UO 1:UO 3'!D17)</f>
        <v>#REF!</v>
      </c>
      <c r="E17" s="1061" t="e">
        <f>SUM('UO 1:UO 3'!E17)</f>
        <v>#REF!</v>
      </c>
      <c r="F17" s="1061" t="e">
        <f>SUM('UO 1:UO 3'!F17)</f>
        <v>#REF!</v>
      </c>
      <c r="G17" s="1061" t="e">
        <f>SUM('UO 1:UO 3'!G17)</f>
        <v>#REF!</v>
      </c>
      <c r="H17" s="1061" t="e">
        <f>SUM('UO 1:UO 3'!H17)</f>
        <v>#REF!</v>
      </c>
      <c r="I17" s="1061" t="e">
        <f>SUM('UO 1:UO 3'!I17)</f>
        <v>#REF!</v>
      </c>
      <c r="J17" s="451"/>
      <c r="K17" s="180" t="s">
        <v>950</v>
      </c>
      <c r="L17" s="183"/>
      <c r="M17" s="1559" t="s">
        <v>951</v>
      </c>
      <c r="U17" s="1708"/>
      <c r="V17" s="1713"/>
    </row>
    <row r="18" spans="1:22">
      <c r="A18" s="17" t="str">
        <f t="shared" si="0"/>
        <v>All</v>
      </c>
      <c r="B18" s="180" t="str">
        <f>IF('Mode Opératoire'!$I$1="Français",+'Cpte exploitation 1+2+3'!K18,'Cpte exploitation 1+2+3'!M18)</f>
        <v>Ventes Gefco</v>
      </c>
      <c r="C18" s="183"/>
      <c r="D18" s="1061" t="e">
        <f>SUM('UO 1:UO 3'!D18)</f>
        <v>#REF!</v>
      </c>
      <c r="E18" s="1061" t="e">
        <f>SUM('UO 1:UO 3'!E18)</f>
        <v>#REF!</v>
      </c>
      <c r="F18" s="1061" t="e">
        <f>SUM('UO 1:UO 3'!F18)</f>
        <v>#REF!</v>
      </c>
      <c r="G18" s="1061" t="e">
        <f>SUM('UO 1:UO 3'!G18)</f>
        <v>#REF!</v>
      </c>
      <c r="H18" s="1061" t="e">
        <f>SUM('UO 1:UO 3'!H18)</f>
        <v>#REF!</v>
      </c>
      <c r="I18" s="1061" t="e">
        <f>SUM('UO 1:UO 3'!I18)</f>
        <v>#REF!</v>
      </c>
      <c r="J18" s="451"/>
      <c r="K18" s="180" t="s">
        <v>45</v>
      </c>
      <c r="L18" s="183"/>
      <c r="M18" s="1559" t="s">
        <v>81</v>
      </c>
      <c r="U18" s="1708"/>
      <c r="V18" s="1713"/>
    </row>
    <row r="19" spans="1:22">
      <c r="A19" s="17" t="str">
        <f t="shared" si="0"/>
        <v>All</v>
      </c>
      <c r="B19" s="181" t="str">
        <f>IF('Mode Opératoire'!$I$1="Français",+'Cpte exploitation 1+2+3'!K19,'Cpte exploitation 1+2+3'!M19)</f>
        <v>Total ventes externes</v>
      </c>
      <c r="C19" s="184"/>
      <c r="D19" s="1062" t="e">
        <f t="shared" ref="D19:I19" si="1">SUM(D14:D18)</f>
        <v>#REF!</v>
      </c>
      <c r="E19" s="1062" t="e">
        <f t="shared" si="1"/>
        <v>#REF!</v>
      </c>
      <c r="F19" s="1062" t="e">
        <f t="shared" si="1"/>
        <v>#REF!</v>
      </c>
      <c r="G19" s="1062" t="e">
        <f t="shared" si="1"/>
        <v>#REF!</v>
      </c>
      <c r="H19" s="1062" t="e">
        <f t="shared" si="1"/>
        <v>#REF!</v>
      </c>
      <c r="I19" s="1062" t="e">
        <f t="shared" si="1"/>
        <v>#REF!</v>
      </c>
      <c r="K19" s="181" t="s">
        <v>149</v>
      </c>
      <c r="L19" s="184"/>
      <c r="M19" s="1560" t="s">
        <v>150</v>
      </c>
      <c r="U19" s="1708"/>
      <c r="V19" s="1713"/>
    </row>
    <row r="20" spans="1:22">
      <c r="A20" s="17" t="str">
        <f t="shared" si="0"/>
        <v>All</v>
      </c>
      <c r="B20" s="179" t="str">
        <f>IF('Mode Opératoire'!$I$1="Français",+'Cpte exploitation 1+2+3'!K20,'Cpte exploitation 1+2+3'!M20)</f>
        <v xml:space="preserve">Achats </v>
      </c>
      <c r="C20" s="182"/>
      <c r="D20" s="1061" t="e">
        <f>SUM('UO 1:UO 3'!D20)</f>
        <v>#REF!</v>
      </c>
      <c r="E20" s="1061" t="e">
        <f>SUM('UO 1:UO 3'!E20)</f>
        <v>#REF!</v>
      </c>
      <c r="F20" s="1061" t="e">
        <f>SUM('UO 1:UO 3'!F20)</f>
        <v>#REF!</v>
      </c>
      <c r="G20" s="1061" t="e">
        <f>SUM('UO 1:UO 3'!G20)</f>
        <v>#REF!</v>
      </c>
      <c r="H20" s="1061" t="e">
        <f>SUM('UO 1:UO 3'!H20)</f>
        <v>#REF!</v>
      </c>
      <c r="I20" s="1061" t="e">
        <f>SUM('UO 1:UO 3'!I20)</f>
        <v>#REF!</v>
      </c>
      <c r="K20" s="179" t="s">
        <v>44</v>
      </c>
      <c r="L20" s="182"/>
      <c r="M20" s="1561" t="s">
        <v>82</v>
      </c>
      <c r="U20" s="1708"/>
      <c r="V20" s="1713"/>
    </row>
    <row r="21" spans="1:22">
      <c r="A21" s="17" t="str">
        <f t="shared" si="0"/>
        <v>All</v>
      </c>
      <c r="B21" s="181" t="str">
        <f>IF('Mode Opératoire'!$I$1="Français",+'Cpte exploitation 1+2+3'!K21,'Cpte exploitation 1+2+3'!M21)</f>
        <v xml:space="preserve">Total achats </v>
      </c>
      <c r="C21" s="184"/>
      <c r="D21" s="1062" t="e">
        <f t="shared" ref="D21:I21" si="2">SUM(D20:D20)</f>
        <v>#REF!</v>
      </c>
      <c r="E21" s="1062" t="e">
        <f t="shared" si="2"/>
        <v>#REF!</v>
      </c>
      <c r="F21" s="1062" t="e">
        <f t="shared" si="2"/>
        <v>#REF!</v>
      </c>
      <c r="G21" s="1062" t="e">
        <f t="shared" si="2"/>
        <v>#REF!</v>
      </c>
      <c r="H21" s="1062" t="e">
        <f t="shared" si="2"/>
        <v>#REF!</v>
      </c>
      <c r="I21" s="1062" t="e">
        <f t="shared" si="2"/>
        <v>#REF!</v>
      </c>
      <c r="K21" s="181" t="s">
        <v>118</v>
      </c>
      <c r="L21" s="184"/>
      <c r="M21" s="1562" t="s">
        <v>82</v>
      </c>
      <c r="U21" s="1708"/>
      <c r="V21" s="1713"/>
    </row>
    <row r="22" spans="1:22">
      <c r="A22" s="17" t="str">
        <f t="shared" si="0"/>
        <v>All</v>
      </c>
      <c r="B22" s="190" t="str">
        <f>IF('Mode Opératoire'!$I$1="Français",+'Cpte exploitation 1+2+3'!K22,'Cpte exploitation 1+2+3'!M22)</f>
        <v>Marge commerciale</v>
      </c>
      <c r="C22" s="198"/>
      <c r="D22" s="193" t="e">
        <f t="shared" ref="D22:I22" si="3">+D19+D21</f>
        <v>#REF!</v>
      </c>
      <c r="E22" s="195" t="e">
        <f t="shared" si="3"/>
        <v>#REF!</v>
      </c>
      <c r="F22" s="193" t="e">
        <f t="shared" si="3"/>
        <v>#REF!</v>
      </c>
      <c r="G22" s="193" t="e">
        <f t="shared" si="3"/>
        <v>#REF!</v>
      </c>
      <c r="H22" s="193" t="e">
        <f t="shared" si="3"/>
        <v>#REF!</v>
      </c>
      <c r="I22" s="193" t="e">
        <f t="shared" si="3"/>
        <v>#REF!</v>
      </c>
      <c r="K22" s="190" t="s">
        <v>21</v>
      </c>
      <c r="L22" s="198"/>
      <c r="M22" s="1563" t="s">
        <v>83</v>
      </c>
      <c r="U22" s="1708"/>
      <c r="V22" s="1713"/>
    </row>
    <row r="23" spans="1:22" s="124" customFormat="1" ht="13.5">
      <c r="A23" s="17" t="str">
        <f t="shared" si="0"/>
        <v>All</v>
      </c>
      <c r="B23" s="200" t="str">
        <f>IF('Mode Opératoire'!$I$1="Français",+'Cpte exploitation 1+2+3'!K23,'Cpte exploitation 1+2+3'!M23)</f>
        <v>% des ventes</v>
      </c>
      <c r="C23" s="201"/>
      <c r="D23" s="194" t="e">
        <f t="shared" ref="D23:I23" si="4">IF(D$19&lt;&gt;0,D22/D$19,0)</f>
        <v>#REF!</v>
      </c>
      <c r="E23" s="196" t="e">
        <f t="shared" si="4"/>
        <v>#REF!</v>
      </c>
      <c r="F23" s="194" t="e">
        <f t="shared" si="4"/>
        <v>#REF!</v>
      </c>
      <c r="G23" s="194" t="e">
        <f t="shared" si="4"/>
        <v>#REF!</v>
      </c>
      <c r="H23" s="194" t="e">
        <f t="shared" si="4"/>
        <v>#REF!</v>
      </c>
      <c r="I23" s="194" t="e">
        <f t="shared" si="4"/>
        <v>#REF!</v>
      </c>
      <c r="K23" s="200" t="s">
        <v>68</v>
      </c>
      <c r="L23" s="201"/>
      <c r="M23" s="1564" t="s">
        <v>84</v>
      </c>
      <c r="U23" s="1709"/>
      <c r="V23" s="1714"/>
    </row>
    <row r="24" spans="1:22">
      <c r="A24" s="17" t="str">
        <f t="shared" si="0"/>
        <v>All</v>
      </c>
      <c r="B24" s="204" t="str">
        <f>IF('Mode Opératoire'!$I$1="Français",+'Cpte exploitation 1+2+3'!K24,'Cpte exploitation 1+2+3'!M24)</f>
        <v xml:space="preserve">Différence de change </v>
      </c>
      <c r="C24" s="206"/>
      <c r="D24" s="1061">
        <f>SUM('UO 1:UO 3'!D24)</f>
        <v>0</v>
      </c>
      <c r="E24" s="1061">
        <f>SUM('UO 1:UO 3'!E24)</f>
        <v>0</v>
      </c>
      <c r="F24" s="1061">
        <f>SUM('UO 1:UO 3'!F24)</f>
        <v>0</v>
      </c>
      <c r="G24" s="1061">
        <f>SUM('UO 1:UO 3'!G24)</f>
        <v>0</v>
      </c>
      <c r="H24" s="1061">
        <f>SUM('UO 1:UO 3'!H24)</f>
        <v>0</v>
      </c>
      <c r="I24" s="1061">
        <f>SUM('UO 1:UO 3'!I24)</f>
        <v>0</v>
      </c>
      <c r="K24" s="204" t="s">
        <v>189</v>
      </c>
      <c r="L24" s="206"/>
      <c r="M24" s="1565" t="s">
        <v>841</v>
      </c>
      <c r="U24" s="1708"/>
      <c r="V24" s="1713"/>
    </row>
    <row r="25" spans="1:22">
      <c r="A25" s="17" t="str">
        <f t="shared" si="0"/>
        <v>All</v>
      </c>
      <c r="B25" s="190" t="str">
        <f>IF('Mode Opératoire'!$I$1="Français",+'Cpte exploitation 1+2+3'!K25,'Cpte exploitation 1+2+3'!M25)</f>
        <v>Résultat brut Commercial</v>
      </c>
      <c r="C25" s="198"/>
      <c r="D25" s="193" t="e">
        <f t="shared" ref="D25:I25" si="5">+D22+D24</f>
        <v>#REF!</v>
      </c>
      <c r="E25" s="195" t="e">
        <f t="shared" si="5"/>
        <v>#REF!</v>
      </c>
      <c r="F25" s="193" t="e">
        <f t="shared" si="5"/>
        <v>#REF!</v>
      </c>
      <c r="G25" s="193" t="e">
        <f t="shared" si="5"/>
        <v>#REF!</v>
      </c>
      <c r="H25" s="193" t="e">
        <f t="shared" si="5"/>
        <v>#REF!</v>
      </c>
      <c r="I25" s="193" t="e">
        <f t="shared" si="5"/>
        <v>#REF!</v>
      </c>
      <c r="K25" s="190" t="s">
        <v>186</v>
      </c>
      <c r="L25" s="198"/>
      <c r="M25" s="1566" t="s">
        <v>194</v>
      </c>
      <c r="U25" s="1708"/>
      <c r="V25" s="1713"/>
    </row>
    <row r="26" spans="1:22" s="124" customFormat="1" ht="13.5">
      <c r="A26" s="17" t="str">
        <f t="shared" si="0"/>
        <v>All</v>
      </c>
      <c r="B26" s="191" t="str">
        <f>IF('Mode Opératoire'!$I$1="Français",+'Cpte exploitation 1+2+3'!K26,'Cpte exploitation 1+2+3'!M26)</f>
        <v>% des ventes</v>
      </c>
      <c r="C26" s="199"/>
      <c r="D26" s="194" t="e">
        <f t="shared" ref="D26:I26" si="6">IF(D$19&lt;&gt;0,D25/D$19,0)</f>
        <v>#REF!</v>
      </c>
      <c r="E26" s="196" t="e">
        <f t="shared" si="6"/>
        <v>#REF!</v>
      </c>
      <c r="F26" s="194" t="e">
        <f t="shared" si="6"/>
        <v>#REF!</v>
      </c>
      <c r="G26" s="194" t="e">
        <f t="shared" si="6"/>
        <v>#REF!</v>
      </c>
      <c r="H26" s="194" t="e">
        <f t="shared" si="6"/>
        <v>#REF!</v>
      </c>
      <c r="I26" s="194" t="e">
        <f t="shared" si="6"/>
        <v>#REF!</v>
      </c>
      <c r="K26" s="191" t="s">
        <v>68</v>
      </c>
      <c r="L26" s="199"/>
      <c r="M26" s="1567" t="s">
        <v>84</v>
      </c>
      <c r="U26" s="1709"/>
      <c r="V26" s="1714"/>
    </row>
    <row r="27" spans="1:22">
      <c r="A27" s="17" t="str">
        <f t="shared" si="0"/>
        <v>All</v>
      </c>
      <c r="B27" s="208" t="str">
        <f>IF('Mode Opératoire'!$I$1="Français",+'Cpte exploitation 1+2+3'!K27,'Cpte exploitation 1+2+3'!M27)</f>
        <v>Salaires et Charges</v>
      </c>
      <c r="C27" s="2825"/>
      <c r="D27" s="1061" t="e">
        <f>SUM('UO 1:UO 3'!D27)</f>
        <v>#REF!</v>
      </c>
      <c r="E27" s="1061" t="e">
        <f>SUM('UO 1:UO 3'!E27)</f>
        <v>#REF!</v>
      </c>
      <c r="F27" s="1061" t="e">
        <f>SUM('UO 1:UO 3'!F27)</f>
        <v>#REF!</v>
      </c>
      <c r="G27" s="1061" t="e">
        <f>SUM('UO 1:UO 3'!G27)</f>
        <v>#REF!</v>
      </c>
      <c r="H27" s="1061" t="e">
        <f>SUM('UO 1:UO 3'!H27)</f>
        <v>#REF!</v>
      </c>
      <c r="I27" s="1061" t="e">
        <f>SUM('UO 1:UO 3'!I27)</f>
        <v>#REF!</v>
      </c>
      <c r="K27" s="208" t="s">
        <v>43</v>
      </c>
      <c r="L27" s="2825"/>
      <c r="M27" s="1559" t="s">
        <v>842</v>
      </c>
      <c r="U27" s="1708"/>
      <c r="V27" s="1713"/>
    </row>
    <row r="28" spans="1:22">
      <c r="A28" s="17" t="str">
        <f t="shared" si="0"/>
        <v>All</v>
      </c>
      <c r="B28" s="208" t="str">
        <f>IF('Mode Opératoire'!$I$1="Français",+'Cpte exploitation 1+2+3'!K28,'Cpte exploitation 1+2+3'!M28)</f>
        <v>Provisions pour primes</v>
      </c>
      <c r="C28" s="2826"/>
      <c r="D28" s="1061" t="e">
        <f>SUM('UO 1:UO 3'!D28)</f>
        <v>#REF!</v>
      </c>
      <c r="E28" s="1061" t="e">
        <f>SUM('UO 1:UO 3'!E28)</f>
        <v>#REF!</v>
      </c>
      <c r="F28" s="1061" t="e">
        <f>SUM('UO 1:UO 3'!F28)</f>
        <v>#REF!</v>
      </c>
      <c r="G28" s="1061" t="e">
        <f>SUM('UO 1:UO 3'!G28)</f>
        <v>#REF!</v>
      </c>
      <c r="H28" s="1061" t="e">
        <f>SUM('UO 1:UO 3'!H28)</f>
        <v>#REF!</v>
      </c>
      <c r="I28" s="1061" t="e">
        <f>SUM('UO 1:UO 3'!I28)</f>
        <v>#REF!</v>
      </c>
      <c r="K28" s="208" t="s">
        <v>480</v>
      </c>
      <c r="L28" s="2826"/>
      <c r="M28" s="1559" t="s">
        <v>797</v>
      </c>
      <c r="U28" s="1708"/>
      <c r="V28" s="1713"/>
    </row>
    <row r="29" spans="1:22">
      <c r="A29" s="17" t="str">
        <f t="shared" si="0"/>
        <v>All</v>
      </c>
      <c r="B29" s="208" t="str">
        <f>IF('Mode Opératoire'!$I$1="Français",+'Cpte exploitation 1+2+3'!K29,'Cpte exploitation 1+2+3'!M29)</f>
        <v>Frais d'embauche</v>
      </c>
      <c r="C29" s="2826"/>
      <c r="D29" s="1061" t="e">
        <f>SUM('UO 1:UO 3'!D29)</f>
        <v>#REF!</v>
      </c>
      <c r="E29" s="1061" t="e">
        <f>SUM('UO 1:UO 3'!E29)</f>
        <v>#REF!</v>
      </c>
      <c r="F29" s="1061" t="e">
        <f>SUM('UO 1:UO 3'!F29)</f>
        <v>#REF!</v>
      </c>
      <c r="G29" s="1061" t="e">
        <f>SUM('UO 1:UO 3'!G29)</f>
        <v>#REF!</v>
      </c>
      <c r="H29" s="1061" t="e">
        <f>SUM('UO 1:UO 3'!H29)</f>
        <v>#REF!</v>
      </c>
      <c r="I29" s="1061" t="e">
        <f>SUM('UO 1:UO 3'!I29)</f>
        <v>#REF!</v>
      </c>
      <c r="K29" s="208" t="s">
        <v>423</v>
      </c>
      <c r="L29" s="2826"/>
      <c r="M29" s="1559" t="s">
        <v>227</v>
      </c>
      <c r="U29" s="1708"/>
      <c r="V29" s="1713"/>
    </row>
    <row r="30" spans="1:22">
      <c r="A30" s="17" t="str">
        <f t="shared" si="0"/>
        <v>All</v>
      </c>
      <c r="B30" s="208" t="str">
        <f>IF('Mode Opératoire'!$I$1="Français",+'Cpte exploitation 1+2+3'!K30,'Cpte exploitation 1+2+3'!M30)</f>
        <v>Intérim</v>
      </c>
      <c r="C30" s="2826"/>
      <c r="D30" s="1061" t="e">
        <f>SUM('UO 1:UO 3'!D30)</f>
        <v>#REF!</v>
      </c>
      <c r="E30" s="1061" t="e">
        <f>SUM('UO 1:UO 3'!E30)</f>
        <v>#REF!</v>
      </c>
      <c r="F30" s="1061" t="e">
        <f>SUM('UO 1:UO 3'!F30)</f>
        <v>#REF!</v>
      </c>
      <c r="G30" s="1061" t="e">
        <f>SUM('UO 1:UO 3'!G30)</f>
        <v>#REF!</v>
      </c>
      <c r="H30" s="1061" t="e">
        <f>SUM('UO 1:UO 3'!H30)</f>
        <v>#REF!</v>
      </c>
      <c r="I30" s="1061" t="e">
        <f>SUM('UO 1:UO 3'!I30)</f>
        <v>#REF!</v>
      </c>
      <c r="K30" s="208" t="s">
        <v>76</v>
      </c>
      <c r="L30" s="2826"/>
      <c r="M30" s="1559" t="s">
        <v>87</v>
      </c>
      <c r="U30" s="1708"/>
      <c r="V30" s="1713"/>
    </row>
    <row r="31" spans="1:22">
      <c r="A31" s="17" t="str">
        <f t="shared" si="0"/>
        <v>All</v>
      </c>
      <c r="B31" s="208" t="str">
        <f>IF('Mode Opératoire'!$I$1="Français",+'Cpte exploitation 1+2+3'!K31,'Cpte exploitation 1+2+3'!M31)</f>
        <v xml:space="preserve">Formation </v>
      </c>
      <c r="C31" s="2826"/>
      <c r="D31" s="1061" t="e">
        <f>SUM('UO 1:UO 3'!D31)</f>
        <v>#REF!</v>
      </c>
      <c r="E31" s="1061" t="e">
        <f>SUM('UO 1:UO 3'!E31)</f>
        <v>#REF!</v>
      </c>
      <c r="F31" s="1061" t="e">
        <f>SUM('UO 1:UO 3'!F31)</f>
        <v>#REF!</v>
      </c>
      <c r="G31" s="1061" t="e">
        <f>SUM('UO 1:UO 3'!G31)</f>
        <v>#REF!</v>
      </c>
      <c r="H31" s="1061" t="e">
        <f>SUM('UO 1:UO 3'!H31)</f>
        <v>#REF!</v>
      </c>
      <c r="I31" s="1061" t="e">
        <f>SUM('UO 1:UO 3'!I31)</f>
        <v>#REF!</v>
      </c>
      <c r="K31" s="208" t="s">
        <v>86</v>
      </c>
      <c r="L31" s="2826"/>
      <c r="M31" s="1559" t="s">
        <v>88</v>
      </c>
      <c r="U31" s="1708"/>
      <c r="V31" s="1713"/>
    </row>
    <row r="32" spans="1:22">
      <c r="A32" s="17" t="str">
        <f t="shared" si="0"/>
        <v>All</v>
      </c>
      <c r="B32" s="208" t="str">
        <f>IF('Mode Opératoire'!$I$1="Français",+'Cpte exploitation 1+2+3'!K32,'Cpte exploitation 1+2+3'!M32)</f>
        <v>Cantine</v>
      </c>
      <c r="C32" s="2826"/>
      <c r="D32" s="1061" t="e">
        <f>SUM('UO 1:UO 3'!D32)</f>
        <v>#REF!</v>
      </c>
      <c r="E32" s="1061" t="e">
        <f>SUM('UO 1:UO 3'!E32)</f>
        <v>#REF!</v>
      </c>
      <c r="F32" s="1061" t="e">
        <f>SUM('UO 1:UO 3'!F32)</f>
        <v>#REF!</v>
      </c>
      <c r="G32" s="1061" t="e">
        <f>SUM('UO 1:UO 3'!G32)</f>
        <v>#REF!</v>
      </c>
      <c r="H32" s="1061" t="e">
        <f>SUM('UO 1:UO 3'!H32)</f>
        <v>#REF!</v>
      </c>
      <c r="I32" s="1061" t="e">
        <f>SUM('UO 1:UO 3'!I32)</f>
        <v>#REF!</v>
      </c>
      <c r="K32" s="208" t="s">
        <v>376</v>
      </c>
      <c r="L32" s="2826"/>
      <c r="M32" s="1559" t="s">
        <v>376</v>
      </c>
      <c r="U32" s="1708"/>
      <c r="V32" s="1713"/>
    </row>
    <row r="33" spans="1:22">
      <c r="A33" s="17" t="str">
        <f t="shared" si="0"/>
        <v>All</v>
      </c>
      <c r="B33" s="208" t="str">
        <f>IF('Mode Opératoire'!$I$1="Français",+'Cpte exploitation 1+2+3'!K33,'Cpte exploitation 1+2+3'!M33)</f>
        <v>Autres frais de personnel</v>
      </c>
      <c r="C33" s="2827"/>
      <c r="D33" s="1061" t="e">
        <f>SUM('UO 1:UO 3'!D33)</f>
        <v>#REF!</v>
      </c>
      <c r="E33" s="1061" t="e">
        <f>SUM('UO 1:UO 3'!E33)</f>
        <v>#REF!</v>
      </c>
      <c r="F33" s="1061" t="e">
        <f>SUM('UO 1:UO 3'!F33)</f>
        <v>#REF!</v>
      </c>
      <c r="G33" s="1061" t="e">
        <f>SUM('UO 1:UO 3'!G33)</f>
        <v>#REF!</v>
      </c>
      <c r="H33" s="1061" t="e">
        <f>SUM('UO 1:UO 3'!H33)</f>
        <v>#REF!</v>
      </c>
      <c r="I33" s="1061" t="e">
        <f>SUM('UO 1:UO 3'!I33)</f>
        <v>#REF!</v>
      </c>
      <c r="K33" s="208" t="s">
        <v>46</v>
      </c>
      <c r="L33" s="2827"/>
      <c r="M33" s="1559" t="s">
        <v>103</v>
      </c>
      <c r="U33" s="1708"/>
      <c r="V33" s="1713"/>
    </row>
    <row r="34" spans="1:22">
      <c r="A34" s="17" t="str">
        <f t="shared" si="0"/>
        <v>All</v>
      </c>
      <c r="B34" s="233" t="str">
        <f>IF('Mode Opératoire'!$I$1="Français",+'Cpte exploitation 1+2+3'!K34,'Cpte exploitation 1+2+3'!M34)</f>
        <v>Frais de personnel</v>
      </c>
      <c r="C34" s="234"/>
      <c r="D34" s="1068" t="e">
        <f t="shared" ref="D34:I34" si="7">SUM(D27:D33)</f>
        <v>#REF!</v>
      </c>
      <c r="E34" s="1069" t="e">
        <f t="shared" si="7"/>
        <v>#REF!</v>
      </c>
      <c r="F34" s="1068" t="e">
        <f t="shared" si="7"/>
        <v>#REF!</v>
      </c>
      <c r="G34" s="1068" t="e">
        <f t="shared" si="7"/>
        <v>#REF!</v>
      </c>
      <c r="H34" s="1068" t="e">
        <f t="shared" si="7"/>
        <v>#REF!</v>
      </c>
      <c r="I34" s="1068" t="e">
        <f t="shared" si="7"/>
        <v>#REF!</v>
      </c>
      <c r="K34" s="233" t="s">
        <v>117</v>
      </c>
      <c r="L34" s="234"/>
      <c r="M34" s="1568" t="s">
        <v>89</v>
      </c>
      <c r="U34" s="1708"/>
      <c r="V34" s="1713"/>
    </row>
    <row r="35" spans="1:22">
      <c r="A35" s="17" t="str">
        <f t="shared" si="0"/>
        <v>All</v>
      </c>
      <c r="B35" s="208" t="str">
        <f>IF('Mode Opératoire'!$I$1="Français",+'Cpte exploitation 1+2+3'!K35,'Cpte exploitation 1+2+3'!M35)</f>
        <v>Amortissements d'exploitation</v>
      </c>
      <c r="C35" s="222"/>
      <c r="D35" s="1061" t="e">
        <f>SUM('UO 1:UO 3'!D35)</f>
        <v>#REF!</v>
      </c>
      <c r="E35" s="1061" t="e">
        <f>SUM('UO 1:UO 3'!E35)</f>
        <v>#REF!</v>
      </c>
      <c r="F35" s="1061" t="e">
        <f>SUM('UO 1:UO 3'!F35)</f>
        <v>#REF!</v>
      </c>
      <c r="G35" s="1061" t="e">
        <f>SUM('UO 1:UO 3'!G35)</f>
        <v>#REF!</v>
      </c>
      <c r="H35" s="1061" t="e">
        <f>SUM('UO 1:UO 3'!H35)</f>
        <v>#REF!</v>
      </c>
      <c r="I35" s="1061" t="e">
        <f>SUM('UO 1:UO 3'!I35)</f>
        <v>#REF!</v>
      </c>
      <c r="K35" s="208" t="s">
        <v>128</v>
      </c>
      <c r="L35" s="222"/>
      <c r="M35" s="1559" t="s">
        <v>104</v>
      </c>
      <c r="U35" s="1708"/>
      <c r="V35" s="1713"/>
    </row>
    <row r="36" spans="1:22" s="23" customFormat="1">
      <c r="A36" s="17" t="str">
        <f t="shared" si="0"/>
        <v>All</v>
      </c>
      <c r="B36" s="208" t="str">
        <f>IF('Mode Opératoire'!$I$1="Français",+'Cpte exploitation 1+2+3'!K36,'Cpte exploitation 1+2+3'!M36)</f>
        <v>Location d'engins</v>
      </c>
      <c r="C36" s="222"/>
      <c r="D36" s="1061" t="e">
        <f>SUM('UO 1:UO 3'!D36)</f>
        <v>#REF!</v>
      </c>
      <c r="E36" s="1061" t="e">
        <f>SUM('UO 1:UO 3'!E36)</f>
        <v>#REF!</v>
      </c>
      <c r="F36" s="1061" t="e">
        <f>SUM('UO 1:UO 3'!F36)</f>
        <v>#REF!</v>
      </c>
      <c r="G36" s="1061" t="e">
        <f>SUM('UO 1:UO 3'!G36)</f>
        <v>#REF!</v>
      </c>
      <c r="H36" s="1061" t="e">
        <f>SUM('UO 1:UO 3'!H36)</f>
        <v>#REF!</v>
      </c>
      <c r="I36" s="1061" t="e">
        <f>SUM('UO 1:UO 3'!I36)</f>
        <v>#REF!</v>
      </c>
      <c r="K36" s="208" t="s">
        <v>47</v>
      </c>
      <c r="L36" s="222"/>
      <c r="M36" s="1559" t="s">
        <v>105</v>
      </c>
      <c r="U36" s="1710"/>
      <c r="V36" s="1715"/>
    </row>
    <row r="37" spans="1:22">
      <c r="A37" s="17" t="str">
        <f t="shared" si="0"/>
        <v>All</v>
      </c>
      <c r="B37" s="208" t="str">
        <f>IF('Mode Opératoire'!$I$1="Français",+'Cpte exploitation 1+2+3'!K37,'Cpte exploitation 1+2+3'!M37)</f>
        <v>Achat de petits matériels</v>
      </c>
      <c r="C37" s="222"/>
      <c r="D37" s="1061" t="e">
        <f>SUM('UO 1:UO 3'!D37)</f>
        <v>#REF!</v>
      </c>
      <c r="E37" s="1061" t="e">
        <f>SUM('UO 1:UO 3'!E37)</f>
        <v>#REF!</v>
      </c>
      <c r="F37" s="1061" t="e">
        <f>SUM('UO 1:UO 3'!F37)</f>
        <v>#REF!</v>
      </c>
      <c r="G37" s="1061" t="e">
        <f>SUM('UO 1:UO 3'!G37)</f>
        <v>#REF!</v>
      </c>
      <c r="H37" s="1061" t="e">
        <f>SUM('UO 1:UO 3'!H37)</f>
        <v>#REF!</v>
      </c>
      <c r="I37" s="1061" t="e">
        <f>SUM('UO 1:UO 3'!I37)</f>
        <v>#REF!</v>
      </c>
      <c r="J37" s="35"/>
      <c r="K37" s="208" t="s">
        <v>48</v>
      </c>
      <c r="L37" s="222"/>
      <c r="M37" s="1559" t="s">
        <v>106</v>
      </c>
      <c r="U37" s="1708"/>
      <c r="V37" s="1713"/>
    </row>
    <row r="38" spans="1:22">
      <c r="A38" s="17" t="str">
        <f t="shared" si="0"/>
        <v>All</v>
      </c>
      <c r="B38" s="208" t="str">
        <f>IF('Mode Opératoire'!$I$1="Français",+'Cpte exploitation 1+2+3'!K38,'Cpte exploitation 1+2+3'!M38)</f>
        <v>Eau / EDF</v>
      </c>
      <c r="C38" s="222"/>
      <c r="D38" s="1061" t="e">
        <f>SUM('UO 1:UO 3'!D38)</f>
        <v>#REF!</v>
      </c>
      <c r="E38" s="1061" t="e">
        <f>SUM('UO 1:UO 3'!E38)</f>
        <v>#REF!</v>
      </c>
      <c r="F38" s="1061" t="e">
        <f>SUM('UO 1:UO 3'!F38)</f>
        <v>#REF!</v>
      </c>
      <c r="G38" s="1061" t="e">
        <f>SUM('UO 1:UO 3'!G38)</f>
        <v>#REF!</v>
      </c>
      <c r="H38" s="1061" t="e">
        <f>SUM('UO 1:UO 3'!H38)</f>
        <v>#REF!</v>
      </c>
      <c r="I38" s="1061" t="e">
        <f>SUM('UO 1:UO 3'!I38)</f>
        <v>#REF!</v>
      </c>
      <c r="J38" s="35"/>
      <c r="K38" s="208" t="s">
        <v>364</v>
      </c>
      <c r="L38" s="222"/>
      <c r="M38" s="1559" t="s">
        <v>737</v>
      </c>
      <c r="U38" s="1708"/>
      <c r="V38" s="1713"/>
    </row>
    <row r="39" spans="1:22">
      <c r="A39" s="17" t="str">
        <f t="shared" si="0"/>
        <v>All</v>
      </c>
      <c r="B39" s="208" t="str">
        <f>IF('Mode Opératoire'!$I$1="Français",+'Cpte exploitation 1+2+3'!K39,'Cpte exploitation 1+2+3'!M39)</f>
        <v>Frais déplacement + frais annexes</v>
      </c>
      <c r="C39" s="862"/>
      <c r="D39" s="1061" t="e">
        <f>SUM('UO 1:UO 3'!D39)</f>
        <v>#REF!</v>
      </c>
      <c r="E39" s="1061" t="e">
        <f>SUM('UO 1:UO 3'!E39)</f>
        <v>#REF!</v>
      </c>
      <c r="F39" s="1061" t="e">
        <f>SUM('UO 1:UO 3'!F39)</f>
        <v>#REF!</v>
      </c>
      <c r="G39" s="1061" t="e">
        <f>SUM('UO 1:UO 3'!G39)</f>
        <v>#REF!</v>
      </c>
      <c r="H39" s="1061" t="e">
        <f>SUM('UO 1:UO 3'!H39)</f>
        <v>#REF!</v>
      </c>
      <c r="I39" s="1061" t="e">
        <f>SUM('UO 1:UO 3'!I39)</f>
        <v>#REF!</v>
      </c>
      <c r="J39" s="35"/>
      <c r="K39" s="208" t="s">
        <v>481</v>
      </c>
      <c r="L39" s="862"/>
      <c r="M39" s="1559" t="s">
        <v>837</v>
      </c>
      <c r="U39" s="1708"/>
      <c r="V39" s="1713"/>
    </row>
    <row r="40" spans="1:22">
      <c r="A40" s="17" t="str">
        <f t="shared" si="0"/>
        <v>All</v>
      </c>
      <c r="B40" s="208" t="str">
        <f>IF('Mode Opératoire'!$I$1="Français",+'Cpte exploitation 1+2+3'!K40,'Cpte exploitation 1+2+3'!M40)</f>
        <v xml:space="preserve">Entretien et réparation </v>
      </c>
      <c r="C40" s="222"/>
      <c r="D40" s="1061" t="e">
        <f>SUM('UO 1:UO 3'!D40)</f>
        <v>#REF!</v>
      </c>
      <c r="E40" s="1061" t="e">
        <f>SUM('UO 1:UO 3'!E40)</f>
        <v>#REF!</v>
      </c>
      <c r="F40" s="1061" t="e">
        <f>SUM('UO 1:UO 3'!F40)</f>
        <v>#REF!</v>
      </c>
      <c r="G40" s="1061" t="e">
        <f>SUM('UO 1:UO 3'!G40)</f>
        <v>#REF!</v>
      </c>
      <c r="H40" s="1061" t="e">
        <f>SUM('UO 1:UO 3'!H40)</f>
        <v>#REF!</v>
      </c>
      <c r="I40" s="1061" t="e">
        <f>SUM('UO 1:UO 3'!I40)</f>
        <v>#REF!</v>
      </c>
      <c r="J40" s="35"/>
      <c r="K40" s="208" t="s">
        <v>49</v>
      </c>
      <c r="L40" s="222"/>
      <c r="M40" s="1559" t="s">
        <v>107</v>
      </c>
      <c r="U40" s="1708"/>
      <c r="V40" s="1713"/>
    </row>
    <row r="41" spans="1:22">
      <c r="A41" s="17" t="str">
        <f t="shared" si="0"/>
        <v>All</v>
      </c>
      <c r="B41" s="208" t="str">
        <f>IF('Mode Opératoire'!$I$1="Français",+'Cpte exploitation 1+2+3'!K41,'Cpte exploitation 1+2+3'!M41)</f>
        <v>Autres frais d'exploitation</v>
      </c>
      <c r="C41" s="222"/>
      <c r="D41" s="1061" t="e">
        <f>SUM('UO 1:UO 3'!D41)</f>
        <v>#REF!</v>
      </c>
      <c r="E41" s="1061" t="e">
        <f>SUM('UO 1:UO 3'!E41)</f>
        <v>#REF!</v>
      </c>
      <c r="F41" s="1061" t="e">
        <f>SUM('UO 1:UO 3'!F41)</f>
        <v>#REF!</v>
      </c>
      <c r="G41" s="1061" t="e">
        <f>SUM('UO 1:UO 3'!G41)</f>
        <v>#REF!</v>
      </c>
      <c r="H41" s="1061" t="e">
        <f>SUM('UO 1:UO 3'!H41)</f>
        <v>#REF!</v>
      </c>
      <c r="I41" s="1061" t="e">
        <f>SUM('UO 1:UO 3'!I41)</f>
        <v>#REF!</v>
      </c>
      <c r="K41" s="208" t="s">
        <v>50</v>
      </c>
      <c r="L41" s="222"/>
      <c r="M41" s="1559" t="s">
        <v>108</v>
      </c>
      <c r="U41" s="1708"/>
      <c r="V41" s="1713"/>
    </row>
    <row r="42" spans="1:22">
      <c r="A42" s="17" t="str">
        <f t="shared" si="0"/>
        <v>All</v>
      </c>
      <c r="B42" s="233" t="str">
        <f>IF('Mode Opératoire'!$I$1="Français",+'Cpte exploitation 1+2+3'!K42,'Cpte exploitation 1+2+3'!M42)</f>
        <v>Autres frais d'exploitation</v>
      </c>
      <c r="C42" s="234"/>
      <c r="D42" s="1068" t="e">
        <f t="shared" ref="D42:I42" si="8">SUM(D35:D41)</f>
        <v>#REF!</v>
      </c>
      <c r="E42" s="1069" t="e">
        <f t="shared" si="8"/>
        <v>#REF!</v>
      </c>
      <c r="F42" s="1068" t="e">
        <f t="shared" si="8"/>
        <v>#REF!</v>
      </c>
      <c r="G42" s="1068" t="e">
        <f t="shared" si="8"/>
        <v>#REF!</v>
      </c>
      <c r="H42" s="1068" t="e">
        <f t="shared" si="8"/>
        <v>#REF!</v>
      </c>
      <c r="I42" s="1068" t="e">
        <f t="shared" si="8"/>
        <v>#REF!</v>
      </c>
      <c r="K42" s="233" t="s">
        <v>50</v>
      </c>
      <c r="L42" s="234"/>
      <c r="M42" s="1568" t="s">
        <v>778</v>
      </c>
      <c r="U42" s="1708"/>
      <c r="V42" s="1713"/>
    </row>
    <row r="43" spans="1:22">
      <c r="A43" s="17" t="str">
        <f t="shared" si="0"/>
        <v>All</v>
      </c>
      <c r="B43" s="208" t="str">
        <f>IF('Mode Opératoire'!$I$1="Français",+'Cpte exploitation 1+2+3'!K43,'Cpte exploitation 1+2+3'!M43)</f>
        <v>Amortissements agence</v>
      </c>
      <c r="C43" s="222"/>
      <c r="D43" s="1061" t="e">
        <f>SUM('UO 1:UO 3'!D43)</f>
        <v>#REF!</v>
      </c>
      <c r="E43" s="1061" t="e">
        <f>SUM('UO 1:UO 3'!E43)</f>
        <v>#REF!</v>
      </c>
      <c r="F43" s="1061" t="e">
        <f>SUM('UO 1:UO 3'!F43)</f>
        <v>#REF!</v>
      </c>
      <c r="G43" s="1061" t="e">
        <f>SUM('UO 1:UO 3'!G43)</f>
        <v>#REF!</v>
      </c>
      <c r="H43" s="1061" t="e">
        <f>SUM('UO 1:UO 3'!H43)</f>
        <v>#REF!</v>
      </c>
      <c r="I43" s="1061" t="e">
        <f>SUM('UO 1:UO 3'!I43)</f>
        <v>#REF!</v>
      </c>
      <c r="J43" s="35"/>
      <c r="K43" s="208" t="s">
        <v>129</v>
      </c>
      <c r="L43" s="222"/>
      <c r="M43" s="1559" t="s">
        <v>109</v>
      </c>
      <c r="U43" s="1708"/>
      <c r="V43" s="1713"/>
    </row>
    <row r="44" spans="1:22">
      <c r="A44" s="17" t="str">
        <f t="shared" si="0"/>
        <v>All</v>
      </c>
      <c r="B44" s="208" t="str">
        <f>IF('Mode Opératoire'!$I$1="Français",+'Cpte exploitation 1+2+3'!K44,'Cpte exploitation 1+2+3'!M44)</f>
        <v>Entretien Batiments</v>
      </c>
      <c r="C44" s="222"/>
      <c r="D44" s="1061" t="e">
        <f>SUM('UO 1:UO 3'!D44)</f>
        <v>#REF!</v>
      </c>
      <c r="E44" s="1061" t="e">
        <f>SUM('UO 1:UO 3'!E44)</f>
        <v>#REF!</v>
      </c>
      <c r="F44" s="1061" t="e">
        <f>SUM('UO 1:UO 3'!F44)</f>
        <v>#REF!</v>
      </c>
      <c r="G44" s="1061" t="e">
        <f>SUM('UO 1:UO 3'!G44)</f>
        <v>#REF!</v>
      </c>
      <c r="H44" s="1061" t="e">
        <f>SUM('UO 1:UO 3'!H44)</f>
        <v>#REF!</v>
      </c>
      <c r="I44" s="1061" t="e">
        <f>SUM('UO 1:UO 3'!I44)</f>
        <v>#REF!</v>
      </c>
      <c r="K44" s="208" t="s">
        <v>51</v>
      </c>
      <c r="L44" s="222"/>
      <c r="M44" s="1559" t="s">
        <v>110</v>
      </c>
      <c r="U44" s="1708"/>
      <c r="V44" s="1713"/>
    </row>
    <row r="45" spans="1:22">
      <c r="A45" s="17" t="str">
        <f t="shared" si="0"/>
        <v>All</v>
      </c>
      <c r="B45" s="208" t="str">
        <f>IF('Mode Opératoire'!$I$1="Français",+'Cpte exploitation 1+2+3'!K45,'Cpte exploitation 1+2+3'!M45)</f>
        <v>Loyer</v>
      </c>
      <c r="C45" s="222"/>
      <c r="D45" s="1061" t="e">
        <f>SUM('UO 1:UO 3'!D45)</f>
        <v>#REF!</v>
      </c>
      <c r="E45" s="1061" t="e">
        <f>SUM('UO 1:UO 3'!E45)</f>
        <v>#REF!</v>
      </c>
      <c r="F45" s="1061" t="e">
        <f>SUM('UO 1:UO 3'!F45)</f>
        <v>#REF!</v>
      </c>
      <c r="G45" s="1061" t="e">
        <f>SUM('UO 1:UO 3'!G45)</f>
        <v>#REF!</v>
      </c>
      <c r="H45" s="1061" t="e">
        <f>SUM('UO 1:UO 3'!H45)</f>
        <v>#REF!</v>
      </c>
      <c r="I45" s="1061" t="e">
        <f>SUM('UO 1:UO 3'!I45)</f>
        <v>#REF!</v>
      </c>
      <c r="K45" s="208" t="s">
        <v>23</v>
      </c>
      <c r="L45" s="222"/>
      <c r="M45" s="1559" t="s">
        <v>111</v>
      </c>
      <c r="U45" s="1708"/>
      <c r="V45" s="1713"/>
    </row>
    <row r="46" spans="1:22">
      <c r="B46" s="208" t="str">
        <f>IF('Mode Opératoire'!$I$1="Français",+'Cpte exploitation 1+2+3'!K46,'Cpte exploitation 1+2+3'!M46)</f>
        <v>Coût de transfert</v>
      </c>
      <c r="C46" s="222"/>
      <c r="D46" s="1061" t="e">
        <f>SUM('UO 1:UO 3'!D46)</f>
        <v>#REF!</v>
      </c>
      <c r="E46" s="1061" t="e">
        <f>SUM('UO 1:UO 3'!E46)</f>
        <v>#REF!</v>
      </c>
      <c r="F46" s="1061" t="e">
        <f>SUM('UO 1:UO 3'!F46)</f>
        <v>#REF!</v>
      </c>
      <c r="G46" s="1061" t="e">
        <f>SUM('UO 1:UO 3'!G46)</f>
        <v>#REF!</v>
      </c>
      <c r="H46" s="1061" t="e">
        <f>SUM('UO 1:UO 3'!H46)</f>
        <v>#REF!</v>
      </c>
      <c r="I46" s="1061" t="e">
        <f>SUM('UO 1:UO 3'!I46)</f>
        <v>#REF!</v>
      </c>
      <c r="K46" s="208" t="s">
        <v>652</v>
      </c>
      <c r="L46" s="222"/>
      <c r="M46" s="1559" t="s">
        <v>735</v>
      </c>
      <c r="U46" s="1708"/>
      <c r="V46" s="1713"/>
    </row>
    <row r="47" spans="1:22">
      <c r="B47" s="208" t="str">
        <f>IF('Mode Opératoire'!$I$1="Français",+'Cpte exploitation 1+2+3'!K47,'Cpte exploitation 1+2+3'!M47)</f>
        <v>Locations diverses (hors immobilière)</v>
      </c>
      <c r="C47" s="222"/>
      <c r="D47" s="1061" t="e">
        <f>SUM('UO 1:UO 3'!D47)</f>
        <v>#REF!</v>
      </c>
      <c r="E47" s="1061" t="e">
        <f>SUM('UO 1:UO 3'!E47)</f>
        <v>#REF!</v>
      </c>
      <c r="F47" s="1061" t="e">
        <f>SUM('UO 1:UO 3'!F47)</f>
        <v>#REF!</v>
      </c>
      <c r="G47" s="1061" t="e">
        <f>SUM('UO 1:UO 3'!G47)</f>
        <v>#REF!</v>
      </c>
      <c r="H47" s="1061" t="e">
        <f>SUM('UO 1:UO 3'!H47)</f>
        <v>#REF!</v>
      </c>
      <c r="I47" s="1061" t="e">
        <f>SUM('UO 1:UO 3'!I47)</f>
        <v>#REF!</v>
      </c>
      <c r="K47" s="208" t="s">
        <v>641</v>
      </c>
      <c r="L47" s="222"/>
      <c r="M47" s="1559" t="s">
        <v>736</v>
      </c>
      <c r="U47" s="1708"/>
      <c r="V47" s="1713"/>
    </row>
    <row r="48" spans="1:22">
      <c r="A48" s="17" t="str">
        <f t="shared" si="0"/>
        <v>All</v>
      </c>
      <c r="B48" s="208" t="str">
        <f>IF('Mode Opératoire'!$I$1="Français",+'Cpte exploitation 1+2+3'!K48,'Cpte exploitation 1+2+3'!M48)</f>
        <v>Honoraires</v>
      </c>
      <c r="C48" s="222"/>
      <c r="D48" s="1061" t="e">
        <f>SUM('UO 1:UO 3'!D48)</f>
        <v>#REF!</v>
      </c>
      <c r="E48" s="1061" t="e">
        <f>SUM('UO 1:UO 3'!E48)</f>
        <v>#REF!</v>
      </c>
      <c r="F48" s="1061" t="e">
        <f>SUM('UO 1:UO 3'!F48)</f>
        <v>#REF!</v>
      </c>
      <c r="G48" s="1061" t="e">
        <f>SUM('UO 1:UO 3'!G48)</f>
        <v>#REF!</v>
      </c>
      <c r="H48" s="1061" t="e">
        <f>SUM('UO 1:UO 3'!H48)</f>
        <v>#REF!</v>
      </c>
      <c r="I48" s="1061" t="e">
        <f>SUM('UO 1:UO 3'!I48)</f>
        <v>#REF!</v>
      </c>
      <c r="K48" s="208" t="s">
        <v>77</v>
      </c>
      <c r="L48" s="222"/>
      <c r="M48" s="1559" t="s">
        <v>112</v>
      </c>
      <c r="U48" s="1708"/>
      <c r="V48" s="1713"/>
    </row>
    <row r="49" spans="1:22">
      <c r="A49" s="17" t="str">
        <f t="shared" si="0"/>
        <v>All</v>
      </c>
      <c r="B49" s="208" t="str">
        <f>IF('Mode Opératoire'!$I$1="Français",+'Cpte exploitation 1+2+3'!K49,'Cpte exploitation 1+2+3'!M49)</f>
        <v>Autres frais de structure</v>
      </c>
      <c r="C49" s="222"/>
      <c r="D49" s="1061" t="e">
        <f>SUM('UO 1:UO 3'!D49)</f>
        <v>#REF!</v>
      </c>
      <c r="E49" s="1061" t="e">
        <f>SUM('UO 1:UO 3'!E49)</f>
        <v>#REF!</v>
      </c>
      <c r="F49" s="1061" t="e">
        <f>SUM('UO 1:UO 3'!F49)</f>
        <v>#REF!</v>
      </c>
      <c r="G49" s="1061" t="e">
        <f>SUM('UO 1:UO 3'!G49)</f>
        <v>#REF!</v>
      </c>
      <c r="H49" s="1061" t="e">
        <f>SUM('UO 1:UO 3'!H49)</f>
        <v>#REF!</v>
      </c>
      <c r="I49" s="1061" t="e">
        <f>SUM('UO 1:UO 3'!I49)</f>
        <v>#REF!</v>
      </c>
      <c r="K49" s="208" t="s">
        <v>52</v>
      </c>
      <c r="L49" s="222"/>
      <c r="M49" s="1559" t="s">
        <v>838</v>
      </c>
      <c r="U49" s="1708"/>
      <c r="V49" s="1713"/>
    </row>
    <row r="50" spans="1:22">
      <c r="A50" s="17" t="str">
        <f t="shared" si="0"/>
        <v>All</v>
      </c>
      <c r="B50" s="233" t="str">
        <f>IF('Mode Opératoire'!$I$1="Français",+'Cpte exploitation 1+2+3'!K50,'Cpte exploitation 1+2+3'!M50)</f>
        <v>Frais d'agence</v>
      </c>
      <c r="C50" s="234"/>
      <c r="D50" s="1068" t="e">
        <f t="shared" ref="D50:I50" si="9">SUM(D43:D49)</f>
        <v>#REF!</v>
      </c>
      <c r="E50" s="1069" t="e">
        <f t="shared" si="9"/>
        <v>#REF!</v>
      </c>
      <c r="F50" s="1068" t="e">
        <f t="shared" si="9"/>
        <v>#REF!</v>
      </c>
      <c r="G50" s="1068" t="e">
        <f t="shared" si="9"/>
        <v>#REF!</v>
      </c>
      <c r="H50" s="1068" t="e">
        <f t="shared" si="9"/>
        <v>#REF!</v>
      </c>
      <c r="I50" s="1068" t="e">
        <f t="shared" si="9"/>
        <v>#REF!</v>
      </c>
      <c r="K50" s="233" t="s">
        <v>119</v>
      </c>
      <c r="L50" s="234"/>
      <c r="M50" s="1568" t="s">
        <v>92</v>
      </c>
      <c r="U50" s="1708"/>
      <c r="V50" s="1713"/>
    </row>
    <row r="51" spans="1:22">
      <c r="A51" s="17" t="str">
        <f t="shared" si="0"/>
        <v>All</v>
      </c>
      <c r="B51" s="209" t="str">
        <f>IF('Mode Opératoire'!$I$1="Français",+'Cpte exploitation 1+2+3'!K51,'Cpte exploitation 1+2+3'!M51)</f>
        <v>Dépréciation de créances douteuses</v>
      </c>
      <c r="C51" s="223"/>
      <c r="D51" s="1583"/>
      <c r="E51" s="1583"/>
      <c r="F51" s="1583"/>
      <c r="G51" s="1583"/>
      <c r="H51" s="1583"/>
      <c r="I51" s="1583"/>
      <c r="K51" s="209" t="s">
        <v>188</v>
      </c>
      <c r="L51" s="223"/>
      <c r="M51" s="1569" t="s">
        <v>198</v>
      </c>
      <c r="U51" s="1708"/>
      <c r="V51" s="1713"/>
    </row>
    <row r="52" spans="1:22">
      <c r="A52" s="17" t="str">
        <f t="shared" si="0"/>
        <v>All</v>
      </c>
      <c r="B52" s="210" t="str">
        <f>IF('Mode Opératoire'!$I$1="Français",+'Cpte exploitation 1+2+3'!K52,'Cpte exploitation 1+2+3'!M52)</f>
        <v xml:space="preserve">Frais opérationnels </v>
      </c>
      <c r="C52" s="211"/>
      <c r="D52" s="1061" t="e">
        <f>SUM('UO 1:UO 3'!D52)</f>
        <v>#REF!</v>
      </c>
      <c r="E52" s="1061" t="e">
        <f>SUM('UO 1:UO 3'!E52)</f>
        <v>#REF!</v>
      </c>
      <c r="F52" s="1061" t="e">
        <f>SUM('UO 1:UO 3'!F52)</f>
        <v>#REF!</v>
      </c>
      <c r="G52" s="1061" t="e">
        <f>SUM('UO 1:UO 3'!G52)</f>
        <v>#REF!</v>
      </c>
      <c r="H52" s="1061" t="e">
        <f>SUM('UO 1:UO 3'!H52)</f>
        <v>#REF!</v>
      </c>
      <c r="I52" s="1061" t="e">
        <f>SUM('UO 1:UO 3'!I52)</f>
        <v>#REF!</v>
      </c>
      <c r="J52" s="451"/>
      <c r="K52" s="210" t="s">
        <v>135</v>
      </c>
      <c r="L52" s="211"/>
      <c r="M52" s="1570" t="s">
        <v>93</v>
      </c>
      <c r="U52" s="1708"/>
      <c r="V52" s="1713"/>
    </row>
    <row r="53" spans="1:22">
      <c r="A53" s="17" t="str">
        <f t="shared" si="0"/>
        <v>All</v>
      </c>
      <c r="B53" s="212" t="str">
        <f>IF('Mode Opératoire'!$I$1="Français",+'Cpte exploitation 1+2+3'!K53,'Cpte exploitation 1+2+3'!M53)</f>
        <v>% des ventes</v>
      </c>
      <c r="C53" s="213"/>
      <c r="D53" s="1066" t="e">
        <f t="shared" ref="D53:I53" si="10">IF(D19&lt;&gt;0,D52/D$19,0)</f>
        <v>#REF!</v>
      </c>
      <c r="E53" s="1067" t="e">
        <f t="shared" si="10"/>
        <v>#REF!</v>
      </c>
      <c r="F53" s="1066" t="e">
        <f t="shared" si="10"/>
        <v>#REF!</v>
      </c>
      <c r="G53" s="1066" t="e">
        <f t="shared" si="10"/>
        <v>#REF!</v>
      </c>
      <c r="H53" s="1066" t="e">
        <f t="shared" si="10"/>
        <v>#REF!</v>
      </c>
      <c r="I53" s="1066" t="e">
        <f t="shared" si="10"/>
        <v>#REF!</v>
      </c>
      <c r="K53" s="212" t="s">
        <v>68</v>
      </c>
      <c r="L53" s="213"/>
      <c r="M53" s="1571" t="s">
        <v>84</v>
      </c>
      <c r="U53" s="1708"/>
      <c r="V53" s="1713"/>
    </row>
    <row r="54" spans="1:22">
      <c r="A54" s="17" t="str">
        <f t="shared" si="0"/>
        <v>All</v>
      </c>
      <c r="B54" s="190" t="str">
        <f>IF('Mode Opératoire'!$I$1="Français",+'Cpte exploitation 1+2+3'!K54,'Cpte exploitation 1+2+3'!M54)</f>
        <v>Marge sur Coûts Directs</v>
      </c>
      <c r="C54" s="198"/>
      <c r="D54" s="226" t="e">
        <f>+D25+D52</f>
        <v>#REF!</v>
      </c>
      <c r="E54" s="227" t="e">
        <f t="shared" ref="E54:I54" si="11">+E25+E52</f>
        <v>#REF!</v>
      </c>
      <c r="F54" s="226" t="e">
        <f t="shared" si="11"/>
        <v>#REF!</v>
      </c>
      <c r="G54" s="226" t="e">
        <f t="shared" si="11"/>
        <v>#REF!</v>
      </c>
      <c r="H54" s="226" t="e">
        <f t="shared" si="11"/>
        <v>#REF!</v>
      </c>
      <c r="I54" s="226" t="e">
        <f t="shared" si="11"/>
        <v>#REF!</v>
      </c>
      <c r="K54" s="190" t="s">
        <v>953</v>
      </c>
      <c r="L54" s="198"/>
      <c r="M54" s="1566" t="s">
        <v>954</v>
      </c>
      <c r="U54" s="1708"/>
      <c r="V54" s="1713"/>
    </row>
    <row r="55" spans="1:22">
      <c r="A55" s="17" t="str">
        <f t="shared" si="0"/>
        <v>All</v>
      </c>
      <c r="B55" s="214" t="str">
        <f>IF('Mode Opératoire'!$I$1="Français",+'Cpte exploitation 1+2+3'!K55,'Cpte exploitation 1+2+3'!M55)</f>
        <v>% des ventes</v>
      </c>
      <c r="C55" s="224"/>
      <c r="D55" s="221" t="e">
        <f t="shared" ref="D55:I55" si="12">IF(D$19&lt;&gt;0,D54/D$19,0)</f>
        <v>#REF!</v>
      </c>
      <c r="E55" s="225" t="e">
        <f t="shared" si="12"/>
        <v>#REF!</v>
      </c>
      <c r="F55" s="221" t="e">
        <f t="shared" si="12"/>
        <v>#REF!</v>
      </c>
      <c r="G55" s="221" t="e">
        <f t="shared" si="12"/>
        <v>#REF!</v>
      </c>
      <c r="H55" s="221" t="e">
        <f t="shared" si="12"/>
        <v>#REF!</v>
      </c>
      <c r="I55" s="221" t="e">
        <f t="shared" si="12"/>
        <v>#REF!</v>
      </c>
      <c r="K55" s="214" t="s">
        <v>68</v>
      </c>
      <c r="L55" s="224"/>
      <c r="M55" s="1572" t="s">
        <v>84</v>
      </c>
      <c r="U55" s="1708"/>
      <c r="V55" s="1713"/>
    </row>
    <row r="56" spans="1:22" ht="30.75" customHeight="1">
      <c r="B56" s="215" t="str">
        <f>IF('Mode Opératoire'!$I$1="Français",+'Cpte exploitation 1+2+3'!K56,'Cpte exploitation 1+2+3'!M56)</f>
        <v>Frais de Siège opérationnel</v>
      </c>
      <c r="C56" s="237" t="e">
        <f>IF(SUM(D19:I19)=0,"-",AVERAGE((SUM(D56:I56)/SUM(D19:I19))))</f>
        <v>#REF!</v>
      </c>
      <c r="D56" s="1811" t="e">
        <f>SUM('UO 1:UO 3'!D56)</f>
        <v>#REF!</v>
      </c>
      <c r="E56" s="1812" t="e">
        <f>SUM('UO 1:UO 3'!E56)</f>
        <v>#REF!</v>
      </c>
      <c r="F56" s="1811" t="e">
        <f>SUM('UO 1:UO 3'!F56)</f>
        <v>#REF!</v>
      </c>
      <c r="G56" s="1811" t="e">
        <f>SUM('UO 1:UO 3'!G56)</f>
        <v>#REF!</v>
      </c>
      <c r="H56" s="1811" t="e">
        <f>SUM('UO 1:UO 3'!H56)</f>
        <v>#REF!</v>
      </c>
      <c r="I56" s="1811" t="e">
        <f>SUM('UO 1:UO 3'!I56)</f>
        <v>#REF!</v>
      </c>
      <c r="K56" s="215" t="s">
        <v>955</v>
      </c>
      <c r="L56" s="237" t="str">
        <f>IF(SUM(M15:R15)=0,"-",AVERAGE((SUM(M56:R56)/SUM(M15:R15))))</f>
        <v>-</v>
      </c>
      <c r="M56" s="1696" t="s">
        <v>957</v>
      </c>
      <c r="U56" s="1838" t="s">
        <v>1062</v>
      </c>
      <c r="V56" s="1837" t="s">
        <v>1061</v>
      </c>
    </row>
    <row r="57" spans="1:22">
      <c r="B57" s="216" t="str">
        <f>IF('Mode Opératoire'!$I$1="Français",+'Cpte exploitation 1+2+3'!K57,'Cpte exploitation 1+2+3'!M57)</f>
        <v>% des ventes</v>
      </c>
      <c r="C57" s="217"/>
      <c r="D57" s="1694" t="e">
        <f>IF(D$19&lt;&gt;0,D56/D$19,0)</f>
        <v>#REF!</v>
      </c>
      <c r="E57" s="1695" t="e">
        <f t="shared" ref="E57:I57" si="13">IF(E$19&lt;&gt;0,E56/E$19,0)</f>
        <v>#REF!</v>
      </c>
      <c r="F57" s="1694" t="e">
        <f t="shared" si="13"/>
        <v>#REF!</v>
      </c>
      <c r="G57" s="1694" t="e">
        <f t="shared" si="13"/>
        <v>#REF!</v>
      </c>
      <c r="H57" s="1694" t="e">
        <f t="shared" si="13"/>
        <v>#REF!</v>
      </c>
      <c r="I57" s="1694" t="e">
        <f t="shared" si="13"/>
        <v>#REF!</v>
      </c>
      <c r="K57" s="216" t="s">
        <v>68</v>
      </c>
      <c r="L57" s="217"/>
      <c r="M57" s="1696"/>
      <c r="U57" s="1708"/>
      <c r="V57" s="1713"/>
    </row>
    <row r="58" spans="1:22">
      <c r="A58" s="17" t="str">
        <f t="shared" si="0"/>
        <v>All</v>
      </c>
      <c r="B58" s="190" t="str">
        <f>IF('Mode Opératoire'!$I$1="Français",+'Cpte exploitation 1+2+3'!K58,'Cpte exploitation 1+2+3'!M58)</f>
        <v>Résultat d'activité</v>
      </c>
      <c r="C58" s="198"/>
      <c r="D58" s="226" t="e">
        <f>+D54+D56</f>
        <v>#REF!</v>
      </c>
      <c r="E58" s="227" t="e">
        <f t="shared" ref="E58:I58" si="14">+E54+E56</f>
        <v>#REF!</v>
      </c>
      <c r="F58" s="226" t="e">
        <f t="shared" si="14"/>
        <v>#REF!</v>
      </c>
      <c r="G58" s="226" t="e">
        <f t="shared" si="14"/>
        <v>#REF!</v>
      </c>
      <c r="H58" s="226" t="e">
        <f t="shared" si="14"/>
        <v>#REF!</v>
      </c>
      <c r="I58" s="226" t="e">
        <f t="shared" si="14"/>
        <v>#REF!</v>
      </c>
      <c r="K58" s="190" t="s">
        <v>187</v>
      </c>
      <c r="L58" s="198"/>
      <c r="M58" s="1566" t="s">
        <v>195</v>
      </c>
      <c r="U58" s="1708"/>
      <c r="V58" s="1713"/>
    </row>
    <row r="59" spans="1:22">
      <c r="A59" s="17" t="str">
        <f t="shared" si="0"/>
        <v>All</v>
      </c>
      <c r="B59" s="214" t="str">
        <f>IF('Mode Opératoire'!$I$1="Français",+'Cpte exploitation 1+2+3'!K59,'Cpte exploitation 1+2+3'!M59)</f>
        <v>% des ventes</v>
      </c>
      <c r="C59" s="224"/>
      <c r="D59" s="221" t="e">
        <f t="shared" ref="D59:I59" si="15">IF(D$19&lt;&gt;0,D58/D$19,0)</f>
        <v>#REF!</v>
      </c>
      <c r="E59" s="225" t="e">
        <f t="shared" si="15"/>
        <v>#REF!</v>
      </c>
      <c r="F59" s="221" t="e">
        <f t="shared" si="15"/>
        <v>#REF!</v>
      </c>
      <c r="G59" s="221" t="e">
        <f t="shared" si="15"/>
        <v>#REF!</v>
      </c>
      <c r="H59" s="221" t="e">
        <f t="shared" si="15"/>
        <v>#REF!</v>
      </c>
      <c r="I59" s="221" t="e">
        <f t="shared" si="15"/>
        <v>#REF!</v>
      </c>
      <c r="K59" s="214" t="s">
        <v>68</v>
      </c>
      <c r="L59" s="224"/>
      <c r="M59" s="1572" t="s">
        <v>84</v>
      </c>
      <c r="U59" s="1708"/>
      <c r="V59" s="1713"/>
    </row>
    <row r="60" spans="1:22" s="20" customFormat="1" ht="25.5">
      <c r="A60" s="17" t="str">
        <f t="shared" si="0"/>
        <v>All</v>
      </c>
      <c r="B60" s="215" t="str">
        <f>IF('Mode Opératoire'!$I$1="Français",+'Cpte exploitation 1+2+3'!K60,'Cpte exploitation 1+2+3'!M60)</f>
        <v>Frais Groupe</v>
      </c>
      <c r="C60" s="237" t="e">
        <f>IF(SUM(D19:I19)=0,"-",AVERAGE((SUM(D60:I60)/SUM(D19:I19))))</f>
        <v>#REF!</v>
      </c>
      <c r="D60" s="1064" t="e">
        <f>SUM('UO 1:UO 3'!D60)</f>
        <v>#REF!</v>
      </c>
      <c r="E60" s="1065" t="e">
        <f>SUM('UO 1:UO 3'!E60)</f>
        <v>#REF!</v>
      </c>
      <c r="F60" s="1064" t="e">
        <f>SUM('UO 1:UO 3'!F60)</f>
        <v>#REF!</v>
      </c>
      <c r="G60" s="1064" t="e">
        <f>SUM('UO 1:UO 3'!G60)</f>
        <v>#REF!</v>
      </c>
      <c r="H60" s="1064" t="e">
        <f>SUM('UO 1:UO 3'!H60)</f>
        <v>#REF!</v>
      </c>
      <c r="I60" s="1064" t="e">
        <f>SUM('UO 1:UO 3'!I60)</f>
        <v>#REF!</v>
      </c>
      <c r="K60" s="215" t="s">
        <v>956</v>
      </c>
      <c r="L60" s="237" t="str">
        <f>IF(SUM(M19:R19)=0,"-",AVERAGE((SUM(M60:R60)/SUM(M19:R19))))</f>
        <v>-</v>
      </c>
      <c r="M60" s="1573" t="s">
        <v>958</v>
      </c>
      <c r="U60" s="1836" t="s">
        <v>1063</v>
      </c>
      <c r="V60" s="1837" t="s">
        <v>1064</v>
      </c>
    </row>
    <row r="61" spans="1:22" s="20" customFormat="1">
      <c r="A61" s="17" t="str">
        <f t="shared" si="0"/>
        <v>All</v>
      </c>
      <c r="B61" s="216" t="str">
        <f>IF('Mode Opératoire'!$I$1="Français",+'Cpte exploitation 1+2+3'!K61,'Cpte exploitation 1+2+3'!M61)</f>
        <v>% des ventes</v>
      </c>
      <c r="C61" s="217"/>
      <c r="D61" s="1067" t="e">
        <f>IF(D$19&lt;&gt;0,D60/D$19,0)</f>
        <v>#REF!</v>
      </c>
      <c r="E61" s="1067" t="e">
        <f t="shared" ref="E61:I65" si="16">IF(E$19&lt;&gt;0,E60/E$19,0)</f>
        <v>#REF!</v>
      </c>
      <c r="F61" s="1067" t="e">
        <f t="shared" si="16"/>
        <v>#REF!</v>
      </c>
      <c r="G61" s="1067" t="e">
        <f t="shared" si="16"/>
        <v>#REF!</v>
      </c>
      <c r="H61" s="1067" t="e">
        <f t="shared" si="16"/>
        <v>#REF!</v>
      </c>
      <c r="I61" s="1067" t="e">
        <f t="shared" si="16"/>
        <v>#REF!</v>
      </c>
      <c r="K61" s="216" t="s">
        <v>68</v>
      </c>
      <c r="L61" s="217"/>
      <c r="M61" s="1574" t="s">
        <v>84</v>
      </c>
      <c r="U61" s="1708"/>
      <c r="V61" s="1713"/>
    </row>
    <row r="62" spans="1:22" s="20" customFormat="1" ht="25.5">
      <c r="A62" s="17" t="str">
        <f t="shared" si="0"/>
        <v>All</v>
      </c>
      <c r="B62" s="215" t="s">
        <v>1388</v>
      </c>
      <c r="C62" s="237" t="e">
        <f>IF(SUM(D21:I21)=0,"-",AVERAGE((SUM(D62:I62)/SUM(D21:I21))))</f>
        <v>#REF!</v>
      </c>
      <c r="D62" s="1064" t="e">
        <f>SUM('UO 1:UO 3'!D62)</f>
        <v>#REF!</v>
      </c>
      <c r="E62" s="1065" t="e">
        <f>SUM('UO 1:UO 3'!E62)</f>
        <v>#REF!</v>
      </c>
      <c r="F62" s="1064" t="e">
        <f>SUM('UO 1:UO 3'!F62)</f>
        <v>#REF!</v>
      </c>
      <c r="G62" s="1064" t="e">
        <f>SUM('UO 1:UO 3'!G62)</f>
        <v>#REF!</v>
      </c>
      <c r="H62" s="1064" t="e">
        <f>SUM('UO 1:UO 3'!H62)</f>
        <v>#REF!</v>
      </c>
      <c r="I62" s="1064" t="e">
        <f>SUM('UO 1:UO 3'!I62)</f>
        <v>#REF!</v>
      </c>
      <c r="K62" s="215" t="s">
        <v>956</v>
      </c>
      <c r="L62" s="237" t="str">
        <f>IF(SUM(M21:R21)=0,"-",AVERAGE((SUM(M62:R62)/SUM(M21:R21))))</f>
        <v>-</v>
      </c>
      <c r="M62" s="1573" t="s">
        <v>958</v>
      </c>
      <c r="U62" s="1836"/>
      <c r="V62" s="1837"/>
    </row>
    <row r="63" spans="1:22" s="20" customFormat="1">
      <c r="A63" s="17" t="str">
        <f t="shared" si="0"/>
        <v>All</v>
      </c>
      <c r="B63" s="216" t="str">
        <f>IF('Mode Opératoire'!$I$1="Français",+'Cpte exploitation 1+2+3'!K63,'Cpte exploitation 1+2+3'!M63)</f>
        <v>% des ventes</v>
      </c>
      <c r="C63" s="217"/>
      <c r="D63" s="1067" t="e">
        <f>IF(D$19&lt;&gt;0,D62/D$19,0)</f>
        <v>#REF!</v>
      </c>
      <c r="E63" s="1067" t="e">
        <f t="shared" ref="E63:I63" si="17">IF(E$19&lt;&gt;0,E62/E$19,0)</f>
        <v>#REF!</v>
      </c>
      <c r="F63" s="1067" t="e">
        <f t="shared" si="17"/>
        <v>#REF!</v>
      </c>
      <c r="G63" s="1067" t="e">
        <f t="shared" si="17"/>
        <v>#REF!</v>
      </c>
      <c r="H63" s="1067" t="e">
        <f t="shared" si="17"/>
        <v>#REF!</v>
      </c>
      <c r="I63" s="1067" t="e">
        <f t="shared" si="17"/>
        <v>#REF!</v>
      </c>
      <c r="K63" s="216" t="s">
        <v>68</v>
      </c>
      <c r="L63" s="217"/>
      <c r="M63" s="1574" t="s">
        <v>84</v>
      </c>
      <c r="U63" s="1708"/>
      <c r="V63" s="1713"/>
    </row>
    <row r="64" spans="1:22">
      <c r="A64" s="17" t="str">
        <f t="shared" si="0"/>
        <v>All</v>
      </c>
      <c r="B64" s="190" t="str">
        <f>IF('Mode Opératoire'!$I$1="Français",+'Cpte exploitation 1+2+3'!K64,'Cpte exploitation 1+2+3'!M64)</f>
        <v>Résultat Opérationnel Courant</v>
      </c>
      <c r="C64" s="198"/>
      <c r="D64" s="226" t="e">
        <f>+D58+D60+D62</f>
        <v>#REF!</v>
      </c>
      <c r="E64" s="226" t="e">
        <f t="shared" ref="E64:I64" si="18">+E58+E60+E62</f>
        <v>#REF!</v>
      </c>
      <c r="F64" s="226" t="e">
        <f t="shared" si="18"/>
        <v>#REF!</v>
      </c>
      <c r="G64" s="226" t="e">
        <f t="shared" si="18"/>
        <v>#REF!</v>
      </c>
      <c r="H64" s="226" t="e">
        <f t="shared" si="18"/>
        <v>#REF!</v>
      </c>
      <c r="I64" s="226" t="e">
        <f t="shared" si="18"/>
        <v>#REF!</v>
      </c>
      <c r="K64" s="190" t="s">
        <v>148</v>
      </c>
      <c r="L64" s="198"/>
      <c r="M64" s="1566" t="s">
        <v>94</v>
      </c>
      <c r="U64" s="1708"/>
      <c r="V64" s="1713"/>
    </row>
    <row r="65" spans="1:22">
      <c r="A65" s="17" t="str">
        <f t="shared" si="0"/>
        <v>All</v>
      </c>
      <c r="B65" s="214" t="str">
        <f>IF('Mode Opératoire'!$I$1="Français",+'Cpte exploitation 1+2+3'!K65,'Cpte exploitation 1+2+3'!M65)</f>
        <v>% des ventes</v>
      </c>
      <c r="C65" s="224"/>
      <c r="D65" s="221" t="e">
        <f>IF(D$19&lt;&gt;0,D64/D$19,0)</f>
        <v>#REF!</v>
      </c>
      <c r="E65" s="225" t="e">
        <f t="shared" si="16"/>
        <v>#REF!</v>
      </c>
      <c r="F65" s="221" t="e">
        <f t="shared" si="16"/>
        <v>#REF!</v>
      </c>
      <c r="G65" s="221" t="e">
        <f t="shared" si="16"/>
        <v>#REF!</v>
      </c>
      <c r="H65" s="221" t="e">
        <f t="shared" si="16"/>
        <v>#REF!</v>
      </c>
      <c r="I65" s="221" t="e">
        <f t="shared" si="16"/>
        <v>#REF!</v>
      </c>
      <c r="K65" s="214" t="s">
        <v>68</v>
      </c>
      <c r="L65" s="224"/>
      <c r="M65" s="1572" t="s">
        <v>84</v>
      </c>
      <c r="U65" s="1708"/>
      <c r="V65" s="1713"/>
    </row>
    <row r="66" spans="1:22">
      <c r="B66" s="75"/>
      <c r="C66" s="75"/>
      <c r="D66" s="76"/>
      <c r="E66" s="76"/>
      <c r="F66" s="76"/>
      <c r="G66" s="76"/>
      <c r="H66" s="76"/>
      <c r="I66" s="76"/>
      <c r="K66" s="75"/>
      <c r="L66" s="75"/>
      <c r="M66" s="1575"/>
      <c r="U66" s="1708"/>
      <c r="V66" s="1713"/>
    </row>
    <row r="67" spans="1:22">
      <c r="B67" s="21"/>
      <c r="C67" s="21"/>
      <c r="D67" s="77"/>
      <c r="E67" s="77"/>
      <c r="F67" s="77"/>
      <c r="G67" s="77"/>
      <c r="H67" s="77"/>
      <c r="I67" s="77"/>
      <c r="K67" s="21"/>
      <c r="L67" s="21"/>
      <c r="M67" s="1499"/>
      <c r="U67" s="1708"/>
      <c r="V67" s="1713"/>
    </row>
    <row r="68" spans="1:22">
      <c r="B68" s="45" t="str">
        <f>IF('Mode Opératoire'!$I$1="Français",+'Cpte exploitation 1+2+3'!K68,'Cpte exploitation 1+2+3'!M68)</f>
        <v>Effectifs opérationnels fin d'année</v>
      </c>
      <c r="C68" s="140"/>
      <c r="D68" s="44"/>
      <c r="E68" s="44"/>
      <c r="F68" s="44"/>
      <c r="G68" s="44"/>
      <c r="H68" s="44"/>
      <c r="I68" s="44"/>
      <c r="K68" s="45" t="s">
        <v>121</v>
      </c>
      <c r="L68" s="140"/>
      <c r="M68" s="1576"/>
      <c r="U68" s="1708"/>
      <c r="V68" s="1713"/>
    </row>
    <row r="69" spans="1:22">
      <c r="A69" s="17" t="str">
        <f>+$H$6</f>
        <v>All</v>
      </c>
      <c r="B69" s="207" t="str">
        <f>IF('Mode Opératoire'!$I$1="Français",+'Cpte exploitation 1+2+3'!K69,'Cpte exploitation 1+2+3'!M69)</f>
        <v>Inscrits (ETP)</v>
      </c>
      <c r="C69" s="1891"/>
      <c r="D69" s="1584">
        <f>SUM('UO 1:UO 3'!D67)</f>
        <v>0</v>
      </c>
      <c r="E69" s="1584">
        <f>SUM('UO 1:UO 3'!E67)</f>
        <v>0</v>
      </c>
      <c r="F69" s="1584">
        <f>SUM('UO 1:UO 3'!F67)</f>
        <v>0</v>
      </c>
      <c r="G69" s="1584">
        <f>SUM('UO 1:UO 3'!G67)</f>
        <v>0</v>
      </c>
      <c r="H69" s="1584">
        <f>SUM('UO 1:UO 3'!H67)</f>
        <v>0</v>
      </c>
      <c r="I69" s="1070">
        <f>SUM('UO 1:UO 3'!I67)</f>
        <v>0</v>
      </c>
      <c r="J69" s="452"/>
      <c r="K69" s="207" t="s">
        <v>122</v>
      </c>
      <c r="L69" s="828"/>
      <c r="M69" s="1561" t="s">
        <v>102</v>
      </c>
      <c r="U69" s="1708"/>
      <c r="V69" s="1713" t="s">
        <v>973</v>
      </c>
    </row>
    <row r="70" spans="1:22">
      <c r="A70" s="17" t="str">
        <f>+$H$6</f>
        <v>All</v>
      </c>
      <c r="B70" s="244" t="str">
        <f>IF('Mode Opératoire'!$I$1="Français",+'Cpte exploitation 1+2+3'!K70,'Cpte exploitation 1+2+3'!M70)</f>
        <v xml:space="preserve"> Intérimaires</v>
      </c>
      <c r="C70" s="1892"/>
      <c r="D70" s="1585">
        <f>SUM('UO 1:UO 3'!D68)</f>
        <v>0</v>
      </c>
      <c r="E70" s="1585">
        <f>SUM('UO 1:UO 3'!E68)</f>
        <v>0</v>
      </c>
      <c r="F70" s="1585">
        <f>SUM('UO 1:UO 3'!F68)</f>
        <v>0</v>
      </c>
      <c r="G70" s="1585">
        <f>SUM('UO 1:UO 3'!G68)</f>
        <v>0</v>
      </c>
      <c r="H70" s="1585">
        <f>SUM('UO 1:UO 3'!H68)</f>
        <v>0</v>
      </c>
      <c r="I70" s="1071">
        <f>SUM('UO 1:UO 3'!I68)</f>
        <v>0</v>
      </c>
      <c r="K70" s="244" t="s">
        <v>53</v>
      </c>
      <c r="L70" s="829"/>
      <c r="M70" s="1577" t="s">
        <v>95</v>
      </c>
      <c r="U70" s="1708" t="s">
        <v>975</v>
      </c>
      <c r="V70" s="1713"/>
    </row>
    <row r="71" spans="1:22">
      <c r="B71" s="239" t="str">
        <f>IF('Mode Opératoire'!$I$1="Français",+'Cpte exploitation 1+2+3'!K71,'Cpte exploitation 1+2+3'!M71)</f>
        <v>Effectifs Opérationnels</v>
      </c>
      <c r="C71" s="240"/>
      <c r="D71" s="241">
        <f t="shared" ref="D71:I71" si="19">SUM(D69:D70)</f>
        <v>0</v>
      </c>
      <c r="E71" s="241">
        <f t="shared" si="19"/>
        <v>0</v>
      </c>
      <c r="F71" s="241">
        <f t="shared" si="19"/>
        <v>0</v>
      </c>
      <c r="G71" s="241">
        <f t="shared" si="19"/>
        <v>0</v>
      </c>
      <c r="H71" s="241">
        <f t="shared" si="19"/>
        <v>0</v>
      </c>
      <c r="I71" s="242">
        <f t="shared" si="19"/>
        <v>0</v>
      </c>
      <c r="K71" s="239" t="s">
        <v>120</v>
      </c>
      <c r="L71" s="240"/>
      <c r="M71" s="1578" t="s">
        <v>798</v>
      </c>
      <c r="U71" s="1708"/>
      <c r="V71" s="1713"/>
    </row>
    <row r="72" spans="1:22">
      <c r="B72" s="17">
        <f>IF('Mode Opératoire'!$I$1="Français",+'Cpte exploitation 1+2+3'!K72,'Cpte exploitation 1+2+3'!M72)</f>
        <v>0</v>
      </c>
      <c r="U72" s="1708"/>
      <c r="V72" s="1713"/>
    </row>
    <row r="73" spans="1:22" ht="18" customHeight="1">
      <c r="B73" s="247" t="str">
        <f>IF('Mode Opératoire'!$I$1="Français",+'Cpte exploitation 1+2+3'!K73,'Cpte exploitation 1+2+3'!M73)</f>
        <v xml:space="preserve">cout moyen/effectifs </v>
      </c>
      <c r="C73" s="248"/>
      <c r="D73" s="249" t="str">
        <f>IF(D71=0,"-",D34/D71)</f>
        <v>-</v>
      </c>
      <c r="E73" s="249" t="str">
        <f t="shared" ref="E73:I73" si="20">IF(E71=0,"-",E34/E71)</f>
        <v>-</v>
      </c>
      <c r="F73" s="249" t="str">
        <f t="shared" si="20"/>
        <v>-</v>
      </c>
      <c r="G73" s="249" t="str">
        <f t="shared" si="20"/>
        <v>-</v>
      </c>
      <c r="H73" s="249" t="str">
        <f t="shared" si="20"/>
        <v>-</v>
      </c>
      <c r="I73" s="250" t="str">
        <f t="shared" si="20"/>
        <v>-</v>
      </c>
      <c r="K73" s="247" t="s">
        <v>839</v>
      </c>
      <c r="L73" s="248"/>
      <c r="M73" s="1579" t="s">
        <v>840</v>
      </c>
      <c r="U73" s="1708"/>
      <c r="V73" s="1713"/>
    </row>
    <row r="74" spans="1:22" ht="18" customHeight="1">
      <c r="B74" s="251" t="str">
        <f>IF('Mode Opératoire'!$I$1="Français",+'Cpte exploitation 1+2+3'!K74,'Cpte exploitation 1+2+3'!M74)</f>
        <v>RAC/effectifs</v>
      </c>
      <c r="C74" s="252"/>
      <c r="D74" s="253" t="str">
        <f>IF(D71=0,"-",D58/D71)</f>
        <v>-</v>
      </c>
      <c r="E74" s="253" t="str">
        <f t="shared" ref="E74:I74" si="21">IF(E71=0,"-",E58/E71)</f>
        <v>-</v>
      </c>
      <c r="F74" s="253" t="str">
        <f t="shared" si="21"/>
        <v>-</v>
      </c>
      <c r="G74" s="253" t="str">
        <f t="shared" si="21"/>
        <v>-</v>
      </c>
      <c r="H74" s="253" t="str">
        <f t="shared" si="21"/>
        <v>-</v>
      </c>
      <c r="I74" s="253" t="str">
        <f t="shared" si="21"/>
        <v>-</v>
      </c>
      <c r="K74" s="251" t="s">
        <v>959</v>
      </c>
      <c r="L74" s="252"/>
      <c r="M74" s="1580" t="s">
        <v>961</v>
      </c>
      <c r="U74" s="1708"/>
      <c r="V74" s="1713"/>
    </row>
    <row r="75" spans="1:22" ht="18" customHeight="1">
      <c r="B75" s="251" t="str">
        <f>IF('Mode Opératoire'!$I$1="Français",+'Cpte exploitation 1+2+3'!K75,'Cpte exploitation 1+2+3'!M75)</f>
        <v>MCO/effectifs</v>
      </c>
      <c r="C75" s="1698"/>
      <c r="D75" s="253" t="str">
        <f>IF(D71=0,"-",D22/D71)</f>
        <v>-</v>
      </c>
      <c r="E75" s="1699" t="str">
        <f t="shared" ref="E75:I75" si="22">IF(E71=0,"-",E22/E71)</f>
        <v>-</v>
      </c>
      <c r="F75" s="1699" t="str">
        <f t="shared" si="22"/>
        <v>-</v>
      </c>
      <c r="G75" s="1699" t="str">
        <f t="shared" si="22"/>
        <v>-</v>
      </c>
      <c r="H75" s="1699" t="str">
        <f t="shared" si="22"/>
        <v>-</v>
      </c>
      <c r="I75" s="1699" t="str">
        <f t="shared" si="22"/>
        <v>-</v>
      </c>
      <c r="K75" s="251" t="s">
        <v>960</v>
      </c>
      <c r="L75" s="1698"/>
      <c r="M75" s="1700" t="s">
        <v>962</v>
      </c>
      <c r="U75" s="1708"/>
      <c r="V75" s="1713"/>
    </row>
    <row r="76" spans="1:22" ht="18" customHeight="1">
      <c r="B76" s="254" t="str">
        <f>IF('Mode Opératoire'!$I$1="Français",+'Cpte exploitation 1+2+3'!K76,'Cpte exploitation 1+2+3'!M76)</f>
        <v>Total Frais Indirect</v>
      </c>
      <c r="C76" s="255"/>
      <c r="D76" s="256" t="str">
        <f>IF(D71=0,"-",(D56+D60)/D71)</f>
        <v>-</v>
      </c>
      <c r="E76" s="256" t="str">
        <f t="shared" ref="E76:I76" si="23">IF(E71=0,"-",(E56+E60)/E71)</f>
        <v>-</v>
      </c>
      <c r="F76" s="256" t="str">
        <f t="shared" si="23"/>
        <v>-</v>
      </c>
      <c r="G76" s="256" t="str">
        <f t="shared" si="23"/>
        <v>-</v>
      </c>
      <c r="H76" s="256" t="str">
        <f t="shared" si="23"/>
        <v>-</v>
      </c>
      <c r="I76" s="256" t="str">
        <f t="shared" si="23"/>
        <v>-</v>
      </c>
      <c r="K76" s="254" t="s">
        <v>963</v>
      </c>
      <c r="L76" s="255"/>
      <c r="M76" s="1581" t="s">
        <v>964</v>
      </c>
      <c r="U76" s="1708"/>
      <c r="V76" s="1713"/>
    </row>
  </sheetData>
  <mergeCells count="2">
    <mergeCell ref="C27:C33"/>
    <mergeCell ref="L27:L33"/>
  </mergeCells>
  <phoneticPr fontId="0" type="noConversion"/>
  <dataValidations count="1">
    <dataValidation type="list" showInputMessage="1" showErrorMessage="1" sqref="H6">
      <formula1>"Toutes,All"</formula1>
    </dataValidation>
  </dataValidations>
  <pageMargins left="0.43307086614173229" right="0.27559055118110237" top="0.51181102362204722" bottom="0.82677165354330717" header="0.27559055118110237" footer="0.51181102362204722"/>
  <pageSetup paperSize="9" scale="73" orientation="portrait" r:id="rId1"/>
  <headerFooter alignWithMargins="0">
    <oddFooter>&amp;R6/9</oddFooter>
  </headerFooter>
  <drawing r:id="rId2"/>
</worksheet>
</file>

<file path=xl/worksheets/sheet25.xml><?xml version="1.0" encoding="utf-8"?>
<worksheet xmlns="http://schemas.openxmlformats.org/spreadsheetml/2006/main" xmlns:r="http://schemas.openxmlformats.org/officeDocument/2006/relationships">
  <sheetPr codeName="Feuil9">
    <tabColor rgb="FF00B050"/>
    <pageSetUpPr fitToPage="1"/>
  </sheetPr>
  <dimension ref="A1:L66"/>
  <sheetViews>
    <sheetView workbookViewId="0"/>
  </sheetViews>
  <sheetFormatPr baseColWidth="10" defaultColWidth="11.42578125" defaultRowHeight="12.75"/>
  <cols>
    <col min="1" max="1" width="11.42578125" style="830" customWidth="1"/>
    <col min="2" max="2" width="29.7109375" style="830" customWidth="1"/>
    <col min="3" max="3" width="6.5703125" style="830" bestFit="1" customWidth="1"/>
    <col min="4" max="9" width="15" style="830" customWidth="1"/>
    <col min="10" max="10" width="25.5703125" style="858" customWidth="1"/>
    <col min="11" max="11" width="11.42578125" style="830" collapsed="1"/>
    <col min="12" max="16384" width="11.42578125" style="830"/>
  </cols>
  <sheetData>
    <row r="1" spans="2:11" s="622" customFormat="1" ht="26.25">
      <c r="D1" s="830"/>
      <c r="E1" s="831"/>
      <c r="F1" s="830"/>
      <c r="J1" s="832"/>
    </row>
    <row r="2" spans="2:11" s="622" customFormat="1">
      <c r="J2" s="832"/>
    </row>
    <row r="3" spans="2:11" s="622" customFormat="1">
      <c r="J3" s="832"/>
      <c r="K3" s="833"/>
    </row>
    <row r="4" spans="2:11" ht="26.25">
      <c r="B4" s="834"/>
      <c r="C4" s="834"/>
      <c r="D4" s="834"/>
      <c r="E4" s="835"/>
      <c r="F4" s="835"/>
      <c r="G4" s="835"/>
      <c r="H4" s="835"/>
      <c r="I4" s="835"/>
      <c r="J4" s="836"/>
    </row>
    <row r="5" spans="2:11" s="837" customFormat="1" ht="6" customHeight="1">
      <c r="B5" s="838"/>
      <c r="C5" s="838"/>
      <c r="D5" s="839"/>
      <c r="E5" s="839"/>
      <c r="F5" s="839"/>
      <c r="G5" s="839"/>
      <c r="H5" s="839"/>
      <c r="I5" s="839"/>
      <c r="J5" s="840"/>
    </row>
    <row r="6" spans="2:11" s="841" customFormat="1" ht="23.25">
      <c r="B6" s="842"/>
      <c r="C6" s="842"/>
      <c r="D6" s="842"/>
      <c r="E6" s="843"/>
      <c r="F6" s="844"/>
      <c r="G6" s="845"/>
      <c r="H6" s="846"/>
      <c r="K6" s="847"/>
    </row>
    <row r="7" spans="2:11" s="841" customFormat="1" ht="15.75">
      <c r="B7" s="848"/>
      <c r="C7" s="848"/>
      <c r="D7" s="848"/>
      <c r="E7" s="849"/>
      <c r="F7" s="850"/>
      <c r="G7" s="850"/>
      <c r="H7" s="850"/>
      <c r="I7" s="850"/>
      <c r="J7" s="851"/>
      <c r="K7" s="847"/>
    </row>
    <row r="8" spans="2:11" s="837" customFormat="1" ht="26.25" customHeight="1">
      <c r="B8" s="852"/>
      <c r="C8" s="852"/>
      <c r="D8" s="853"/>
      <c r="E8" s="854"/>
      <c r="F8" s="854"/>
      <c r="G8" s="854"/>
      <c r="H8" s="854"/>
      <c r="I8" s="854"/>
      <c r="J8" s="840"/>
    </row>
    <row r="9" spans="2:11" s="837" customFormat="1" ht="15">
      <c r="B9" s="852"/>
      <c r="C9" s="852"/>
      <c r="E9" s="855"/>
      <c r="G9" s="855"/>
      <c r="I9" s="855"/>
      <c r="J9" s="840"/>
    </row>
    <row r="10" spans="2:11" s="837" customFormat="1" ht="15">
      <c r="B10" s="852"/>
      <c r="C10" s="852"/>
      <c r="J10" s="840"/>
    </row>
    <row r="11" spans="2:11" ht="6" customHeight="1">
      <c r="B11" s="856"/>
      <c r="C11" s="856"/>
      <c r="D11" s="857"/>
      <c r="E11" s="857"/>
      <c r="F11" s="857"/>
      <c r="G11" s="857"/>
      <c r="H11" s="857"/>
      <c r="I11" s="857"/>
    </row>
    <row r="12" spans="2:11">
      <c r="B12" s="859"/>
      <c r="C12" s="859"/>
      <c r="D12" s="860"/>
      <c r="E12" s="860"/>
      <c r="F12" s="860"/>
      <c r="G12" s="860"/>
      <c r="H12" s="860"/>
      <c r="I12" s="860"/>
    </row>
    <row r="13" spans="2:11">
      <c r="B13" s="861"/>
      <c r="C13" s="861"/>
      <c r="D13" s="860"/>
      <c r="E13" s="860"/>
      <c r="F13" s="860"/>
      <c r="G13" s="860"/>
      <c r="H13" s="860"/>
      <c r="I13" s="860"/>
    </row>
    <row r="14" spans="2:11">
      <c r="B14" s="862"/>
      <c r="C14" s="862"/>
      <c r="D14" s="863"/>
      <c r="E14" s="863"/>
      <c r="F14" s="863"/>
      <c r="G14" s="863"/>
      <c r="H14" s="863"/>
      <c r="I14" s="863"/>
      <c r="J14" s="864"/>
    </row>
    <row r="15" spans="2:11">
      <c r="B15" s="862"/>
      <c r="C15" s="862"/>
      <c r="D15" s="863"/>
      <c r="E15" s="863"/>
      <c r="F15" s="863"/>
      <c r="G15" s="863"/>
      <c r="H15" s="863"/>
      <c r="I15" s="863"/>
      <c r="J15" s="864"/>
      <c r="K15" s="865"/>
    </row>
    <row r="16" spans="2:11">
      <c r="B16" s="862"/>
      <c r="C16" s="862"/>
      <c r="D16" s="863"/>
      <c r="E16" s="863"/>
      <c r="F16" s="863"/>
      <c r="G16" s="863"/>
      <c r="H16" s="863"/>
      <c r="I16" s="863"/>
      <c r="J16" s="864"/>
      <c r="K16" s="865"/>
    </row>
    <row r="17" spans="1:10">
      <c r="B17" s="866"/>
      <c r="C17" s="866"/>
      <c r="D17" s="867"/>
      <c r="E17" s="867"/>
      <c r="F17" s="867"/>
      <c r="G17" s="867"/>
      <c r="H17" s="867"/>
      <c r="I17" s="867"/>
      <c r="J17" s="868"/>
    </row>
    <row r="18" spans="1:10">
      <c r="B18" s="862"/>
      <c r="C18" s="862"/>
      <c r="D18" s="863"/>
      <c r="E18" s="863"/>
      <c r="F18" s="863"/>
      <c r="G18" s="863"/>
      <c r="H18" s="863"/>
      <c r="I18" s="863"/>
      <c r="J18" s="864"/>
    </row>
    <row r="19" spans="1:10">
      <c r="B19" s="866"/>
      <c r="C19" s="866"/>
      <c r="D19" s="867"/>
      <c r="E19" s="867"/>
      <c r="F19" s="867"/>
      <c r="G19" s="867"/>
      <c r="H19" s="867"/>
      <c r="I19" s="867"/>
      <c r="J19" s="868"/>
    </row>
    <row r="20" spans="1:10">
      <c r="B20" s="869"/>
      <c r="C20" s="869"/>
      <c r="D20" s="870"/>
      <c r="E20" s="870"/>
      <c r="F20" s="870"/>
      <c r="G20" s="870"/>
      <c r="H20" s="870"/>
      <c r="I20" s="870"/>
      <c r="J20" s="871"/>
    </row>
    <row r="21" spans="1:10" s="875" customFormat="1" ht="13.5">
      <c r="A21" s="830"/>
      <c r="B21" s="872"/>
      <c r="C21" s="872"/>
      <c r="D21" s="873"/>
      <c r="E21" s="873"/>
      <c r="F21" s="873"/>
      <c r="G21" s="873"/>
      <c r="H21" s="873"/>
      <c r="I21" s="873"/>
      <c r="J21" s="874"/>
    </row>
    <row r="22" spans="1:10">
      <c r="B22" s="862"/>
      <c r="C22" s="862"/>
      <c r="D22" s="863"/>
      <c r="E22" s="863"/>
      <c r="F22" s="863"/>
      <c r="G22" s="863"/>
      <c r="H22" s="863"/>
      <c r="I22" s="863"/>
      <c r="J22" s="864"/>
    </row>
    <row r="23" spans="1:10">
      <c r="B23" s="869"/>
      <c r="C23" s="869"/>
      <c r="D23" s="870"/>
      <c r="E23" s="870"/>
      <c r="F23" s="870"/>
      <c r="G23" s="870"/>
      <c r="H23" s="870"/>
      <c r="I23" s="870"/>
      <c r="J23" s="871"/>
    </row>
    <row r="24" spans="1:10" s="875" customFormat="1" ht="13.5">
      <c r="A24" s="830"/>
      <c r="B24" s="872"/>
      <c r="C24" s="872"/>
      <c r="D24" s="873"/>
      <c r="E24" s="873"/>
      <c r="F24" s="873"/>
      <c r="G24" s="873"/>
      <c r="H24" s="873"/>
      <c r="I24" s="873"/>
      <c r="J24" s="874"/>
    </row>
    <row r="25" spans="1:10">
      <c r="B25" s="862"/>
      <c r="C25" s="2875"/>
      <c r="D25" s="863"/>
      <c r="E25" s="863"/>
      <c r="F25" s="863"/>
      <c r="G25" s="863"/>
      <c r="H25" s="863"/>
      <c r="I25" s="863"/>
      <c r="J25" s="864"/>
    </row>
    <row r="26" spans="1:10">
      <c r="B26" s="862"/>
      <c r="C26" s="2875"/>
      <c r="D26" s="863"/>
      <c r="E26" s="863"/>
      <c r="F26" s="863"/>
      <c r="G26" s="863"/>
      <c r="H26" s="863"/>
      <c r="I26" s="863"/>
      <c r="J26" s="864"/>
    </row>
    <row r="27" spans="1:10">
      <c r="B27" s="862"/>
      <c r="C27" s="2875"/>
      <c r="D27" s="863"/>
      <c r="E27" s="863"/>
      <c r="F27" s="863"/>
      <c r="G27" s="863"/>
      <c r="H27" s="863"/>
      <c r="I27" s="863"/>
      <c r="J27" s="864"/>
    </row>
    <row r="28" spans="1:10">
      <c r="B28" s="862"/>
      <c r="C28" s="2875"/>
      <c r="D28" s="863"/>
      <c r="E28" s="863"/>
      <c r="F28" s="863"/>
      <c r="G28" s="863"/>
      <c r="H28" s="863"/>
      <c r="I28" s="863"/>
      <c r="J28" s="864"/>
    </row>
    <row r="29" spans="1:10">
      <c r="B29" s="862"/>
      <c r="C29" s="2875"/>
      <c r="D29" s="863"/>
      <c r="E29" s="863"/>
      <c r="F29" s="863"/>
      <c r="G29" s="863"/>
      <c r="H29" s="863"/>
      <c r="I29" s="863"/>
      <c r="J29" s="864"/>
    </row>
    <row r="30" spans="1:10">
      <c r="B30" s="862"/>
      <c r="C30" s="2875"/>
      <c r="D30" s="863"/>
      <c r="E30" s="863"/>
      <c r="F30" s="863"/>
      <c r="G30" s="863"/>
      <c r="H30" s="863"/>
      <c r="I30" s="863"/>
      <c r="J30" s="864"/>
    </row>
    <row r="31" spans="1:10">
      <c r="B31" s="862"/>
      <c r="C31" s="2875"/>
      <c r="D31" s="863"/>
      <c r="E31" s="863"/>
      <c r="F31" s="863"/>
      <c r="G31" s="863"/>
      <c r="H31" s="863"/>
      <c r="I31" s="863"/>
      <c r="J31" s="864"/>
    </row>
    <row r="32" spans="1:10">
      <c r="B32" s="866"/>
      <c r="C32" s="866"/>
      <c r="D32" s="867"/>
      <c r="E32" s="867"/>
      <c r="F32" s="867"/>
      <c r="G32" s="867"/>
      <c r="H32" s="867"/>
      <c r="I32" s="867"/>
      <c r="J32" s="868"/>
    </row>
    <row r="33" spans="1:10">
      <c r="B33" s="862"/>
      <c r="C33" s="862"/>
      <c r="D33" s="863"/>
      <c r="E33" s="863"/>
      <c r="F33" s="863"/>
      <c r="G33" s="863"/>
      <c r="H33" s="863"/>
      <c r="I33" s="863"/>
      <c r="J33" s="864"/>
    </row>
    <row r="34" spans="1:10" s="876" customFormat="1">
      <c r="A34" s="830"/>
      <c r="B34" s="862"/>
      <c r="C34" s="862"/>
      <c r="D34" s="863"/>
      <c r="E34" s="863"/>
      <c r="F34" s="863"/>
      <c r="G34" s="863"/>
      <c r="H34" s="863"/>
      <c r="I34" s="863"/>
      <c r="J34" s="864"/>
    </row>
    <row r="35" spans="1:10">
      <c r="B35" s="862"/>
      <c r="C35" s="862"/>
      <c r="D35" s="863"/>
      <c r="E35" s="863"/>
      <c r="F35" s="863"/>
      <c r="G35" s="863"/>
      <c r="H35" s="863"/>
      <c r="I35" s="863"/>
      <c r="J35" s="864"/>
    </row>
    <row r="36" spans="1:10">
      <c r="B36" s="862"/>
      <c r="C36" s="862"/>
      <c r="D36" s="863"/>
      <c r="E36" s="863"/>
      <c r="F36" s="863"/>
      <c r="G36" s="863"/>
      <c r="H36" s="863"/>
      <c r="I36" s="863"/>
      <c r="J36" s="864"/>
    </row>
    <row r="37" spans="1:10">
      <c r="B37" s="862"/>
      <c r="C37" s="862"/>
      <c r="D37" s="863"/>
      <c r="E37" s="863"/>
      <c r="F37" s="863"/>
      <c r="G37" s="863"/>
      <c r="H37" s="863"/>
      <c r="I37" s="863"/>
      <c r="J37" s="864"/>
    </row>
    <row r="38" spans="1:10">
      <c r="B38" s="862"/>
      <c r="C38" s="862"/>
      <c r="D38" s="863"/>
      <c r="E38" s="863"/>
      <c r="F38" s="863"/>
      <c r="G38" s="863"/>
      <c r="H38" s="863"/>
      <c r="I38" s="863"/>
      <c r="J38" s="864"/>
    </row>
    <row r="39" spans="1:10">
      <c r="B39" s="862"/>
      <c r="C39" s="862"/>
      <c r="D39" s="877"/>
      <c r="E39" s="863"/>
      <c r="F39" s="863"/>
      <c r="G39" s="863"/>
      <c r="H39" s="863"/>
      <c r="I39" s="863"/>
      <c r="J39" s="864"/>
    </row>
    <row r="40" spans="1:10">
      <c r="B40" s="866"/>
      <c r="C40" s="866"/>
      <c r="D40" s="867"/>
      <c r="E40" s="867"/>
      <c r="F40" s="867"/>
      <c r="G40" s="867"/>
      <c r="H40" s="867"/>
      <c r="I40" s="867"/>
      <c r="J40" s="868"/>
    </row>
    <row r="41" spans="1:10">
      <c r="B41" s="862"/>
      <c r="C41" s="862"/>
      <c r="D41" s="863"/>
      <c r="E41" s="863"/>
      <c r="F41" s="863"/>
      <c r="G41" s="863"/>
      <c r="H41" s="863"/>
      <c r="I41" s="863"/>
      <c r="J41" s="864"/>
    </row>
    <row r="42" spans="1:10">
      <c r="B42" s="862"/>
      <c r="C42" s="862"/>
      <c r="D42" s="863"/>
      <c r="E42" s="863"/>
      <c r="F42" s="863"/>
      <c r="G42" s="863"/>
      <c r="H42" s="863"/>
      <c r="I42" s="863"/>
      <c r="J42" s="864"/>
    </row>
    <row r="43" spans="1:10">
      <c r="B43" s="862"/>
      <c r="C43" s="862"/>
      <c r="D43" s="863"/>
      <c r="E43" s="863"/>
      <c r="F43" s="863"/>
      <c r="G43" s="863"/>
      <c r="H43" s="863"/>
      <c r="I43" s="863"/>
      <c r="J43" s="864"/>
    </row>
    <row r="44" spans="1:10">
      <c r="B44" s="862"/>
      <c r="C44" s="862"/>
      <c r="D44" s="863"/>
      <c r="E44" s="863"/>
      <c r="F44" s="863"/>
      <c r="G44" s="863"/>
      <c r="H44" s="863"/>
      <c r="I44" s="863"/>
      <c r="J44" s="864"/>
    </row>
    <row r="45" spans="1:10">
      <c r="B45" s="862"/>
      <c r="C45" s="862"/>
      <c r="D45" s="863"/>
      <c r="E45" s="863"/>
      <c r="F45" s="863"/>
      <c r="G45" s="863"/>
      <c r="H45" s="863"/>
      <c r="I45" s="863"/>
      <c r="J45" s="864"/>
    </row>
    <row r="46" spans="1:10">
      <c r="B46" s="862"/>
      <c r="C46" s="862"/>
      <c r="D46" s="877"/>
      <c r="E46" s="863"/>
      <c r="F46" s="863"/>
      <c r="G46" s="863"/>
      <c r="H46" s="863"/>
      <c r="I46" s="863"/>
      <c r="J46" s="864"/>
    </row>
    <row r="47" spans="1:10">
      <c r="B47" s="866"/>
      <c r="C47" s="866"/>
      <c r="D47" s="867"/>
      <c r="E47" s="867"/>
      <c r="F47" s="867"/>
      <c r="G47" s="867"/>
      <c r="H47" s="867"/>
      <c r="I47" s="867"/>
      <c r="J47" s="868"/>
    </row>
    <row r="48" spans="1:10">
      <c r="B48" s="866"/>
      <c r="C48" s="866"/>
      <c r="D48" s="867"/>
      <c r="E48" s="867"/>
      <c r="F48" s="867"/>
      <c r="G48" s="867"/>
      <c r="H48" s="867"/>
      <c r="I48" s="867"/>
      <c r="J48" s="868"/>
    </row>
    <row r="49" spans="2:12">
      <c r="B49" s="878"/>
      <c r="C49" s="878"/>
      <c r="D49" s="879"/>
      <c r="E49" s="879"/>
      <c r="F49" s="879"/>
      <c r="G49" s="879"/>
      <c r="H49" s="879"/>
      <c r="I49" s="879"/>
      <c r="J49" s="880"/>
      <c r="K49" s="865"/>
    </row>
    <row r="50" spans="2:12">
      <c r="B50" s="881"/>
      <c r="C50" s="881"/>
      <c r="D50" s="882"/>
      <c r="E50" s="882"/>
      <c r="F50" s="882"/>
      <c r="G50" s="882"/>
      <c r="H50" s="882"/>
      <c r="I50" s="882"/>
      <c r="J50" s="883"/>
    </row>
    <row r="51" spans="2:12">
      <c r="B51" s="869"/>
      <c r="C51" s="869"/>
      <c r="D51" s="879"/>
      <c r="E51" s="879"/>
      <c r="F51" s="879"/>
      <c r="G51" s="879"/>
      <c r="H51" s="879"/>
      <c r="I51" s="879"/>
      <c r="J51" s="871"/>
    </row>
    <row r="52" spans="2:12">
      <c r="B52" s="884"/>
      <c r="C52" s="884"/>
      <c r="D52" s="882"/>
      <c r="E52" s="882"/>
      <c r="F52" s="882"/>
      <c r="G52" s="882"/>
      <c r="H52" s="882"/>
      <c r="I52" s="882"/>
      <c r="J52" s="885"/>
    </row>
    <row r="53" spans="2:12">
      <c r="B53" s="886"/>
      <c r="C53" s="887"/>
      <c r="D53" s="879"/>
      <c r="E53" s="879"/>
      <c r="F53" s="879"/>
      <c r="G53" s="879"/>
      <c r="H53" s="879"/>
      <c r="I53" s="879"/>
      <c r="J53" s="888"/>
    </row>
    <row r="54" spans="2:12">
      <c r="B54" s="881"/>
      <c r="C54" s="881"/>
      <c r="D54" s="882"/>
      <c r="E54" s="882"/>
      <c r="F54" s="882"/>
      <c r="G54" s="882"/>
      <c r="H54" s="882"/>
      <c r="I54" s="882"/>
      <c r="J54" s="889"/>
    </row>
    <row r="55" spans="2:12">
      <c r="B55" s="869"/>
      <c r="C55" s="869"/>
      <c r="D55" s="879"/>
      <c r="E55" s="879"/>
      <c r="F55" s="879"/>
      <c r="G55" s="879"/>
      <c r="H55" s="879"/>
      <c r="I55" s="879"/>
      <c r="J55" s="871"/>
    </row>
    <row r="56" spans="2:12">
      <c r="B56" s="884"/>
      <c r="C56" s="884"/>
      <c r="D56" s="882"/>
      <c r="E56" s="882"/>
      <c r="F56" s="882"/>
      <c r="G56" s="882"/>
      <c r="H56" s="882"/>
      <c r="I56" s="882"/>
      <c r="J56" s="885"/>
    </row>
    <row r="57" spans="2:12">
      <c r="B57" s="890"/>
      <c r="C57" s="890"/>
      <c r="D57" s="891"/>
      <c r="E57" s="891"/>
      <c r="F57" s="891"/>
      <c r="G57" s="891"/>
      <c r="H57" s="891"/>
      <c r="I57" s="891"/>
      <c r="J57" s="890"/>
    </row>
    <row r="58" spans="2:12">
      <c r="D58" s="892"/>
      <c r="E58" s="892"/>
      <c r="F58" s="892"/>
      <c r="G58" s="892"/>
      <c r="H58" s="892"/>
      <c r="I58" s="892"/>
      <c r="J58" s="830"/>
    </row>
    <row r="59" spans="2:12">
      <c r="B59" s="893"/>
      <c r="C59" s="893"/>
      <c r="D59" s="858"/>
      <c r="E59" s="858"/>
      <c r="F59" s="858"/>
      <c r="G59" s="858"/>
      <c r="H59" s="858"/>
      <c r="I59" s="858"/>
      <c r="J59" s="868"/>
    </row>
    <row r="60" spans="2:12">
      <c r="B60" s="862"/>
      <c r="C60" s="862"/>
      <c r="D60" s="894"/>
      <c r="E60" s="894"/>
      <c r="F60" s="894"/>
      <c r="G60" s="894"/>
      <c r="H60" s="894"/>
      <c r="I60" s="895"/>
      <c r="J60" s="864"/>
      <c r="K60" s="896"/>
      <c r="L60" s="897"/>
    </row>
    <row r="61" spans="2:12">
      <c r="B61" s="862"/>
      <c r="C61" s="862"/>
      <c r="D61" s="863"/>
      <c r="E61" s="863"/>
      <c r="F61" s="863"/>
      <c r="G61" s="863"/>
      <c r="H61" s="863"/>
      <c r="I61" s="895"/>
      <c r="J61" s="864"/>
    </row>
    <row r="62" spans="2:12">
      <c r="B62" s="898"/>
      <c r="C62" s="898"/>
      <c r="D62" s="899"/>
      <c r="E62" s="899"/>
      <c r="F62" s="899"/>
      <c r="G62" s="899"/>
      <c r="H62" s="899"/>
      <c r="I62" s="899"/>
      <c r="J62" s="898"/>
    </row>
    <row r="64" spans="2:12" ht="18" customHeight="1">
      <c r="B64" s="900"/>
      <c r="C64" s="900"/>
      <c r="D64" s="901"/>
      <c r="E64" s="901"/>
      <c r="F64" s="901"/>
      <c r="G64" s="901"/>
      <c r="H64" s="901"/>
      <c r="I64" s="901"/>
      <c r="J64" s="900"/>
    </row>
    <row r="65" spans="2:10" ht="18" customHeight="1">
      <c r="B65" s="900"/>
      <c r="C65" s="900"/>
      <c r="D65" s="901"/>
      <c r="E65" s="901"/>
      <c r="F65" s="901"/>
      <c r="G65" s="901"/>
      <c r="H65" s="901"/>
      <c r="I65" s="901"/>
      <c r="J65" s="900"/>
    </row>
    <row r="66" spans="2:10" ht="18" customHeight="1">
      <c r="B66" s="900"/>
      <c r="C66" s="900"/>
      <c r="D66" s="901"/>
      <c r="E66" s="901"/>
      <c r="F66" s="901"/>
      <c r="G66" s="901"/>
      <c r="H66" s="901"/>
      <c r="I66" s="901"/>
      <c r="J66" s="900"/>
    </row>
  </sheetData>
  <mergeCells count="1">
    <mergeCell ref="C25:C31"/>
  </mergeCells>
  <dataValidations count="1">
    <dataValidation type="list" showInputMessage="1" showErrorMessage="1" sqref="H6">
      <formula1>"TLA,TLI,CTP,DIV,GMO,TLM,ACTIVITE,OVL,OVS,ILI,GSM"</formula1>
    </dataValidation>
  </dataValidations>
  <pageMargins left="0.45" right="0.26" top="0.51" bottom="0.82" header="0.27" footer="0.4921259845"/>
  <pageSetup paperSize="9" scale="64" orientation="portrait" r:id="rId1"/>
  <headerFooter alignWithMargins="0">
    <oddFooter>&amp;R6/9</oddFooter>
  </headerFooter>
</worksheet>
</file>

<file path=xl/worksheets/sheet26.xml><?xml version="1.0" encoding="utf-8"?>
<worksheet xmlns="http://schemas.openxmlformats.org/spreadsheetml/2006/main" xmlns:r="http://schemas.openxmlformats.org/officeDocument/2006/relationships">
  <sheetPr codeName="Feuil10">
    <tabColor rgb="FF00B050"/>
    <pageSetUpPr fitToPage="1"/>
  </sheetPr>
  <dimension ref="A1:V76"/>
  <sheetViews>
    <sheetView topLeftCell="B40" workbookViewId="0">
      <selection activeCell="E51" sqref="E51"/>
    </sheetView>
  </sheetViews>
  <sheetFormatPr baseColWidth="10" defaultColWidth="11.42578125" defaultRowHeight="12.75"/>
  <cols>
    <col min="1" max="1" width="8.42578125" style="17" hidden="1" customWidth="1"/>
    <col min="2" max="2" width="29.7109375" style="17" customWidth="1"/>
    <col min="3" max="3" width="6.5703125" style="17" bestFit="1" customWidth="1"/>
    <col min="4" max="9" width="15" style="17" customWidth="1"/>
    <col min="10" max="10" width="13" style="17" customWidth="1"/>
    <col min="11" max="11" width="55.5703125" style="17" hidden="1" customWidth="1"/>
    <col min="12" max="12" width="1.7109375" style="17" hidden="1" customWidth="1"/>
    <col min="13" max="13" width="25.7109375" style="48" hidden="1" customWidth="1"/>
    <col min="14" max="19" width="7.42578125" style="17" hidden="1" customWidth="1"/>
    <col min="20" max="20" width="11.42578125" style="17" hidden="1" customWidth="1"/>
    <col min="21" max="21" width="82.140625" style="17" bestFit="1" customWidth="1"/>
    <col min="22" max="22" width="93.28515625" style="17" bestFit="1" customWidth="1"/>
    <col min="23" max="16384" width="11.42578125" style="17"/>
  </cols>
  <sheetData>
    <row r="1" spans="1:22" customFormat="1" ht="26.25">
      <c r="A1" s="621"/>
      <c r="B1" s="621"/>
      <c r="C1" s="621"/>
      <c r="D1" s="2393"/>
      <c r="E1" s="2394" t="str">
        <f>IF('Mode Opératoire'!$I$1="Français",+'Cpte exploitation 1+2+3'!K1,'Cpte exploitation 1+2+3'!M1)</f>
        <v>Compte d'Exploitation Total</v>
      </c>
      <c r="F1" s="2393"/>
      <c r="G1" s="621"/>
      <c r="H1" s="621"/>
      <c r="I1" s="621"/>
      <c r="J1" s="2463"/>
      <c r="K1" s="73" t="s">
        <v>190</v>
      </c>
      <c r="M1" s="73" t="s">
        <v>740</v>
      </c>
    </row>
    <row r="2" spans="1:22" customFormat="1" ht="16.5">
      <c r="A2" s="621"/>
      <c r="B2" s="621"/>
      <c r="C2" s="621"/>
      <c r="D2" s="621"/>
      <c r="E2" s="621"/>
      <c r="F2" s="621"/>
      <c r="G2" s="621"/>
      <c r="H2" s="621"/>
      <c r="I2" s="621"/>
      <c r="J2" s="2464" t="s">
        <v>151</v>
      </c>
      <c r="M2" s="46"/>
    </row>
    <row r="3" spans="1:22" customFormat="1" ht="16.5">
      <c r="A3" s="621"/>
      <c r="B3" s="621"/>
      <c r="C3" s="621"/>
      <c r="D3" s="621"/>
      <c r="E3" s="621"/>
      <c r="F3" s="621"/>
      <c r="G3" s="621"/>
      <c r="H3" s="621"/>
      <c r="I3" s="621"/>
      <c r="J3" s="2462" t="s">
        <v>151</v>
      </c>
      <c r="M3" s="46"/>
    </row>
    <row r="4" spans="1:22" ht="26.25">
      <c r="B4" s="78" t="str">
        <f>+'Synthèse projet'!A3</f>
        <v>Nom projet / Project Name :</v>
      </c>
      <c r="C4" s="145"/>
      <c r="D4" s="145" t="str">
        <f>'Cpte exploitation 1+2+3'!E4</f>
        <v>xxxxxx</v>
      </c>
      <c r="E4" s="16"/>
      <c r="F4" s="16"/>
      <c r="G4" s="16"/>
      <c r="H4" s="16"/>
      <c r="I4" s="16"/>
      <c r="J4" s="2465" t="s">
        <v>152</v>
      </c>
      <c r="K4" s="1217"/>
      <c r="L4" s="834"/>
      <c r="M4" s="1218"/>
      <c r="U4" s="1706" t="s">
        <v>988</v>
      </c>
      <c r="V4" s="1711" t="s">
        <v>989</v>
      </c>
    </row>
    <row r="5" spans="1:22" s="15" customFormat="1" ht="6" customHeight="1">
      <c r="B5" s="838"/>
      <c r="C5" s="838"/>
      <c r="D5" s="839"/>
      <c r="E5" s="839"/>
      <c r="F5" s="839"/>
      <c r="G5" s="839"/>
      <c r="H5" s="839"/>
      <c r="I5" s="839"/>
      <c r="K5" s="838"/>
      <c r="L5" s="838"/>
      <c r="M5" s="904"/>
      <c r="U5" s="1707"/>
      <c r="V5" s="1712"/>
    </row>
    <row r="6" spans="1:22" s="28" customFormat="1" ht="23.25">
      <c r="B6" s="146" t="str">
        <f>+'Synthèse projet'!A5</f>
        <v>Rédacteur / Writer  :</v>
      </c>
      <c r="C6" s="146"/>
      <c r="D6" s="146"/>
      <c r="E6" s="148" t="str">
        <f>'Cpte exploitation ARG'!E6</f>
        <v>xxxxx</v>
      </c>
      <c r="F6" s="924"/>
      <c r="G6" s="154" t="s">
        <v>98</v>
      </c>
      <c r="H6" s="149" t="s">
        <v>934</v>
      </c>
      <c r="J6" s="27"/>
      <c r="K6" s="842"/>
      <c r="L6" s="842"/>
      <c r="M6" s="1219"/>
      <c r="U6" s="1708" t="s">
        <v>985</v>
      </c>
      <c r="V6" s="1713" t="s">
        <v>991</v>
      </c>
    </row>
    <row r="7" spans="1:22" s="29" customFormat="1" ht="15.75">
      <c r="B7" s="147" t="str">
        <f>+'Synthèse projet'!A6</f>
        <v>Version / Date :</v>
      </c>
      <c r="C7" s="147"/>
      <c r="D7" s="147"/>
      <c r="E7" s="148" t="str">
        <f>'Cpte exploitation ARG'!E7</f>
        <v>xxxxx</v>
      </c>
      <c r="F7" s="2392"/>
      <c r="G7" s="2392"/>
      <c r="H7" s="2392"/>
      <c r="I7" s="2392"/>
      <c r="J7" s="27"/>
      <c r="K7" s="1220"/>
      <c r="L7" s="1220"/>
      <c r="M7" s="1221"/>
      <c r="U7" s="1708"/>
      <c r="V7" s="1713"/>
    </row>
    <row r="8" spans="1:22" s="902" customFormat="1" ht="26.25" customHeight="1">
      <c r="B8" s="935"/>
      <c r="C8" s="935"/>
      <c r="D8" s="936"/>
      <c r="E8" s="937"/>
      <c r="F8" s="937"/>
      <c r="G8" s="937"/>
      <c r="H8" s="937"/>
      <c r="I8" s="937"/>
      <c r="J8" s="15"/>
      <c r="K8" s="19"/>
      <c r="L8" s="19"/>
      <c r="M8" s="47"/>
      <c r="N8" s="15"/>
      <c r="O8" s="15"/>
      <c r="P8" s="15"/>
      <c r="Q8" s="15"/>
      <c r="R8" s="15"/>
      <c r="S8" s="15"/>
      <c r="T8" s="15"/>
      <c r="U8" s="1707"/>
      <c r="V8" s="1712"/>
    </row>
    <row r="9" spans="1:22" s="902" customFormat="1" ht="15">
      <c r="B9" s="935"/>
      <c r="C9" s="935"/>
      <c r="E9" s="903"/>
      <c r="J9" s="15"/>
      <c r="K9" s="19"/>
      <c r="L9" s="19"/>
      <c r="M9" s="904"/>
      <c r="N9" s="15"/>
      <c r="O9" s="15"/>
      <c r="P9" s="15"/>
      <c r="Q9" s="15"/>
      <c r="R9" s="15"/>
      <c r="S9" s="15"/>
      <c r="T9" s="15"/>
      <c r="U9" s="1707"/>
      <c r="V9" s="1712"/>
    </row>
    <row r="10" spans="1:22" s="15" customFormat="1" ht="15">
      <c r="B10" s="935"/>
      <c r="C10" s="935"/>
      <c r="D10" s="902"/>
      <c r="E10" s="902"/>
      <c r="F10" s="902"/>
      <c r="G10" s="902"/>
      <c r="H10" s="902"/>
      <c r="I10" s="902"/>
      <c r="K10" s="19"/>
      <c r="L10" s="19"/>
      <c r="M10" s="47"/>
      <c r="N10" s="174" t="s">
        <v>38</v>
      </c>
      <c r="O10" s="174" t="s">
        <v>39</v>
      </c>
      <c r="P10" s="174" t="s">
        <v>40</v>
      </c>
      <c r="Q10" s="174" t="s">
        <v>41</v>
      </c>
      <c r="R10" s="174" t="s">
        <v>42</v>
      </c>
      <c r="S10" s="177" t="s">
        <v>78</v>
      </c>
      <c r="U10" s="1707"/>
      <c r="V10" s="1712"/>
    </row>
    <row r="11" spans="1:22" ht="6" customHeight="1">
      <c r="B11" s="167"/>
      <c r="C11" s="170"/>
      <c r="D11" s="173"/>
      <c r="E11" s="173"/>
      <c r="F11" s="173"/>
      <c r="G11" s="173"/>
      <c r="H11" s="173"/>
      <c r="I11" s="176"/>
      <c r="K11" s="167"/>
      <c r="L11" s="170"/>
      <c r="U11" s="1708"/>
      <c r="V11" s="1713"/>
    </row>
    <row r="12" spans="1:22" s="20" customFormat="1">
      <c r="B12" s="2379" t="str">
        <f>IF('Mode Opératoire'!$I$1="Français",+'Cpte exploitation 1+2+3'!K11:K12,'Cpte exploitation 1+2+3'!M12)</f>
        <v>K€ (montants signés)</v>
      </c>
      <c r="C12" s="859"/>
      <c r="D12" s="174" t="str">
        <f>IF('Mode Opératoire'!$I$1="Français",+'Cpte exploitation 1+2+3'!N10,'Cpte exploitation 1+2+3'!N13)</f>
        <v>Année 1</v>
      </c>
      <c r="E12" s="174" t="str">
        <f>IF('Mode Opératoire'!$I$1="Français",+'Cpte exploitation 1+2+3'!O10,'Cpte exploitation 1+2+3'!O13)</f>
        <v>Année 2</v>
      </c>
      <c r="F12" s="174" t="str">
        <f>IF('Mode Opératoire'!$I$1="Français",+'Cpte exploitation 1+2+3'!P10,'Cpte exploitation 1+2+3'!P13)</f>
        <v>Année 3</v>
      </c>
      <c r="G12" s="174" t="str">
        <f>IF('Mode Opératoire'!$I$1="Français",+'Cpte exploitation 1+2+3'!Q10,'Cpte exploitation 1+2+3'!Q13)</f>
        <v>Année 4</v>
      </c>
      <c r="H12" s="174" t="str">
        <f>IF('Mode Opératoire'!$I$1="Français",+'Cpte exploitation 1+2+3'!R10,'Cpte exploitation 1+2+3'!R13)</f>
        <v>Année 5</v>
      </c>
      <c r="I12" s="174" t="str">
        <f>IF('Mode Opératoire'!$I$1="Français",+'Cpte exploitation 1+2+3'!S10,'Cpte exploitation 1+2+3'!S13)</f>
        <v>Année 6</v>
      </c>
      <c r="K12" s="168" t="s">
        <v>137</v>
      </c>
      <c r="L12" s="171"/>
      <c r="M12" s="168" t="s">
        <v>137</v>
      </c>
      <c r="U12" s="1708"/>
      <c r="V12" s="1713"/>
    </row>
    <row r="13" spans="1:22">
      <c r="B13" s="2396"/>
      <c r="C13" s="2397"/>
      <c r="D13" s="175">
        <f>+'Cpte exploitation 1+2+3'!D13</f>
        <v>2014</v>
      </c>
      <c r="E13" s="175">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U13" s="1708" t="s">
        <v>990</v>
      </c>
      <c r="V13" s="1713" t="s">
        <v>974</v>
      </c>
    </row>
    <row r="14" spans="1:22">
      <c r="A14" s="17" t="str">
        <f t="shared" ref="A14:A65" si="0">+$H$6</f>
        <v>WRP</v>
      </c>
      <c r="B14" s="2378" t="str">
        <f>IF('Mode Opératoire'!$I$1="Français",+'Cpte exploitation 1+2+3'!K14,'Cpte exploitation 1+2+3'!M14)</f>
        <v>Ventes PSA</v>
      </c>
      <c r="C14" s="862" t="s">
        <v>491</v>
      </c>
      <c r="D14" s="1894" t="e">
        <f>'Cuadro de Resultados'!#REF!/1000/'Tipo de cambio'!#REF!</f>
        <v>#REF!</v>
      </c>
      <c r="E14" s="1894" t="e">
        <f>'Cuadro de Resultados'!#REF!/1000/'Tipo de cambio'!#REF!</f>
        <v>#REF!</v>
      </c>
      <c r="F14" s="1894" t="e">
        <f>'Cuadro de Resultados'!#REF!/1000/'Tipo de cambio'!#REF!</f>
        <v>#REF!</v>
      </c>
      <c r="G14" s="1894" t="e">
        <f>'Cuadro de Resultados'!#REF!/1000/'Tipo de cambio'!#REF!</f>
        <v>#REF!</v>
      </c>
      <c r="H14" s="1894" t="e">
        <f>'Cuadro de Resultados'!#REF!/1000/'Tipo de cambio'!#REF!</f>
        <v>#REF!</v>
      </c>
      <c r="I14" s="1894" t="e">
        <f>'Cuadro de Resultados'!#REF!/1000/'Tipo de cambio'!#REF!</f>
        <v>#REF!</v>
      </c>
      <c r="K14" s="179" t="s">
        <v>17</v>
      </c>
      <c r="L14" s="182"/>
      <c r="M14" s="185" t="s">
        <v>79</v>
      </c>
      <c r="U14" s="1708"/>
      <c r="V14" s="1713"/>
    </row>
    <row r="15" spans="1:22">
      <c r="A15" s="17" t="str">
        <f t="shared" si="0"/>
        <v>WRP</v>
      </c>
      <c r="B15" s="2379" t="str">
        <f>IF('Mode Opératoire'!$I$1="Français",+'Cpte exploitation 1+2+3'!K15,'Cpte exploitation 1+2+3'!M15)</f>
        <v>Ventes Hors Groupe</v>
      </c>
      <c r="C15" s="862" t="s">
        <v>491</v>
      </c>
      <c r="D15" s="1895" t="e">
        <f>'Cuadro de Resultados'!D13/1000/'Tipo de cambio'!#REF!</f>
        <v>#REF!</v>
      </c>
      <c r="E15" s="1895" t="e">
        <f>'Cuadro de Resultados'!E13/1000/'Tipo de cambio'!#REF!</f>
        <v>#REF!</v>
      </c>
      <c r="F15" s="1895" t="e">
        <f>'Cuadro de Resultados'!F13/1000/'Tipo de cambio'!#REF!</f>
        <v>#REF!</v>
      </c>
      <c r="G15" s="1895" t="e">
        <f>'Cuadro de Resultados'!G13/1000/'Tipo de cambio'!#REF!</f>
        <v>#REF!</v>
      </c>
      <c r="H15" s="1895" t="e">
        <f>'Cuadro de Resultados'!H13/1000/'Tipo de cambio'!#REF!</f>
        <v>#REF!</v>
      </c>
      <c r="I15" s="1895" t="e">
        <f>'Cuadro de Resultados'!I13/1000/'Tipo de cambio'!#REF!</f>
        <v>#REF!</v>
      </c>
      <c r="J15" s="451"/>
      <c r="K15" s="180" t="s">
        <v>19</v>
      </c>
      <c r="L15" s="183"/>
      <c r="M15" s="186" t="s">
        <v>80</v>
      </c>
      <c r="U15" s="1708"/>
      <c r="V15" s="1713"/>
    </row>
    <row r="16" spans="1:22">
      <c r="B16" s="2379" t="str">
        <f>IF('Mode Opératoire'!$I$1="Français",+'Cpte exploitation 1+2+3'!K16,'Cpte exploitation 1+2+3'!M16)</f>
        <v>Ventes GM</v>
      </c>
      <c r="C16" s="862" t="s">
        <v>491</v>
      </c>
      <c r="D16" s="1895" t="e">
        <f>'Cuadro de Resultados'!#REF!/1000/'Tipo de cambio'!#REF!</f>
        <v>#REF!</v>
      </c>
      <c r="E16" s="1895" t="e">
        <f>'Cuadro de Resultados'!#REF!/1000/'Tipo de cambio'!#REF!</f>
        <v>#REF!</v>
      </c>
      <c r="F16" s="1895" t="e">
        <f>'Cuadro de Resultados'!#REF!/1000/'Tipo de cambio'!#REF!</f>
        <v>#REF!</v>
      </c>
      <c r="G16" s="1895" t="e">
        <f>'Cuadro de Resultados'!#REF!/1000/'Tipo de cambio'!#REF!</f>
        <v>#REF!</v>
      </c>
      <c r="H16" s="1895" t="e">
        <f>'Cuadro de Resultados'!#REF!/1000/'Tipo de cambio'!#REF!</f>
        <v>#REF!</v>
      </c>
      <c r="I16" s="1895" t="e">
        <f>'Cuadro de Resultados'!#REF!/1000/'Tipo de cambio'!#REF!</f>
        <v>#REF!</v>
      </c>
      <c r="J16" s="451"/>
      <c r="K16" s="180" t="s">
        <v>948</v>
      </c>
      <c r="L16" s="183"/>
      <c r="M16" s="186" t="s">
        <v>949</v>
      </c>
      <c r="U16" s="1708"/>
      <c r="V16" s="1713"/>
    </row>
    <row r="17" spans="1:22">
      <c r="B17" s="2379" t="str">
        <f>IF('Mode Opératoire'!$I$1="Français",+'Cpte exploitation 1+2+3'!K17,'Cpte exploitation 1+2+3'!M17)</f>
        <v>Ventes RZD</v>
      </c>
      <c r="C17" s="862" t="s">
        <v>491</v>
      </c>
      <c r="D17" s="1895" t="e">
        <f>'Cuadro de Resultados'!#REF!/1000/'Tipo de cambio'!#REF!</f>
        <v>#REF!</v>
      </c>
      <c r="E17" s="1895" t="e">
        <f>'Cuadro de Resultados'!#REF!/1000/'Tipo de cambio'!#REF!</f>
        <v>#REF!</v>
      </c>
      <c r="F17" s="1895" t="e">
        <f>'Cuadro de Resultados'!#REF!/1000/'Tipo de cambio'!#REF!</f>
        <v>#REF!</v>
      </c>
      <c r="G17" s="1895" t="e">
        <f>'Cuadro de Resultados'!#REF!/1000/'Tipo de cambio'!#REF!</f>
        <v>#REF!</v>
      </c>
      <c r="H17" s="1895" t="e">
        <f>'Cuadro de Resultados'!#REF!/1000/'Tipo de cambio'!#REF!</f>
        <v>#REF!</v>
      </c>
      <c r="I17" s="1895" t="e">
        <f>'Cuadro de Resultados'!#REF!/1000/'Tipo de cambio'!#REF!</f>
        <v>#REF!</v>
      </c>
      <c r="J17" s="451"/>
      <c r="K17" s="180" t="s">
        <v>950</v>
      </c>
      <c r="L17" s="183"/>
      <c r="M17" s="186" t="s">
        <v>951</v>
      </c>
      <c r="U17" s="1708"/>
      <c r="V17" s="1713"/>
    </row>
    <row r="18" spans="1:22">
      <c r="A18" s="17" t="str">
        <f t="shared" si="0"/>
        <v>WRP</v>
      </c>
      <c r="B18" s="2379" t="str">
        <f>IF('Mode Opératoire'!$I$1="Français",+'Cpte exploitation 1+2+3'!K18,'Cpte exploitation 1+2+3'!M18)</f>
        <v>Ventes Gefco</v>
      </c>
      <c r="C18" s="862" t="s">
        <v>491</v>
      </c>
      <c r="D18" s="1895" t="e">
        <f>'Cuadro de Resultados'!#REF!/1000/'Tipo de cambio'!#REF!</f>
        <v>#REF!</v>
      </c>
      <c r="E18" s="1895" t="e">
        <f>'Cuadro de Resultados'!#REF!/1000/'Tipo de cambio'!#REF!</f>
        <v>#REF!</v>
      </c>
      <c r="F18" s="1895" t="e">
        <f>'Cuadro de Resultados'!#REF!/1000/'Tipo de cambio'!#REF!</f>
        <v>#REF!</v>
      </c>
      <c r="G18" s="1895" t="e">
        <f>'Cuadro de Resultados'!#REF!/1000/'Tipo de cambio'!#REF!</f>
        <v>#REF!</v>
      </c>
      <c r="H18" s="1895" t="e">
        <f>'Cuadro de Resultados'!#REF!/1000/'Tipo de cambio'!#REF!</f>
        <v>#REF!</v>
      </c>
      <c r="I18" s="1895" t="e">
        <f>'Cuadro de Resultados'!#REF!/1000/'Tipo de cambio'!#REF!</f>
        <v>#REF!</v>
      </c>
      <c r="J18" s="451"/>
      <c r="K18" s="180" t="s">
        <v>45</v>
      </c>
      <c r="L18" s="183"/>
      <c r="M18" s="186" t="s">
        <v>81</v>
      </c>
      <c r="U18" s="1708"/>
      <c r="V18" s="1713"/>
    </row>
    <row r="19" spans="1:22">
      <c r="A19" s="17" t="str">
        <f t="shared" si="0"/>
        <v>WRP</v>
      </c>
      <c r="B19" s="2380" t="str">
        <f>IF('Mode Opératoire'!$I$1="Français",+'Cpte exploitation 1+2+3'!K19,'Cpte exploitation 1+2+3'!M19)</f>
        <v>Total ventes externes</v>
      </c>
      <c r="C19" s="2381"/>
      <c r="D19" s="1062" t="e">
        <f t="shared" ref="D19:I19" si="1">SUM(D14:D18)</f>
        <v>#REF!</v>
      </c>
      <c r="E19" s="1062" t="e">
        <f t="shared" si="1"/>
        <v>#REF!</v>
      </c>
      <c r="F19" s="1062" t="e">
        <f t="shared" si="1"/>
        <v>#REF!</v>
      </c>
      <c r="G19" s="1062" t="e">
        <f t="shared" si="1"/>
        <v>#REF!</v>
      </c>
      <c r="H19" s="1062" t="e">
        <f t="shared" si="1"/>
        <v>#REF!</v>
      </c>
      <c r="I19" s="1062" t="e">
        <f t="shared" si="1"/>
        <v>#REF!</v>
      </c>
      <c r="K19" s="181" t="s">
        <v>149</v>
      </c>
      <c r="L19" s="184"/>
      <c r="M19" s="187" t="s">
        <v>150</v>
      </c>
      <c r="U19" s="1708"/>
      <c r="V19" s="1713"/>
    </row>
    <row r="20" spans="1:22">
      <c r="A20" s="17" t="str">
        <f t="shared" si="0"/>
        <v>WRP</v>
      </c>
      <c r="B20" s="2378" t="str">
        <f>IF('Mode Opératoire'!$I$1="Français",+'Cpte exploitation 1+2+3'!K20,'Cpte exploitation 1+2+3'!M20)</f>
        <v xml:space="preserve">Achats </v>
      </c>
      <c r="C20" s="2382" t="s">
        <v>491</v>
      </c>
      <c r="D20" s="1894" t="e">
        <f>'Cuadro de Resultados'!D16/1000/'Tipo de cambio'!#REF!</f>
        <v>#REF!</v>
      </c>
      <c r="E20" s="1894" t="e">
        <f>'Cuadro de Resultados'!E16/1000/'Tipo de cambio'!#REF!</f>
        <v>#REF!</v>
      </c>
      <c r="F20" s="1894" t="e">
        <f>'Cuadro de Resultados'!F16/1000/'Tipo de cambio'!#REF!</f>
        <v>#REF!</v>
      </c>
      <c r="G20" s="1894" t="e">
        <f>'Cuadro de Resultados'!G16/1000/'Tipo de cambio'!#REF!</f>
        <v>#REF!</v>
      </c>
      <c r="H20" s="1894" t="e">
        <f>'Cuadro de Resultados'!H16/1000/'Tipo de cambio'!#REF!</f>
        <v>#REF!</v>
      </c>
      <c r="I20" s="1894" t="e">
        <f>'Cuadro de Resultados'!I16/1000/'Tipo de cambio'!#REF!</f>
        <v>#REF!</v>
      </c>
      <c r="K20" s="179" t="s">
        <v>44</v>
      </c>
      <c r="L20" s="182"/>
      <c r="M20" s="188" t="s">
        <v>82</v>
      </c>
      <c r="U20" s="1708"/>
      <c r="V20" s="1713"/>
    </row>
    <row r="21" spans="1:22">
      <c r="A21" s="17" t="str">
        <f t="shared" si="0"/>
        <v>WRP</v>
      </c>
      <c r="B21" s="2380" t="str">
        <f>IF('Mode Opératoire'!$I$1="Français",+'Cpte exploitation 1+2+3'!K21,'Cpte exploitation 1+2+3'!M21)</f>
        <v xml:space="preserve">Total achats </v>
      </c>
      <c r="C21" s="2381"/>
      <c r="D21" s="1062" t="e">
        <f t="shared" ref="D21:I21" si="2">SUM(D20:D20)</f>
        <v>#REF!</v>
      </c>
      <c r="E21" s="1062" t="e">
        <f t="shared" si="2"/>
        <v>#REF!</v>
      </c>
      <c r="F21" s="1062" t="e">
        <f t="shared" si="2"/>
        <v>#REF!</v>
      </c>
      <c r="G21" s="1062" t="e">
        <f t="shared" si="2"/>
        <v>#REF!</v>
      </c>
      <c r="H21" s="1062" t="e">
        <f t="shared" si="2"/>
        <v>#REF!</v>
      </c>
      <c r="I21" s="1062" t="e">
        <f t="shared" si="2"/>
        <v>#REF!</v>
      </c>
      <c r="K21" s="181" t="s">
        <v>118</v>
      </c>
      <c r="L21" s="184"/>
      <c r="M21" s="189" t="s">
        <v>82</v>
      </c>
      <c r="U21" s="1708"/>
      <c r="V21" s="1713"/>
    </row>
    <row r="22" spans="1:22">
      <c r="A22" s="17" t="str">
        <f t="shared" si="0"/>
        <v>WRP</v>
      </c>
      <c r="B22" s="190" t="str">
        <f>IF('Mode Opératoire'!$I$1="Français",+'Cpte exploitation 1+2+3'!K22,'Cpte exploitation 1+2+3'!M22)</f>
        <v>Marge commerciale</v>
      </c>
      <c r="C22" s="198"/>
      <c r="D22" s="193" t="e">
        <f t="shared" ref="D22:I22" si="3">+D19+D21</f>
        <v>#REF!</v>
      </c>
      <c r="E22" s="193" t="e">
        <f t="shared" si="3"/>
        <v>#REF!</v>
      </c>
      <c r="F22" s="193" t="e">
        <f t="shared" si="3"/>
        <v>#REF!</v>
      </c>
      <c r="G22" s="193" t="e">
        <f t="shared" si="3"/>
        <v>#REF!</v>
      </c>
      <c r="H22" s="195" t="e">
        <f t="shared" si="3"/>
        <v>#REF!</v>
      </c>
      <c r="I22" s="193" t="e">
        <f t="shared" si="3"/>
        <v>#REF!</v>
      </c>
      <c r="K22" s="190" t="s">
        <v>21</v>
      </c>
      <c r="L22" s="198"/>
      <c r="M22" s="192" t="s">
        <v>83</v>
      </c>
      <c r="U22" s="1708"/>
      <c r="V22" s="1713"/>
    </row>
    <row r="23" spans="1:22" s="124" customFormat="1" ht="13.5">
      <c r="A23" s="17" t="str">
        <f t="shared" si="0"/>
        <v>WRP</v>
      </c>
      <c r="B23" s="200" t="str">
        <f>IF('Mode Opératoire'!$I$1="Français",+'Cpte exploitation 1+2+3'!K23,'Cpte exploitation 1+2+3'!M23)</f>
        <v>% des ventes</v>
      </c>
      <c r="C23" s="201"/>
      <c r="D23" s="197" t="e">
        <f t="shared" ref="D23:I23" si="4">IF(D$19&lt;&gt;0,D22/D$19,0)</f>
        <v>#REF!</v>
      </c>
      <c r="E23" s="197" t="e">
        <f t="shared" si="4"/>
        <v>#REF!</v>
      </c>
      <c r="F23" s="197" t="e">
        <f t="shared" si="4"/>
        <v>#REF!</v>
      </c>
      <c r="G23" s="197" t="e">
        <f t="shared" si="4"/>
        <v>#REF!</v>
      </c>
      <c r="H23" s="202" t="e">
        <f t="shared" si="4"/>
        <v>#REF!</v>
      </c>
      <c r="I23" s="197" t="e">
        <f t="shared" si="4"/>
        <v>#REF!</v>
      </c>
      <c r="K23" s="200" t="s">
        <v>68</v>
      </c>
      <c r="L23" s="201"/>
      <c r="M23" s="203" t="s">
        <v>84</v>
      </c>
      <c r="U23" s="1709"/>
      <c r="V23" s="1714"/>
    </row>
    <row r="24" spans="1:22">
      <c r="A24" s="17" t="str">
        <f t="shared" si="0"/>
        <v>WRP</v>
      </c>
      <c r="B24" s="2383" t="str">
        <f>IF('Mode Opératoire'!$I$1="Français",+'Cpte exploitation 1+2+3'!K24,'Cpte exploitation 1+2+3'!M24)</f>
        <v xml:space="preserve">Différence de change </v>
      </c>
      <c r="C24" s="2384" t="s">
        <v>491</v>
      </c>
      <c r="D24" s="1894"/>
      <c r="E24" s="1894"/>
      <c r="F24" s="1894"/>
      <c r="G24" s="1894"/>
      <c r="H24" s="1894"/>
      <c r="I24" s="1894"/>
      <c r="K24" s="204" t="s">
        <v>189</v>
      </c>
      <c r="L24" s="206"/>
      <c r="M24" s="205" t="s">
        <v>193</v>
      </c>
      <c r="U24" s="1708"/>
      <c r="V24" s="1713"/>
    </row>
    <row r="25" spans="1:22">
      <c r="A25" s="17" t="str">
        <f t="shared" si="0"/>
        <v>WRP</v>
      </c>
      <c r="B25" s="190" t="str">
        <f>IF('Mode Opératoire'!$I$1="Français",+'Cpte exploitation 1+2+3'!K25,'Cpte exploitation 1+2+3'!M25)</f>
        <v>Résultat brut Commercial</v>
      </c>
      <c r="C25" s="198"/>
      <c r="D25" s="193" t="e">
        <f t="shared" ref="D25:I25" si="5">+D22+D24</f>
        <v>#REF!</v>
      </c>
      <c r="E25" s="195" t="e">
        <f t="shared" si="5"/>
        <v>#REF!</v>
      </c>
      <c r="F25" s="193" t="e">
        <f t="shared" si="5"/>
        <v>#REF!</v>
      </c>
      <c r="G25" s="193" t="e">
        <f t="shared" si="5"/>
        <v>#REF!</v>
      </c>
      <c r="H25" s="193" t="e">
        <f t="shared" si="5"/>
        <v>#REF!</v>
      </c>
      <c r="I25" s="193" t="e">
        <f t="shared" si="5"/>
        <v>#REF!</v>
      </c>
      <c r="K25" s="190" t="s">
        <v>186</v>
      </c>
      <c r="L25" s="198"/>
      <c r="M25" s="218" t="s">
        <v>194</v>
      </c>
      <c r="U25" s="1708"/>
      <c r="V25" s="1713"/>
    </row>
    <row r="26" spans="1:22" s="124" customFormat="1" ht="13.5">
      <c r="A26" s="17" t="str">
        <f t="shared" si="0"/>
        <v>WRP</v>
      </c>
      <c r="B26" s="191" t="str">
        <f>IF('Mode Opératoire'!$I$1="Français",+'Cpte exploitation 1+2+3'!K26,'Cpte exploitation 1+2+3'!M26)</f>
        <v>% des ventes</v>
      </c>
      <c r="C26" s="199"/>
      <c r="D26" s="194" t="e">
        <f t="shared" ref="D26:I26" si="6">IF(D$19&lt;&gt;0,D25/D$19,0)</f>
        <v>#REF!</v>
      </c>
      <c r="E26" s="196" t="e">
        <f t="shared" si="6"/>
        <v>#REF!</v>
      </c>
      <c r="F26" s="194" t="e">
        <f t="shared" si="6"/>
        <v>#REF!</v>
      </c>
      <c r="G26" s="194" t="e">
        <f t="shared" si="6"/>
        <v>#REF!</v>
      </c>
      <c r="H26" s="194" t="e">
        <f t="shared" si="6"/>
        <v>#REF!</v>
      </c>
      <c r="I26" s="194" t="e">
        <f t="shared" si="6"/>
        <v>#REF!</v>
      </c>
      <c r="K26" s="191" t="s">
        <v>68</v>
      </c>
      <c r="L26" s="199"/>
      <c r="M26" s="236" t="s">
        <v>84</v>
      </c>
      <c r="U26" s="1709"/>
      <c r="V26" s="1714"/>
    </row>
    <row r="27" spans="1:22" ht="12.75" customHeight="1">
      <c r="A27" s="17" t="str">
        <f t="shared" si="0"/>
        <v>WRP</v>
      </c>
      <c r="B27" s="2379" t="str">
        <f>IF('Mode Opératoire'!$I$1="Français",+'Cpte exploitation 1+2+3'!K27,'Cpte exploitation 1+2+3'!M27)</f>
        <v>Salaires et Charges</v>
      </c>
      <c r="C27" s="2828" t="s">
        <v>547</v>
      </c>
      <c r="D27" s="1896" t="e">
        <f>'Cuadro de Resultados'!D20/1000/'Tipo de cambio'!#REF!</f>
        <v>#REF!</v>
      </c>
      <c r="E27" s="1896" t="e">
        <f>'Cuadro de Resultados'!E20/1000/'Tipo de cambio'!#REF!</f>
        <v>#REF!</v>
      </c>
      <c r="F27" s="1896" t="e">
        <f>'Cuadro de Resultados'!F20/1000/'Tipo de cambio'!#REF!</f>
        <v>#REF!</v>
      </c>
      <c r="G27" s="1896" t="e">
        <f>'Cuadro de Resultados'!G20/1000/'Tipo de cambio'!#REF!</f>
        <v>#REF!</v>
      </c>
      <c r="H27" s="1896" t="e">
        <f>'Cuadro de Resultados'!H20/1000/'Tipo de cambio'!#REF!</f>
        <v>#REF!</v>
      </c>
      <c r="I27" s="1896" t="e">
        <f>'Cuadro de Resultados'!I20/1000/'Tipo de cambio'!#REF!</f>
        <v>#REF!</v>
      </c>
      <c r="K27" s="208" t="s">
        <v>43</v>
      </c>
      <c r="L27" s="2825"/>
      <c r="M27" s="219" t="s">
        <v>85</v>
      </c>
      <c r="U27" s="1708"/>
      <c r="V27" s="1713"/>
    </row>
    <row r="28" spans="1:22">
      <c r="A28" s="17" t="str">
        <f t="shared" si="0"/>
        <v>WRP</v>
      </c>
      <c r="B28" s="2379" t="str">
        <f>IF('Mode Opératoire'!$I$1="Français",+'Cpte exploitation 1+2+3'!K28,'Cpte exploitation 1+2+3'!M28)</f>
        <v>Provisions pour primes</v>
      </c>
      <c r="C28" s="2829"/>
      <c r="D28" s="1896" t="e">
        <f>'Cuadro de Resultados'!#REF!/1000/'Tipo de cambio'!#REF!</f>
        <v>#REF!</v>
      </c>
      <c r="E28" s="1896" t="e">
        <f>'Cuadro de Resultados'!#REF!/1000/'Tipo de cambio'!#REF!</f>
        <v>#REF!</v>
      </c>
      <c r="F28" s="1896" t="e">
        <f>'Cuadro de Resultados'!#REF!/1000/'Tipo de cambio'!#REF!</f>
        <v>#REF!</v>
      </c>
      <c r="G28" s="1896" t="e">
        <f>'Cuadro de Resultados'!#REF!/1000/'Tipo de cambio'!#REF!</f>
        <v>#REF!</v>
      </c>
      <c r="H28" s="1896" t="e">
        <f>'Cuadro de Resultados'!#REF!/1000/'Tipo de cambio'!#REF!</f>
        <v>#REF!</v>
      </c>
      <c r="I28" s="1896" t="e">
        <f>'Cuadro de Resultados'!#REF!/1000/'Tipo de cambio'!#REF!</f>
        <v>#REF!</v>
      </c>
      <c r="K28" s="208" t="s">
        <v>480</v>
      </c>
      <c r="L28" s="2826"/>
      <c r="M28" s="219" t="s">
        <v>739</v>
      </c>
      <c r="U28" s="1708"/>
      <c r="V28" s="1713"/>
    </row>
    <row r="29" spans="1:22">
      <c r="A29" s="17" t="str">
        <f t="shared" si="0"/>
        <v>WRP</v>
      </c>
      <c r="B29" s="2379" t="str">
        <f>IF('Mode Opératoire'!$I$1="Français",+'Cpte exploitation 1+2+3'!K29,'Cpte exploitation 1+2+3'!M29)</f>
        <v>Frais d'embauche</v>
      </c>
      <c r="C29" s="2829"/>
      <c r="D29" s="1896" t="e">
        <f>'Cuadro de Resultados'!D21/1000/'Tipo de cambio'!#REF!</f>
        <v>#REF!</v>
      </c>
      <c r="E29" s="1896" t="e">
        <f>'Cuadro de Resultados'!E21/1000/'Tipo de cambio'!#REF!</f>
        <v>#REF!</v>
      </c>
      <c r="F29" s="1896" t="e">
        <f>'Cuadro de Resultados'!F21/1000/'Tipo de cambio'!#REF!</f>
        <v>#REF!</v>
      </c>
      <c r="G29" s="1896" t="e">
        <f>'Cuadro de Resultados'!G21/1000/'Tipo de cambio'!#REF!</f>
        <v>#REF!</v>
      </c>
      <c r="H29" s="1896" t="e">
        <f>'Cuadro de Resultados'!H21/1000/'Tipo de cambio'!#REF!</f>
        <v>#REF!</v>
      </c>
      <c r="I29" s="1896" t="e">
        <f>'Cuadro de Resultados'!I21/1000/'Tipo de cambio'!#REF!</f>
        <v>#REF!</v>
      </c>
      <c r="K29" s="208" t="s">
        <v>423</v>
      </c>
      <c r="L29" s="2826"/>
      <c r="M29" s="219" t="s">
        <v>227</v>
      </c>
      <c r="U29" s="1708"/>
      <c r="V29" s="1713"/>
    </row>
    <row r="30" spans="1:22">
      <c r="A30" s="17" t="str">
        <f t="shared" si="0"/>
        <v>WRP</v>
      </c>
      <c r="B30" s="2379" t="str">
        <f>IF('Mode Opératoire'!$I$1="Français",+'Cpte exploitation 1+2+3'!K30,'Cpte exploitation 1+2+3'!M30)</f>
        <v>Intérim</v>
      </c>
      <c r="C30" s="2829"/>
      <c r="D30" s="1896" t="e">
        <f>'Cuadro de Resultados'!#REF!/1000/'Tipo de cambio'!#REF!</f>
        <v>#REF!</v>
      </c>
      <c r="E30" s="1896" t="e">
        <f>'Cuadro de Resultados'!#REF!/1000/'Tipo de cambio'!#REF!</f>
        <v>#REF!</v>
      </c>
      <c r="F30" s="1896" t="e">
        <f>'Cuadro de Resultados'!#REF!/1000/'Tipo de cambio'!#REF!</f>
        <v>#REF!</v>
      </c>
      <c r="G30" s="1896" t="e">
        <f>'Cuadro de Resultados'!#REF!/1000/'Tipo de cambio'!#REF!</f>
        <v>#REF!</v>
      </c>
      <c r="H30" s="1896" t="e">
        <f>'Cuadro de Resultados'!#REF!/1000/'Tipo de cambio'!#REF!</f>
        <v>#REF!</v>
      </c>
      <c r="I30" s="1896" t="e">
        <f>'Cuadro de Resultados'!#REF!/1000/'Tipo de cambio'!#REF!</f>
        <v>#REF!</v>
      </c>
      <c r="K30" s="208" t="s">
        <v>76</v>
      </c>
      <c r="L30" s="2826"/>
      <c r="M30" s="219" t="s">
        <v>87</v>
      </c>
      <c r="U30" s="1708"/>
      <c r="V30" s="1713"/>
    </row>
    <row r="31" spans="1:22">
      <c r="A31" s="17" t="str">
        <f t="shared" si="0"/>
        <v>WRP</v>
      </c>
      <c r="B31" s="2379" t="str">
        <f>IF('Mode Opératoire'!$I$1="Français",+'Cpte exploitation 1+2+3'!K31,'Cpte exploitation 1+2+3'!M31)</f>
        <v xml:space="preserve">Formation </v>
      </c>
      <c r="C31" s="2829"/>
      <c r="D31" s="1896" t="e">
        <f>'Cuadro de Resultados'!D22/1000/'Tipo de cambio'!#REF!</f>
        <v>#REF!</v>
      </c>
      <c r="E31" s="1896" t="e">
        <f>'Cuadro de Resultados'!E22/1000/'Tipo de cambio'!#REF!</f>
        <v>#REF!</v>
      </c>
      <c r="F31" s="1896" t="e">
        <f>'Cuadro de Resultados'!F22/1000/'Tipo de cambio'!#REF!</f>
        <v>#REF!</v>
      </c>
      <c r="G31" s="1896" t="e">
        <f>'Cuadro de Resultados'!G22/1000/'Tipo de cambio'!#REF!</f>
        <v>#REF!</v>
      </c>
      <c r="H31" s="1896" t="e">
        <f>'Cuadro de Resultados'!H22/1000/'Tipo de cambio'!#REF!</f>
        <v>#REF!</v>
      </c>
      <c r="I31" s="1896" t="e">
        <f>'Cuadro de Resultados'!I22/1000/'Tipo de cambio'!#REF!</f>
        <v>#REF!</v>
      </c>
      <c r="K31" s="208" t="s">
        <v>86</v>
      </c>
      <c r="L31" s="2826"/>
      <c r="M31" s="219" t="s">
        <v>88</v>
      </c>
      <c r="U31" s="1708"/>
      <c r="V31" s="1713"/>
    </row>
    <row r="32" spans="1:22">
      <c r="A32" s="17" t="str">
        <f t="shared" si="0"/>
        <v>WRP</v>
      </c>
      <c r="B32" s="2379" t="str">
        <f>IF('Mode Opératoire'!$I$1="Français",+'Cpte exploitation 1+2+3'!K32,'Cpte exploitation 1+2+3'!M32)</f>
        <v>Cantine</v>
      </c>
      <c r="C32" s="2829"/>
      <c r="D32" s="1896" t="e">
        <f>'Cuadro de Resultados'!D23/1000/'Tipo de cambio'!#REF!</f>
        <v>#REF!</v>
      </c>
      <c r="E32" s="1896" t="e">
        <f>'Cuadro de Resultados'!E23/1000/'Tipo de cambio'!#REF!</f>
        <v>#REF!</v>
      </c>
      <c r="F32" s="1896" t="e">
        <f>'Cuadro de Resultados'!F23/1000/'Tipo de cambio'!#REF!</f>
        <v>#REF!</v>
      </c>
      <c r="G32" s="1896" t="e">
        <f>'Cuadro de Resultados'!G23/1000/'Tipo de cambio'!#REF!</f>
        <v>#REF!</v>
      </c>
      <c r="H32" s="1896" t="e">
        <f>'Cuadro de Resultados'!H23/1000/'Tipo de cambio'!#REF!</f>
        <v>#REF!</v>
      </c>
      <c r="I32" s="1896" t="e">
        <f>'Cuadro de Resultados'!I23/1000/'Tipo de cambio'!#REF!</f>
        <v>#REF!</v>
      </c>
      <c r="K32" s="208" t="s">
        <v>376</v>
      </c>
      <c r="L32" s="2826"/>
      <c r="M32" s="219" t="s">
        <v>376</v>
      </c>
      <c r="U32" s="1708"/>
      <c r="V32" s="1713"/>
    </row>
    <row r="33" spans="1:22">
      <c r="A33" s="17" t="str">
        <f t="shared" si="0"/>
        <v>WRP</v>
      </c>
      <c r="B33" s="2379" t="str">
        <f>IF('Mode Opératoire'!$I$1="Français",+'Cpte exploitation 1+2+3'!K33,'Cpte exploitation 1+2+3'!M33)</f>
        <v>Autres frais de personnel</v>
      </c>
      <c r="C33" s="2830"/>
      <c r="D33" s="1896" t="e">
        <f>'Cuadro de Resultados'!D24/1000/'Tipo de cambio'!#REF!</f>
        <v>#REF!</v>
      </c>
      <c r="E33" s="1896" t="e">
        <f>'Cuadro de Resultados'!E24/1000/'Tipo de cambio'!#REF!</f>
        <v>#REF!</v>
      </c>
      <c r="F33" s="1896" t="e">
        <f>'Cuadro de Resultados'!F24/1000/'Tipo de cambio'!#REF!</f>
        <v>#REF!</v>
      </c>
      <c r="G33" s="1896" t="e">
        <f>'Cuadro de Resultados'!G24/1000/'Tipo de cambio'!#REF!</f>
        <v>#REF!</v>
      </c>
      <c r="H33" s="1896" t="e">
        <f>'Cuadro de Resultados'!H24/1000/'Tipo de cambio'!#REF!</f>
        <v>#REF!</v>
      </c>
      <c r="I33" s="1896" t="e">
        <f>'Cuadro de Resultados'!I24/1000/'Tipo de cambio'!#REF!</f>
        <v>#REF!</v>
      </c>
      <c r="K33" s="208" t="s">
        <v>46</v>
      </c>
      <c r="L33" s="2827"/>
      <c r="M33" s="219" t="s">
        <v>103</v>
      </c>
      <c r="U33" s="1708"/>
      <c r="V33" s="1713"/>
    </row>
    <row r="34" spans="1:22">
      <c r="A34" s="17" t="str">
        <f t="shared" si="0"/>
        <v>WRP</v>
      </c>
      <c r="B34" s="2398" t="str">
        <f>IF('Mode Opératoire'!$I$1="Français",+'Cpte exploitation 1+2+3'!K34,'Cpte exploitation 1+2+3'!M34)</f>
        <v>Frais de personnel</v>
      </c>
      <c r="C34" s="234"/>
      <c r="D34" s="1068" t="e">
        <f t="shared" ref="D34:I34" si="7">SUM(D27:D33)</f>
        <v>#REF!</v>
      </c>
      <c r="E34" s="1069" t="e">
        <f t="shared" si="7"/>
        <v>#REF!</v>
      </c>
      <c r="F34" s="1068" t="e">
        <f t="shared" si="7"/>
        <v>#REF!</v>
      </c>
      <c r="G34" s="1068" t="e">
        <f t="shared" si="7"/>
        <v>#REF!</v>
      </c>
      <c r="H34" s="1068" t="e">
        <f t="shared" si="7"/>
        <v>#REF!</v>
      </c>
      <c r="I34" s="1068" t="e">
        <f t="shared" si="7"/>
        <v>#REF!</v>
      </c>
      <c r="K34" s="233" t="s">
        <v>117</v>
      </c>
      <c r="L34" s="234"/>
      <c r="M34" s="235" t="s">
        <v>89</v>
      </c>
      <c r="U34" s="1708"/>
      <c r="V34" s="1713"/>
    </row>
    <row r="35" spans="1:22">
      <c r="A35" s="17" t="str">
        <f t="shared" si="0"/>
        <v>WRP</v>
      </c>
      <c r="B35" s="2399" t="str">
        <f>IF('Mode Opératoire'!$I$1="Français",+'Cpte exploitation 1+2+3'!K35,'Cpte exploitation 1+2+3'!M35)</f>
        <v>Amortissements d'exploitation</v>
      </c>
      <c r="C35" s="862" t="s">
        <v>491</v>
      </c>
      <c r="D35" s="1894" t="e">
        <f>'Cuadro de Resultados'!D26/1000/'Tipo de cambio'!#REF!</f>
        <v>#REF!</v>
      </c>
      <c r="E35" s="1894" t="e">
        <f>'Cuadro de Resultados'!E26/1000/'Tipo de cambio'!#REF!</f>
        <v>#REF!</v>
      </c>
      <c r="F35" s="1894" t="e">
        <f>'Cuadro de Resultados'!F26/1000/'Tipo de cambio'!#REF!</f>
        <v>#REF!</v>
      </c>
      <c r="G35" s="1894" t="e">
        <f>'Cuadro de Resultados'!G26/1000/'Tipo de cambio'!#REF!</f>
        <v>#REF!</v>
      </c>
      <c r="H35" s="1894" t="e">
        <f>'Cuadro de Resultados'!H26/1000/'Tipo de cambio'!#REF!</f>
        <v>#REF!</v>
      </c>
      <c r="I35" s="1894" t="e">
        <f>'Cuadro de Resultados'!I26/1000/'Tipo de cambio'!#REF!</f>
        <v>#REF!</v>
      </c>
      <c r="K35" s="208" t="s">
        <v>128</v>
      </c>
      <c r="L35" s="222"/>
      <c r="M35" s="219" t="s">
        <v>104</v>
      </c>
      <c r="U35" s="1708"/>
      <c r="V35" s="1713"/>
    </row>
    <row r="36" spans="1:22" s="23" customFormat="1">
      <c r="A36" s="17" t="str">
        <f t="shared" si="0"/>
        <v>WRP</v>
      </c>
      <c r="B36" s="2400" t="str">
        <f>IF('Mode Opératoire'!$I$1="Français",+'Cpte exploitation 1+2+3'!K36,'Cpte exploitation 1+2+3'!M36)</f>
        <v>Location d'engins</v>
      </c>
      <c r="C36" s="862" t="s">
        <v>491</v>
      </c>
      <c r="D36" s="1895" t="e">
        <f>'Cuadro de Resultados'!#REF!/1000/'Tipo de cambio'!#REF!</f>
        <v>#REF!</v>
      </c>
      <c r="E36" s="1897" t="e">
        <f>'Cuadro de Resultados'!#REF!/1000/'Tipo de cambio'!#REF!</f>
        <v>#REF!</v>
      </c>
      <c r="F36" s="1895" t="e">
        <f>'Cuadro de Resultados'!#REF!/1000/'Tipo de cambio'!#REF!</f>
        <v>#REF!</v>
      </c>
      <c r="G36" s="1895" t="e">
        <f>'Cuadro de Resultados'!#REF!/1000/'Tipo de cambio'!#REF!</f>
        <v>#REF!</v>
      </c>
      <c r="H36" s="1895" t="e">
        <f>'Cuadro de Resultados'!#REF!/1000/'Tipo de cambio'!#REF!</f>
        <v>#REF!</v>
      </c>
      <c r="I36" s="1895" t="e">
        <f>'Cuadro de Resultados'!#REF!/1000/'Tipo de cambio'!#REF!</f>
        <v>#REF!</v>
      </c>
      <c r="K36" s="208" t="s">
        <v>47</v>
      </c>
      <c r="L36" s="222"/>
      <c r="M36" s="219" t="s">
        <v>105</v>
      </c>
      <c r="U36" s="1710"/>
      <c r="V36" s="1715"/>
    </row>
    <row r="37" spans="1:22">
      <c r="A37" s="17" t="str">
        <f t="shared" si="0"/>
        <v>WRP</v>
      </c>
      <c r="B37" s="2400" t="str">
        <f>IF('Mode Opératoire'!$I$1="Français",+'Cpte exploitation 1+2+3'!K37,'Cpte exploitation 1+2+3'!M37)</f>
        <v>Achat de petits matériels</v>
      </c>
      <c r="C37" s="862" t="s">
        <v>491</v>
      </c>
      <c r="D37" s="1895" t="e">
        <f>'Cuadro de Resultados'!#REF!/1000/'Tipo de cambio'!#REF!</f>
        <v>#REF!</v>
      </c>
      <c r="E37" s="1897" t="e">
        <f>'Cuadro de Resultados'!#REF!/1000/'Tipo de cambio'!#REF!</f>
        <v>#REF!</v>
      </c>
      <c r="F37" s="1895" t="e">
        <f>'Cuadro de Resultados'!#REF!/1000/'Tipo de cambio'!#REF!</f>
        <v>#REF!</v>
      </c>
      <c r="G37" s="1895" t="e">
        <f>'Cuadro de Resultados'!#REF!/1000/'Tipo de cambio'!#REF!</f>
        <v>#REF!</v>
      </c>
      <c r="H37" s="1895" t="e">
        <f>'Cuadro de Resultados'!#REF!/1000/'Tipo de cambio'!#REF!</f>
        <v>#REF!</v>
      </c>
      <c r="I37" s="1895" t="e">
        <f>'Cuadro de Resultados'!#REF!/1000/'Tipo de cambio'!#REF!</f>
        <v>#REF!</v>
      </c>
      <c r="J37" s="35"/>
      <c r="K37" s="208" t="s">
        <v>48</v>
      </c>
      <c r="L37" s="222"/>
      <c r="M37" s="219" t="s">
        <v>106</v>
      </c>
      <c r="U37" s="1708"/>
      <c r="V37" s="1713"/>
    </row>
    <row r="38" spans="1:22">
      <c r="A38" s="17" t="str">
        <f t="shared" si="0"/>
        <v>WRP</v>
      </c>
      <c r="B38" s="2400" t="str">
        <f>IF('Mode Opératoire'!$I$1="Français",+'Cpte exploitation 1+2+3'!K38,'Cpte exploitation 1+2+3'!M38)</f>
        <v>Eau / EDF</v>
      </c>
      <c r="C38" s="862" t="s">
        <v>491</v>
      </c>
      <c r="D38" s="1895" t="e">
        <f>'Cuadro de Resultados'!#REF!/1000/'Tipo de cambio'!#REF!</f>
        <v>#REF!</v>
      </c>
      <c r="E38" s="1897" t="e">
        <f>'Cuadro de Resultados'!#REF!/1000/'Tipo de cambio'!#REF!</f>
        <v>#REF!</v>
      </c>
      <c r="F38" s="1897" t="e">
        <f>'Cuadro de Resultados'!#REF!/1000/'Tipo de cambio'!#REF!</f>
        <v>#REF!</v>
      </c>
      <c r="G38" s="1897" t="e">
        <f>'Cuadro de Resultados'!#REF!/1000/'Tipo de cambio'!#REF!</f>
        <v>#REF!</v>
      </c>
      <c r="H38" s="1897" t="e">
        <f>'Cuadro de Resultados'!#REF!/1000/'Tipo de cambio'!#REF!</f>
        <v>#REF!</v>
      </c>
      <c r="I38" s="1897" t="e">
        <f>'Cuadro de Resultados'!#REF!/1000/'Tipo de cambio'!#REF!</f>
        <v>#REF!</v>
      </c>
      <c r="J38" s="35"/>
      <c r="K38" s="208" t="s">
        <v>364</v>
      </c>
      <c r="L38" s="222"/>
      <c r="M38" s="219" t="s">
        <v>737</v>
      </c>
      <c r="U38" s="1708"/>
      <c r="V38" s="1713"/>
    </row>
    <row r="39" spans="1:22">
      <c r="A39" s="17" t="str">
        <f t="shared" si="0"/>
        <v>WRP</v>
      </c>
      <c r="B39" s="2400" t="str">
        <f>IF('Mode Opératoire'!$I$1="Français",+'Cpte exploitation 1+2+3'!K39,'Cpte exploitation 1+2+3'!M39)</f>
        <v>Frais déplacement + frais annexes</v>
      </c>
      <c r="C39" s="827"/>
      <c r="D39" s="1896" t="e">
        <f>'Cuadro de Resultados'!#REF!/1000/'Tipo de cambio'!#REF!</f>
        <v>#REF!</v>
      </c>
      <c r="E39" s="1896" t="e">
        <f>'Cuadro de Resultados'!#REF!/1000/'Tipo de cambio'!#REF!</f>
        <v>#REF!</v>
      </c>
      <c r="F39" s="1896" t="e">
        <f>'Cuadro de Resultados'!#REF!/1000/'Tipo de cambio'!#REF!</f>
        <v>#REF!</v>
      </c>
      <c r="G39" s="1896" t="e">
        <f>'Cuadro de Resultados'!#REF!/1000/'Tipo de cambio'!#REF!</f>
        <v>#REF!</v>
      </c>
      <c r="H39" s="1896" t="e">
        <f>'Cuadro de Resultados'!#REF!/1000/'Tipo de cambio'!#REF!</f>
        <v>#REF!</v>
      </c>
      <c r="I39" s="1896" t="e">
        <f>'Cuadro de Resultados'!#REF!/1000/'Tipo de cambio'!#REF!</f>
        <v>#REF!</v>
      </c>
      <c r="J39" s="35"/>
      <c r="K39" s="208" t="s">
        <v>481</v>
      </c>
      <c r="L39" s="862"/>
      <c r="M39" s="1216" t="s">
        <v>738</v>
      </c>
      <c r="U39" s="1708"/>
      <c r="V39" s="1713"/>
    </row>
    <row r="40" spans="1:22">
      <c r="A40" s="17" t="str">
        <f t="shared" si="0"/>
        <v>WRP</v>
      </c>
      <c r="B40" s="2400" t="str">
        <f>IF('Mode Opératoire'!$I$1="Français",+'Cpte exploitation 1+2+3'!K40,'Cpte exploitation 1+2+3'!M40)</f>
        <v xml:space="preserve">Entretien et réparation </v>
      </c>
      <c r="C40" s="862" t="s">
        <v>491</v>
      </c>
      <c r="D40" s="1895" t="e">
        <f>'Cuadro de Resultados'!D27/1000/'Tipo de cambio'!#REF!</f>
        <v>#REF!</v>
      </c>
      <c r="E40" s="1897" t="e">
        <f>'Cuadro de Resultados'!E27/1000/'Tipo de cambio'!#REF!</f>
        <v>#REF!</v>
      </c>
      <c r="F40" s="1895" t="e">
        <f>'Cuadro de Resultados'!F27/1000/'Tipo de cambio'!#REF!</f>
        <v>#REF!</v>
      </c>
      <c r="G40" s="1895" t="e">
        <f>'Cuadro de Resultados'!G27/1000/'Tipo de cambio'!#REF!</f>
        <v>#REF!</v>
      </c>
      <c r="H40" s="1895" t="e">
        <f>'Cuadro de Resultados'!H27/1000/'Tipo de cambio'!#REF!</f>
        <v>#REF!</v>
      </c>
      <c r="I40" s="1895" t="e">
        <f>'Cuadro de Resultados'!I27/1000/'Tipo de cambio'!#REF!</f>
        <v>#REF!</v>
      </c>
      <c r="J40" s="35"/>
      <c r="K40" s="208" t="s">
        <v>49</v>
      </c>
      <c r="L40" s="222"/>
      <c r="M40" s="219" t="s">
        <v>107</v>
      </c>
      <c r="U40" s="1708"/>
      <c r="V40" s="1713"/>
    </row>
    <row r="41" spans="1:22">
      <c r="A41" s="17" t="str">
        <f t="shared" si="0"/>
        <v>WRP</v>
      </c>
      <c r="B41" s="2401" t="str">
        <f>IF('Mode Opératoire'!$I$1="Français",+'Cpte exploitation 1+2+3'!K41,'Cpte exploitation 1+2+3'!M41)</f>
        <v>Autres frais d'exploitation</v>
      </c>
      <c r="C41" s="862" t="s">
        <v>491</v>
      </c>
      <c r="D41" s="1898" t="e">
        <f>'Cuadro de Resultados'!D30/1000/'Tipo de cambio'!#REF!</f>
        <v>#REF!</v>
      </c>
      <c r="E41" s="1897" t="e">
        <f>'Cuadro de Resultados'!E30/1000/'Tipo de cambio'!#REF!</f>
        <v>#REF!</v>
      </c>
      <c r="F41" s="1895" t="e">
        <f>'Cuadro de Resultados'!F30/1000/'Tipo de cambio'!#REF!</f>
        <v>#REF!</v>
      </c>
      <c r="G41" s="1895" t="e">
        <f>'Cuadro de Resultados'!G30/1000/'Tipo de cambio'!#REF!</f>
        <v>#REF!</v>
      </c>
      <c r="H41" s="1895" t="e">
        <f>'Cuadro de Resultados'!H30/1000/'Tipo de cambio'!#REF!</f>
        <v>#REF!</v>
      </c>
      <c r="I41" s="1895" t="e">
        <f>'Cuadro de Resultados'!I30/1000/'Tipo de cambio'!#REF!</f>
        <v>#REF!</v>
      </c>
      <c r="K41" s="208" t="s">
        <v>50</v>
      </c>
      <c r="L41" s="222"/>
      <c r="M41" s="219" t="s">
        <v>108</v>
      </c>
      <c r="U41" s="1708"/>
      <c r="V41" s="1713"/>
    </row>
    <row r="42" spans="1:22">
      <c r="A42" s="17" t="str">
        <f t="shared" si="0"/>
        <v>WRP</v>
      </c>
      <c r="B42" s="181" t="str">
        <f>IF('Mode Opératoire'!$I$1="Français",+'Cpte exploitation 1+2+3'!K42,'Cpte exploitation 1+2+3'!M42)</f>
        <v>Autres frais d'exploitation</v>
      </c>
      <c r="C42" s="234"/>
      <c r="D42" s="1068" t="e">
        <f t="shared" ref="D42:I42" si="8">SUM(D35:D41)</f>
        <v>#REF!</v>
      </c>
      <c r="E42" s="1069" t="e">
        <f t="shared" si="8"/>
        <v>#REF!</v>
      </c>
      <c r="F42" s="1068" t="e">
        <f t="shared" si="8"/>
        <v>#REF!</v>
      </c>
      <c r="G42" s="1068" t="e">
        <f t="shared" si="8"/>
        <v>#REF!</v>
      </c>
      <c r="H42" s="1068" t="e">
        <f t="shared" si="8"/>
        <v>#REF!</v>
      </c>
      <c r="I42" s="1068" t="e">
        <f t="shared" si="8"/>
        <v>#REF!</v>
      </c>
      <c r="K42" s="233" t="s">
        <v>50</v>
      </c>
      <c r="L42" s="234"/>
      <c r="M42" s="235" t="s">
        <v>90</v>
      </c>
      <c r="U42" s="1708"/>
      <c r="V42" s="1713"/>
    </row>
    <row r="43" spans="1:22">
      <c r="A43" s="17" t="str">
        <f t="shared" si="0"/>
        <v>WRP</v>
      </c>
      <c r="B43" s="2379" t="str">
        <f>IF('Mode Opératoire'!$I$1="Français",+'Cpte exploitation 1+2+3'!K43,'Cpte exploitation 1+2+3'!M43)</f>
        <v>Amortissements agence</v>
      </c>
      <c r="C43" s="862" t="s">
        <v>491</v>
      </c>
      <c r="D43" s="1895" t="e">
        <f>'Cuadro de Resultados'!D28/1000/'Tipo de cambio'!#REF!</f>
        <v>#REF!</v>
      </c>
      <c r="E43" s="1897" t="e">
        <f>'Cuadro de Resultados'!E28/1000/'Tipo de cambio'!#REF!</f>
        <v>#REF!</v>
      </c>
      <c r="F43" s="1895" t="e">
        <f>'Cuadro de Resultados'!F28/1000/'Tipo de cambio'!#REF!</f>
        <v>#REF!</v>
      </c>
      <c r="G43" s="1895" t="e">
        <f>'Cuadro de Resultados'!G28/1000/'Tipo de cambio'!#REF!</f>
        <v>#REF!</v>
      </c>
      <c r="H43" s="1895" t="e">
        <f>'Cuadro de Resultados'!H28/1000/'Tipo de cambio'!#REF!</f>
        <v>#REF!</v>
      </c>
      <c r="I43" s="1895" t="e">
        <f>'Cuadro de Resultados'!I28/1000/'Tipo de cambio'!#REF!</f>
        <v>#REF!</v>
      </c>
      <c r="J43" s="35"/>
      <c r="K43" s="208" t="s">
        <v>129</v>
      </c>
      <c r="L43" s="222"/>
      <c r="M43" s="219" t="s">
        <v>109</v>
      </c>
      <c r="U43" s="1708"/>
      <c r="V43" s="1713"/>
    </row>
    <row r="44" spans="1:22">
      <c r="A44" s="17" t="str">
        <f t="shared" si="0"/>
        <v>WRP</v>
      </c>
      <c r="B44" s="2379" t="str">
        <f>IF('Mode Opératoire'!$I$1="Français",+'Cpte exploitation 1+2+3'!K44,'Cpte exploitation 1+2+3'!M44)</f>
        <v>Entretien Batiments</v>
      </c>
      <c r="C44" s="862" t="s">
        <v>491</v>
      </c>
      <c r="D44" s="1895" t="e">
        <f>'Cuadro de Resultados'!D29/1000/'Tipo de cambio'!#REF!</f>
        <v>#REF!</v>
      </c>
      <c r="E44" s="1897" t="e">
        <f>'Cuadro de Resultados'!E29/1000/'Tipo de cambio'!#REF!</f>
        <v>#REF!</v>
      </c>
      <c r="F44" s="1895" t="e">
        <f>'Cuadro de Resultados'!F29/1000/'Tipo de cambio'!#REF!</f>
        <v>#REF!</v>
      </c>
      <c r="G44" s="1895" t="e">
        <f>'Cuadro de Resultados'!G29/1000/'Tipo de cambio'!#REF!</f>
        <v>#REF!</v>
      </c>
      <c r="H44" s="1895" t="e">
        <f>'Cuadro de Resultados'!H29/1000/'Tipo de cambio'!#REF!</f>
        <v>#REF!</v>
      </c>
      <c r="I44" s="1895" t="e">
        <f>'Cuadro de Resultados'!I29/1000/'Tipo de cambio'!#REF!</f>
        <v>#REF!</v>
      </c>
      <c r="K44" s="208" t="s">
        <v>51</v>
      </c>
      <c r="L44" s="222"/>
      <c r="M44" s="219" t="s">
        <v>110</v>
      </c>
      <c r="U44" s="1708"/>
      <c r="V44" s="1713"/>
    </row>
    <row r="45" spans="1:22">
      <c r="A45" s="17" t="str">
        <f t="shared" si="0"/>
        <v>WRP</v>
      </c>
      <c r="B45" s="2379" t="str">
        <f>IF('Mode Opératoire'!$I$1="Français",+'Cpte exploitation 1+2+3'!K45,'Cpte exploitation 1+2+3'!M45)</f>
        <v>Loyer</v>
      </c>
      <c r="C45" s="862" t="s">
        <v>491</v>
      </c>
      <c r="D45" s="1895" t="e">
        <f>'Cuadro de Resultados'!D32/1000/'Tipo de cambio'!#REF!</f>
        <v>#REF!</v>
      </c>
      <c r="E45" s="1897" t="e">
        <f>'Cuadro de Resultados'!E32/1000/'Tipo de cambio'!#REF!</f>
        <v>#REF!</v>
      </c>
      <c r="F45" s="1895" t="e">
        <f>'Cuadro de Resultados'!F32/1000/'Tipo de cambio'!#REF!</f>
        <v>#REF!</v>
      </c>
      <c r="G45" s="1895" t="e">
        <f>'Cuadro de Resultados'!G32/1000/'Tipo de cambio'!#REF!</f>
        <v>#REF!</v>
      </c>
      <c r="H45" s="1895" t="e">
        <f>'Cuadro de Resultados'!H32/1000/'Tipo de cambio'!#REF!</f>
        <v>#REF!</v>
      </c>
      <c r="I45" s="1895" t="e">
        <f>'Cuadro de Resultados'!I32/1000/'Tipo de cambio'!#REF!</f>
        <v>#REF!</v>
      </c>
      <c r="K45" s="208" t="s">
        <v>23</v>
      </c>
      <c r="L45" s="222"/>
      <c r="M45" s="219" t="s">
        <v>111</v>
      </c>
      <c r="U45" s="1708"/>
      <c r="V45" s="1713"/>
    </row>
    <row r="46" spans="1:22">
      <c r="A46" s="17" t="str">
        <f t="shared" si="0"/>
        <v>WRP</v>
      </c>
      <c r="B46" s="2379" t="str">
        <f>IF('Mode Opératoire'!$I$1="Français",+'Cpte exploitation 1+2+3'!K46,'Cpte exploitation 1+2+3'!M46)</f>
        <v>Coût de transfert</v>
      </c>
      <c r="C46" s="862" t="s">
        <v>491</v>
      </c>
      <c r="D46" s="1895" t="e">
        <f>'Cuadro de Resultados'!#REF!/1000/'Tipo de cambio'!#REF!</f>
        <v>#REF!</v>
      </c>
      <c r="E46" s="1897" t="e">
        <f>'Cuadro de Resultados'!#REF!/1000/'Tipo de cambio'!#REF!</f>
        <v>#REF!</v>
      </c>
      <c r="F46" s="1895" t="e">
        <f>'Cuadro de Resultados'!#REF!/1000/'Tipo de cambio'!#REF!</f>
        <v>#REF!</v>
      </c>
      <c r="G46" s="1895" t="e">
        <f>'Cuadro de Resultados'!#REF!/1000/'Tipo de cambio'!#REF!</f>
        <v>#REF!</v>
      </c>
      <c r="H46" s="1895" t="e">
        <f>'Cuadro de Resultados'!#REF!/1000/'Tipo de cambio'!#REF!</f>
        <v>#REF!</v>
      </c>
      <c r="I46" s="1895" t="e">
        <f>'Cuadro de Resultados'!#REF!/1000/'Tipo de cambio'!#REF!</f>
        <v>#REF!</v>
      </c>
      <c r="K46" s="208" t="s">
        <v>652</v>
      </c>
      <c r="L46" s="222"/>
      <c r="M46" s="219" t="s">
        <v>735</v>
      </c>
      <c r="U46" s="1708"/>
      <c r="V46" s="1713"/>
    </row>
    <row r="47" spans="1:22">
      <c r="A47" s="17" t="str">
        <f t="shared" si="0"/>
        <v>WRP</v>
      </c>
      <c r="B47" s="2379" t="str">
        <f>IF('Mode Opératoire'!$I$1="Français",+'Cpte exploitation 1+2+3'!K47,'Cpte exploitation 1+2+3'!M47)</f>
        <v>Locations diverses (hors immobilière)</v>
      </c>
      <c r="C47" s="862" t="s">
        <v>491</v>
      </c>
      <c r="D47" s="1895" t="e">
        <f>'Cuadro de Resultados'!#REF!/1000/'Tipo de cambio'!#REF!</f>
        <v>#REF!</v>
      </c>
      <c r="E47" s="1897" t="e">
        <f>'Cuadro de Resultados'!#REF!/1000/'Tipo de cambio'!#REF!</f>
        <v>#REF!</v>
      </c>
      <c r="F47" s="1895" t="e">
        <f>'Cuadro de Resultados'!#REF!/1000/'Tipo de cambio'!#REF!</f>
        <v>#REF!</v>
      </c>
      <c r="G47" s="1895" t="e">
        <f>'Cuadro de Resultados'!#REF!/1000/'Tipo de cambio'!#REF!</f>
        <v>#REF!</v>
      </c>
      <c r="H47" s="1895" t="e">
        <f>'Cuadro de Resultados'!#REF!/1000/'Tipo de cambio'!#REF!</f>
        <v>#REF!</v>
      </c>
      <c r="I47" s="1895" t="e">
        <f>'Cuadro de Resultados'!#REF!/1000/'Tipo de cambio'!#REF!</f>
        <v>#REF!</v>
      </c>
      <c r="K47" s="208" t="s">
        <v>641</v>
      </c>
      <c r="L47" s="222"/>
      <c r="M47" s="219" t="s">
        <v>736</v>
      </c>
      <c r="U47" s="1708"/>
      <c r="V47" s="1713"/>
    </row>
    <row r="48" spans="1:22">
      <c r="A48" s="17" t="str">
        <f t="shared" si="0"/>
        <v>WRP</v>
      </c>
      <c r="B48" s="2379" t="str">
        <f>IF('Mode Opératoire'!$I$1="Français",+'Cpte exploitation 1+2+3'!K48,'Cpte exploitation 1+2+3'!M48)</f>
        <v>Honoraires</v>
      </c>
      <c r="C48" s="862" t="s">
        <v>491</v>
      </c>
      <c r="D48" s="1895" t="e">
        <f>'Cuadro de Resultados'!D33/1000/'Tipo de cambio'!#REF!</f>
        <v>#REF!</v>
      </c>
      <c r="E48" s="1897" t="e">
        <f>'Cuadro de Resultados'!E33/1000/'Tipo de cambio'!#REF!</f>
        <v>#REF!</v>
      </c>
      <c r="F48" s="1895" t="e">
        <f>'Cuadro de Resultados'!F33/1000/'Tipo de cambio'!#REF!</f>
        <v>#REF!</v>
      </c>
      <c r="G48" s="1895" t="e">
        <f>'Cuadro de Resultados'!G33/1000/'Tipo de cambio'!#REF!</f>
        <v>#REF!</v>
      </c>
      <c r="H48" s="1895" t="e">
        <f>'Cuadro de Resultados'!H33/1000/'Tipo de cambio'!#REF!</f>
        <v>#REF!</v>
      </c>
      <c r="I48" s="1895" t="e">
        <f>'Cuadro de Resultados'!I33/1000/'Tipo de cambio'!#REF!</f>
        <v>#REF!</v>
      </c>
      <c r="K48" s="208" t="s">
        <v>77</v>
      </c>
      <c r="L48" s="222"/>
      <c r="M48" s="219" t="s">
        <v>112</v>
      </c>
      <c r="U48" s="1708"/>
      <c r="V48" s="1713"/>
    </row>
    <row r="49" spans="1:22">
      <c r="A49" s="17" t="str">
        <f t="shared" si="0"/>
        <v>WRP</v>
      </c>
      <c r="B49" s="2379" t="str">
        <f>IF('Mode Opératoire'!$I$1="Français",+'Cpte exploitation 1+2+3'!K49,'Cpte exploitation 1+2+3'!M49)</f>
        <v>Autres frais de structure</v>
      </c>
      <c r="C49" s="862" t="s">
        <v>491</v>
      </c>
      <c r="D49" s="1895" t="e">
        <f>'Cuadro de Resultados'!D34/1000/'Tipo de cambio'!#REF!</f>
        <v>#REF!</v>
      </c>
      <c r="E49" s="1897" t="e">
        <f>'Cuadro de Resultados'!E34/1000/'Tipo de cambio'!#REF!</f>
        <v>#REF!</v>
      </c>
      <c r="F49" s="1895" t="e">
        <f>'Cuadro de Resultados'!F34/1000/'Tipo de cambio'!#REF!</f>
        <v>#REF!</v>
      </c>
      <c r="G49" s="1895" t="e">
        <f>'Cuadro de Resultados'!G34/1000/'Tipo de cambio'!#REF!</f>
        <v>#REF!</v>
      </c>
      <c r="H49" s="1895" t="e">
        <f>'Cuadro de Resultados'!H34/1000/'Tipo de cambio'!#REF!</f>
        <v>#REF!</v>
      </c>
      <c r="I49" s="1895" t="e">
        <f>'Cuadro de Resultados'!I34/1000/'Tipo de cambio'!#REF!</f>
        <v>#REF!</v>
      </c>
      <c r="K49" s="208" t="s">
        <v>52</v>
      </c>
      <c r="L49" s="222"/>
      <c r="M49" s="219" t="s">
        <v>91</v>
      </c>
      <c r="U49" s="1708"/>
      <c r="V49" s="1713"/>
    </row>
    <row r="50" spans="1:22">
      <c r="A50" s="17" t="str">
        <f t="shared" si="0"/>
        <v>WRP</v>
      </c>
      <c r="B50" s="2385" t="str">
        <f>IF('Mode Opératoire'!$I$1="Français",+'Cpte exploitation 1+2+3'!K50,'Cpte exploitation 1+2+3'!M50)</f>
        <v>Frais d'agence</v>
      </c>
      <c r="C50" s="234"/>
      <c r="D50" s="1063" t="e">
        <f t="shared" ref="D50:I50" si="9">SUM(D43:D49)</f>
        <v>#REF!</v>
      </c>
      <c r="E50" s="1063" t="e">
        <f t="shared" si="9"/>
        <v>#REF!</v>
      </c>
      <c r="F50" s="1063" t="e">
        <f t="shared" si="9"/>
        <v>#REF!</v>
      </c>
      <c r="G50" s="1063" t="e">
        <f t="shared" si="9"/>
        <v>#REF!</v>
      </c>
      <c r="H50" s="1063" t="e">
        <f t="shared" si="9"/>
        <v>#REF!</v>
      </c>
      <c r="I50" s="1063" t="e">
        <f t="shared" si="9"/>
        <v>#REF!</v>
      </c>
      <c r="K50" s="233" t="s">
        <v>119</v>
      </c>
      <c r="L50" s="234"/>
      <c r="M50" s="235" t="s">
        <v>92</v>
      </c>
      <c r="U50" s="1708"/>
      <c r="V50" s="1713"/>
    </row>
    <row r="51" spans="1:22">
      <c r="A51" s="17" t="str">
        <f t="shared" si="0"/>
        <v>WRP</v>
      </c>
      <c r="B51" s="209" t="str">
        <f>IF('Mode Opératoire'!$I$1="Français",+'Cpte exploitation 1+2+3'!K51,'Cpte exploitation 1+2+3'!M51)</f>
        <v>Dépréciation de créances douteuses</v>
      </c>
      <c r="C51" s="1075"/>
      <c r="D51" s="1074"/>
      <c r="E51" s="1074"/>
      <c r="F51" s="1074"/>
      <c r="G51" s="1074"/>
      <c r="H51" s="1074"/>
      <c r="I51" s="1074"/>
      <c r="K51" s="209" t="s">
        <v>188</v>
      </c>
      <c r="L51" s="223"/>
      <c r="M51" s="232" t="s">
        <v>198</v>
      </c>
      <c r="U51" s="1708"/>
      <c r="V51" s="1713"/>
    </row>
    <row r="52" spans="1:22">
      <c r="A52" s="17" t="str">
        <f t="shared" si="0"/>
        <v>WRP</v>
      </c>
      <c r="B52" s="1813" t="str">
        <f>IF('Mode Opératoire'!$I$1="Français",+'Cpte exploitation 1+2+3'!K52,'Cpte exploitation 1+2+3'!M52)</f>
        <v xml:space="preserve">Frais opérationnels </v>
      </c>
      <c r="C52" s="1814"/>
      <c r="D52" s="1072" t="e">
        <f>+D50+D42+D34+D51</f>
        <v>#REF!</v>
      </c>
      <c r="E52" s="1072" t="e">
        <f t="shared" ref="E52:I52" si="10">+E50+E42+E34+E51</f>
        <v>#REF!</v>
      </c>
      <c r="F52" s="1072" t="e">
        <f t="shared" si="10"/>
        <v>#REF!</v>
      </c>
      <c r="G52" s="1072" t="e">
        <f t="shared" si="10"/>
        <v>#REF!</v>
      </c>
      <c r="H52" s="1072" t="e">
        <f t="shared" si="10"/>
        <v>#REF!</v>
      </c>
      <c r="I52" s="1072" t="e">
        <f t="shared" si="10"/>
        <v>#REF!</v>
      </c>
      <c r="J52" s="451"/>
      <c r="K52" s="210" t="s">
        <v>135</v>
      </c>
      <c r="L52" s="211"/>
      <c r="M52" s="230" t="s">
        <v>93</v>
      </c>
      <c r="U52" s="1708"/>
      <c r="V52" s="1713"/>
    </row>
    <row r="53" spans="1:22">
      <c r="A53" s="17" t="str">
        <f t="shared" si="0"/>
        <v>WRP</v>
      </c>
      <c r="B53" s="1815" t="str">
        <f>IF('Mode Opératoire'!$I$1="Français",+'Cpte exploitation 1+2+3'!K53,'Cpte exploitation 1+2+3'!M53)</f>
        <v>% des ventes</v>
      </c>
      <c r="C53" s="1816"/>
      <c r="D53" s="1073" t="e">
        <f t="shared" ref="D53:I53" si="11">IF(D19&lt;&gt;0,D52/D$19,0)</f>
        <v>#REF!</v>
      </c>
      <c r="E53" s="1073" t="e">
        <f t="shared" si="11"/>
        <v>#REF!</v>
      </c>
      <c r="F53" s="1073" t="e">
        <f t="shared" si="11"/>
        <v>#REF!</v>
      </c>
      <c r="G53" s="1073" t="e">
        <f t="shared" si="11"/>
        <v>#REF!</v>
      </c>
      <c r="H53" s="1073" t="e">
        <f t="shared" si="11"/>
        <v>#REF!</v>
      </c>
      <c r="I53" s="1073" t="e">
        <f t="shared" si="11"/>
        <v>#REF!</v>
      </c>
      <c r="K53" s="212" t="s">
        <v>68</v>
      </c>
      <c r="L53" s="213"/>
      <c r="M53" s="231" t="s">
        <v>84</v>
      </c>
      <c r="U53" s="1708"/>
      <c r="V53" s="1713"/>
    </row>
    <row r="54" spans="1:22">
      <c r="A54" s="17" t="str">
        <f t="shared" si="0"/>
        <v>WRP</v>
      </c>
      <c r="B54" s="190" t="str">
        <f>IF('Mode Opératoire'!$I$1="Français",+'Cpte exploitation 1+2+3'!K54,'Cpte exploitation 1+2+3'!M54)</f>
        <v>Marge sur Coûts Directs</v>
      </c>
      <c r="C54" s="198"/>
      <c r="D54" s="226" t="e">
        <f>+D25+D52</f>
        <v>#REF!</v>
      </c>
      <c r="E54" s="226" t="e">
        <f t="shared" ref="E54:I54" si="12">+E25+E52</f>
        <v>#REF!</v>
      </c>
      <c r="F54" s="226" t="e">
        <f t="shared" si="12"/>
        <v>#REF!</v>
      </c>
      <c r="G54" s="226" t="e">
        <f t="shared" si="12"/>
        <v>#REF!</v>
      </c>
      <c r="H54" s="226" t="e">
        <f t="shared" si="12"/>
        <v>#REF!</v>
      </c>
      <c r="I54" s="226" t="e">
        <f t="shared" si="12"/>
        <v>#REF!</v>
      </c>
      <c r="K54" s="190" t="s">
        <v>953</v>
      </c>
      <c r="L54" s="198"/>
      <c r="M54" s="218" t="s">
        <v>954</v>
      </c>
      <c r="U54" s="1708"/>
      <c r="V54" s="1713"/>
    </row>
    <row r="55" spans="1:22">
      <c r="A55" s="17" t="str">
        <f t="shared" si="0"/>
        <v>WRP</v>
      </c>
      <c r="B55" s="214" t="str">
        <f>IF('Mode Opératoire'!$I$1="Français",+'Cpte exploitation 1+2+3'!K55,'Cpte exploitation 1+2+3'!M55)</f>
        <v>% des ventes</v>
      </c>
      <c r="C55" s="224"/>
      <c r="D55" s="221" t="e">
        <f t="shared" ref="D55:I55" si="13">IF(D$19&lt;&gt;0,D54/D$19,0)</f>
        <v>#REF!</v>
      </c>
      <c r="E55" s="221" t="e">
        <f t="shared" si="13"/>
        <v>#REF!</v>
      </c>
      <c r="F55" s="221" t="e">
        <f t="shared" si="13"/>
        <v>#REF!</v>
      </c>
      <c r="G55" s="221" t="e">
        <f t="shared" si="13"/>
        <v>#REF!</v>
      </c>
      <c r="H55" s="221" t="e">
        <f t="shared" si="13"/>
        <v>#REF!</v>
      </c>
      <c r="I55" s="221" t="e">
        <f t="shared" si="13"/>
        <v>#REF!</v>
      </c>
      <c r="K55" s="214" t="s">
        <v>68</v>
      </c>
      <c r="L55" s="224"/>
      <c r="M55" s="220" t="s">
        <v>84</v>
      </c>
      <c r="U55" s="1708"/>
      <c r="V55" s="1713"/>
    </row>
    <row r="56" spans="1:22">
      <c r="A56" s="17" t="str">
        <f>+$H$6&amp;"opé"</f>
        <v>WRPopé</v>
      </c>
      <c r="B56" s="215" t="str">
        <f>IF('Mode Opératoire'!$I$1="Français",+'Cpte exploitation 1+2+3'!K56,'Cpte exploitation 1+2+3'!M56)</f>
        <v>Frais de Siège opérationnel</v>
      </c>
      <c r="C56" s="1893">
        <f>VLOOKUP(A56,'Quote part frais'!L5:M95,2,FALSE)</f>
        <v>-3.9096532090425011E-2</v>
      </c>
      <c r="D56" s="1064" t="e">
        <f>ROUND($C$56*D19,0)</f>
        <v>#REF!</v>
      </c>
      <c r="E56" s="1064" t="e">
        <f t="shared" ref="E56:I56" si="14">ROUND($C$56*E19,0)</f>
        <v>#REF!</v>
      </c>
      <c r="F56" s="1064" t="e">
        <f t="shared" si="14"/>
        <v>#REF!</v>
      </c>
      <c r="G56" s="1064" t="e">
        <f t="shared" si="14"/>
        <v>#REF!</v>
      </c>
      <c r="H56" s="1064" t="e">
        <f t="shared" si="14"/>
        <v>#REF!</v>
      </c>
      <c r="I56" s="1064" t="e">
        <f t="shared" si="14"/>
        <v>#REF!</v>
      </c>
      <c r="K56" s="215" t="s">
        <v>955</v>
      </c>
      <c r="L56" s="237" t="str">
        <f>IF(SUM(M15:R15)=0,"-",AVERAGE((SUM(M56:R56)/SUM(M15:R15))))</f>
        <v>-</v>
      </c>
      <c r="M56" s="1697" t="s">
        <v>957</v>
      </c>
      <c r="U56" s="1708" t="s">
        <v>983</v>
      </c>
      <c r="V56" s="1713" t="s">
        <v>992</v>
      </c>
    </row>
    <row r="57" spans="1:22">
      <c r="A57" s="17" t="str">
        <f t="shared" si="0"/>
        <v>WRP</v>
      </c>
      <c r="B57" s="216" t="str">
        <f>IF('Mode Opératoire'!$I$1="Français",+'Cpte exploitation 1+2+3'!K57,'Cpte exploitation 1+2+3'!M57)</f>
        <v>% des ventes</v>
      </c>
      <c r="C57" s="217"/>
      <c r="D57" s="1066" t="e">
        <f>IF(D19&lt;&gt;0,D56/D$19,0)</f>
        <v>#REF!</v>
      </c>
      <c r="E57" s="1066" t="e">
        <f t="shared" ref="E57:I57" si="15">IF(E19&lt;&gt;0,E56/E$19,0)</f>
        <v>#REF!</v>
      </c>
      <c r="F57" s="1066" t="e">
        <f t="shared" si="15"/>
        <v>#REF!</v>
      </c>
      <c r="G57" s="1066" t="e">
        <f t="shared" si="15"/>
        <v>#REF!</v>
      </c>
      <c r="H57" s="1066" t="e">
        <f t="shared" si="15"/>
        <v>#REF!</v>
      </c>
      <c r="I57" s="1066" t="e">
        <f t="shared" si="15"/>
        <v>#REF!</v>
      </c>
      <c r="K57" s="216" t="s">
        <v>68</v>
      </c>
      <c r="L57" s="217"/>
      <c r="M57" s="1697"/>
      <c r="U57" s="1708"/>
      <c r="V57" s="1713"/>
    </row>
    <row r="58" spans="1:22">
      <c r="A58" s="17" t="str">
        <f t="shared" si="0"/>
        <v>WRP</v>
      </c>
      <c r="B58" s="190" t="str">
        <f>IF('Mode Opératoire'!$I$1="Français",+'Cpte exploitation 1+2+3'!K58,'Cpte exploitation 1+2+3'!M58)</f>
        <v>Résultat d'activité</v>
      </c>
      <c r="C58" s="198"/>
      <c r="D58" s="226" t="e">
        <f>+D54+D56</f>
        <v>#REF!</v>
      </c>
      <c r="E58" s="226" t="e">
        <f t="shared" ref="E58:I58" si="16">+E54+E56</f>
        <v>#REF!</v>
      </c>
      <c r="F58" s="226" t="e">
        <f t="shared" si="16"/>
        <v>#REF!</v>
      </c>
      <c r="G58" s="226" t="e">
        <f t="shared" si="16"/>
        <v>#REF!</v>
      </c>
      <c r="H58" s="226" t="e">
        <f t="shared" si="16"/>
        <v>#REF!</v>
      </c>
      <c r="I58" s="226" t="e">
        <f t="shared" si="16"/>
        <v>#REF!</v>
      </c>
      <c r="K58" s="190" t="s">
        <v>187</v>
      </c>
      <c r="L58" s="198"/>
      <c r="M58" s="218" t="s">
        <v>195</v>
      </c>
      <c r="U58" s="1708"/>
      <c r="V58" s="1713"/>
    </row>
    <row r="59" spans="1:22">
      <c r="A59" s="17" t="str">
        <f t="shared" si="0"/>
        <v>WRP</v>
      </c>
      <c r="B59" s="214" t="str">
        <f>IF('Mode Opératoire'!$I$1="Français",+'Cpte exploitation 1+2+3'!K59,'Cpte exploitation 1+2+3'!M59)</f>
        <v>% des ventes</v>
      </c>
      <c r="C59" s="224"/>
      <c r="D59" s="221" t="e">
        <f t="shared" ref="D59:I59" si="17">IF(D$19&lt;&gt;0,D58/D$19,0)</f>
        <v>#REF!</v>
      </c>
      <c r="E59" s="221" t="e">
        <f t="shared" si="17"/>
        <v>#REF!</v>
      </c>
      <c r="F59" s="221" t="e">
        <f t="shared" si="17"/>
        <v>#REF!</v>
      </c>
      <c r="G59" s="221" t="e">
        <f t="shared" si="17"/>
        <v>#REF!</v>
      </c>
      <c r="H59" s="221" t="e">
        <f t="shared" si="17"/>
        <v>#REF!</v>
      </c>
      <c r="I59" s="221" t="e">
        <f t="shared" si="17"/>
        <v>#REF!</v>
      </c>
      <c r="K59" s="214" t="s">
        <v>68</v>
      </c>
      <c r="L59" s="224"/>
      <c r="M59" s="220" t="s">
        <v>84</v>
      </c>
      <c r="U59" s="1708"/>
      <c r="V59" s="1713"/>
    </row>
    <row r="60" spans="1:22" s="20" customFormat="1">
      <c r="A60" s="17" t="str">
        <f>+$H$6&amp;"HQ"</f>
        <v>WRPHQ</v>
      </c>
      <c r="B60" s="215" t="str">
        <f>IF('Mode Opératoire'!$I$1="Français",+'Cpte exploitation 1+2+3'!K60,'Cpte exploitation 1+2+3'!M60)</f>
        <v>Frais Groupe</v>
      </c>
      <c r="C60" s="237">
        <f>VLOOKUP(A60,'Quote part frais'!L6:M95,2,FALSE)</f>
        <v>-4.4780306967435374E-2</v>
      </c>
      <c r="D60" s="1064" t="e">
        <f>ROUND($C$60*D19,0)</f>
        <v>#REF!</v>
      </c>
      <c r="E60" s="1064" t="e">
        <f t="shared" ref="E60:I60" si="18">ROUND($C$60*E19,0)</f>
        <v>#REF!</v>
      </c>
      <c r="F60" s="1064" t="e">
        <f t="shared" si="18"/>
        <v>#REF!</v>
      </c>
      <c r="G60" s="1064" t="e">
        <f t="shared" si="18"/>
        <v>#REF!</v>
      </c>
      <c r="H60" s="1064" t="e">
        <f t="shared" si="18"/>
        <v>#REF!</v>
      </c>
      <c r="I60" s="1064" t="e">
        <f t="shared" si="18"/>
        <v>#REF!</v>
      </c>
      <c r="K60" s="215" t="s">
        <v>956</v>
      </c>
      <c r="L60" s="237" t="str">
        <f>IF(SUM(M19:R19)=0,"-",AVERAGE((SUM(M60:R60)/SUM(M19:R19))))</f>
        <v>-</v>
      </c>
      <c r="M60" s="228" t="s">
        <v>958</v>
      </c>
      <c r="U60" s="1708" t="s">
        <v>984</v>
      </c>
      <c r="V60" s="1713" t="s">
        <v>993</v>
      </c>
    </row>
    <row r="61" spans="1:22" s="20" customFormat="1">
      <c r="A61" s="17" t="str">
        <f t="shared" si="0"/>
        <v>WRP</v>
      </c>
      <c r="B61" s="216" t="str">
        <f>IF('Mode Opératoire'!$I$1="Français",+'Cpte exploitation 1+2+3'!K61,'Cpte exploitation 1+2+3'!M61)</f>
        <v>% des ventes</v>
      </c>
      <c r="C61" s="217"/>
      <c r="D61" s="1066" t="e">
        <f t="shared" ref="D61:I61" si="19">IF(D19&lt;&gt;0,D60/D$19,0)</f>
        <v>#REF!</v>
      </c>
      <c r="E61" s="1066" t="e">
        <f t="shared" si="19"/>
        <v>#REF!</v>
      </c>
      <c r="F61" s="1066" t="e">
        <f t="shared" si="19"/>
        <v>#REF!</v>
      </c>
      <c r="G61" s="1066" t="e">
        <f t="shared" si="19"/>
        <v>#REF!</v>
      </c>
      <c r="H61" s="1066" t="e">
        <f t="shared" si="19"/>
        <v>#REF!</v>
      </c>
      <c r="I61" s="1066" t="e">
        <f t="shared" si="19"/>
        <v>#REF!</v>
      </c>
      <c r="K61" s="216" t="s">
        <v>68</v>
      </c>
      <c r="L61" s="217"/>
      <c r="M61" s="229" t="s">
        <v>84</v>
      </c>
      <c r="U61" s="1708"/>
      <c r="V61" s="1713"/>
    </row>
    <row r="62" spans="1:22" s="20" customFormat="1">
      <c r="A62" s="17" t="str">
        <f>+$H$6&amp;"HQ"</f>
        <v>WRPHQ</v>
      </c>
      <c r="B62" s="215" t="s">
        <v>1388</v>
      </c>
      <c r="C62" s="237"/>
      <c r="D62" s="1064" t="e">
        <f>-1.25%*SUM(D15:D18)-1.75%*D14</f>
        <v>#REF!</v>
      </c>
      <c r="E62" s="1064" t="e">
        <f t="shared" ref="E62:I62" si="20">-1.25%*SUM(E15:E18)-1.75%*E14</f>
        <v>#REF!</v>
      </c>
      <c r="F62" s="1064" t="e">
        <f t="shared" si="20"/>
        <v>#REF!</v>
      </c>
      <c r="G62" s="1064" t="e">
        <f t="shared" si="20"/>
        <v>#REF!</v>
      </c>
      <c r="H62" s="1064" t="e">
        <f t="shared" si="20"/>
        <v>#REF!</v>
      </c>
      <c r="I62" s="1064" t="e">
        <f t="shared" si="20"/>
        <v>#REF!</v>
      </c>
      <c r="K62" s="215" t="s">
        <v>956</v>
      </c>
      <c r="L62" s="237" t="str">
        <f>IF(SUM(M21:R21)=0,"-",AVERAGE((SUM(M62:R62)/SUM(M21:R21))))</f>
        <v>-</v>
      </c>
      <c r="M62" s="228" t="s">
        <v>958</v>
      </c>
      <c r="U62" s="1708"/>
      <c r="V62" s="1713"/>
    </row>
    <row r="63" spans="1:22" s="20" customFormat="1">
      <c r="A63" s="17" t="str">
        <f t="shared" si="0"/>
        <v>WRP</v>
      </c>
      <c r="B63" s="216" t="str">
        <f>IF('Mode Opératoire'!$I$1="Français",+'Cpte exploitation 1+2+3'!K63,'Cpte exploitation 1+2+3'!M63)</f>
        <v>% des ventes</v>
      </c>
      <c r="C63" s="217"/>
      <c r="D63" s="1066" t="e">
        <f t="shared" ref="D63:I63" si="21">IF(D21&lt;&gt;0,D62/D$19,0)</f>
        <v>#REF!</v>
      </c>
      <c r="E63" s="1066" t="e">
        <f t="shared" si="21"/>
        <v>#REF!</v>
      </c>
      <c r="F63" s="1066" t="e">
        <f t="shared" si="21"/>
        <v>#REF!</v>
      </c>
      <c r="G63" s="1066" t="e">
        <f t="shared" si="21"/>
        <v>#REF!</v>
      </c>
      <c r="H63" s="1066" t="e">
        <f t="shared" si="21"/>
        <v>#REF!</v>
      </c>
      <c r="I63" s="1066" t="e">
        <f t="shared" si="21"/>
        <v>#REF!</v>
      </c>
      <c r="K63" s="216" t="s">
        <v>68</v>
      </c>
      <c r="L63" s="217"/>
      <c r="M63" s="229" t="s">
        <v>84</v>
      </c>
      <c r="U63" s="1708"/>
      <c r="V63" s="1713"/>
    </row>
    <row r="64" spans="1:22">
      <c r="A64" s="17" t="str">
        <f t="shared" si="0"/>
        <v>WRP</v>
      </c>
      <c r="B64" s="190" t="str">
        <f>IF('Mode Opératoire'!$I$1="Français",+'Cpte exploitation 1+2+3'!K64,'Cpte exploitation 1+2+3'!M64)</f>
        <v>Résultat Opérationnel Courant</v>
      </c>
      <c r="C64" s="198"/>
      <c r="D64" s="226" t="e">
        <f>+D58+D60+D62</f>
        <v>#REF!</v>
      </c>
      <c r="E64" s="226" t="e">
        <f t="shared" ref="E64:I64" si="22">+E58+E60+E62</f>
        <v>#REF!</v>
      </c>
      <c r="F64" s="226" t="e">
        <f t="shared" si="22"/>
        <v>#REF!</v>
      </c>
      <c r="G64" s="226" t="e">
        <f t="shared" si="22"/>
        <v>#REF!</v>
      </c>
      <c r="H64" s="226" t="e">
        <f t="shared" si="22"/>
        <v>#REF!</v>
      </c>
      <c r="I64" s="226" t="e">
        <f t="shared" si="22"/>
        <v>#REF!</v>
      </c>
      <c r="K64" s="190" t="s">
        <v>148</v>
      </c>
      <c r="L64" s="198"/>
      <c r="M64" s="218" t="s">
        <v>94</v>
      </c>
      <c r="U64" s="1708"/>
      <c r="V64" s="1713"/>
    </row>
    <row r="65" spans="1:22">
      <c r="A65" s="17" t="str">
        <f t="shared" si="0"/>
        <v>WRP</v>
      </c>
      <c r="B65" s="214" t="str">
        <f>IF('Mode Opératoire'!$I$1="Français",+'Cpte exploitation 1+2+3'!K65,'Cpte exploitation 1+2+3'!M65)</f>
        <v>% des ventes</v>
      </c>
      <c r="C65" s="224"/>
      <c r="D65" s="221" t="e">
        <f t="shared" ref="D65:I65" si="23">IF(D$19&lt;&gt;0,D64/D$19,0)</f>
        <v>#REF!</v>
      </c>
      <c r="E65" s="221" t="e">
        <f t="shared" si="23"/>
        <v>#REF!</v>
      </c>
      <c r="F65" s="221" t="e">
        <f t="shared" si="23"/>
        <v>#REF!</v>
      </c>
      <c r="G65" s="221" t="e">
        <f t="shared" si="23"/>
        <v>#REF!</v>
      </c>
      <c r="H65" s="221" t="e">
        <f t="shared" si="23"/>
        <v>#REF!</v>
      </c>
      <c r="I65" s="221" t="e">
        <f t="shared" si="23"/>
        <v>#REF!</v>
      </c>
      <c r="K65" s="214" t="s">
        <v>68</v>
      </c>
      <c r="L65" s="224"/>
      <c r="M65" s="220" t="s">
        <v>84</v>
      </c>
      <c r="U65" s="1708"/>
      <c r="V65" s="1713"/>
    </row>
    <row r="66" spans="1:22">
      <c r="B66" s="75"/>
      <c r="C66" s="75"/>
      <c r="D66" s="76"/>
      <c r="E66" s="76"/>
      <c r="F66" s="76"/>
      <c r="G66" s="76"/>
      <c r="H66" s="76"/>
      <c r="I66" s="76"/>
      <c r="K66" s="75"/>
      <c r="L66" s="75"/>
      <c r="M66" s="75"/>
      <c r="U66" s="1708"/>
      <c r="V66" s="1713"/>
    </row>
    <row r="67" spans="1:22">
      <c r="B67" s="21"/>
      <c r="C67" s="21"/>
      <c r="D67" s="77"/>
      <c r="E67" s="77"/>
      <c r="F67" s="77"/>
      <c r="G67" s="77"/>
      <c r="H67" s="77"/>
      <c r="I67" s="77"/>
      <c r="K67" s="21"/>
      <c r="L67" s="21"/>
      <c r="M67" s="21"/>
      <c r="U67" s="1708"/>
      <c r="V67" s="1713"/>
    </row>
    <row r="68" spans="1:22">
      <c r="B68" s="45" t="str">
        <f>IF('Mode Opératoire'!$I$1="Français",+'Cpte exploitation 1+2+3'!K68,'Cpte exploitation 1+2+3'!M68)</f>
        <v>Effectifs opérationnels fin d'année</v>
      </c>
      <c r="C68" s="140"/>
      <c r="D68" s="44"/>
      <c r="E68" s="44"/>
      <c r="F68" s="44"/>
      <c r="G68" s="44"/>
      <c r="H68" s="44"/>
      <c r="I68" s="44"/>
      <c r="K68" s="45" t="s">
        <v>121</v>
      </c>
      <c r="L68" s="140"/>
      <c r="M68" s="49"/>
      <c r="U68" s="1708"/>
      <c r="V68" s="1713"/>
    </row>
    <row r="69" spans="1:22">
      <c r="A69" s="17" t="str">
        <f>+$H$6</f>
        <v>WRP</v>
      </c>
      <c r="B69" s="2378" t="str">
        <f>IF('Mode Opératoire'!$I$1="Français",+'Cpte exploitation 1+2+3'!K69,'Cpte exploitation 1+2+3'!M69)</f>
        <v>Inscrits (ETP)</v>
      </c>
      <c r="C69" s="1076"/>
      <c r="D69" s="1899">
        <f>(VLOOKUP($A$27,'cost calculateur'!$E$44:$EA$65,12,FALSE))</f>
        <v>0</v>
      </c>
      <c r="E69" s="1899">
        <f>(VLOOKUP($A$27,'cost calculateur'!$E$44:$EA$65,13,FALSE))</f>
        <v>0</v>
      </c>
      <c r="F69" s="1899">
        <f>(VLOOKUP($A$27,'cost calculateur'!$E$44:$EA$65,14,FALSE))</f>
        <v>0</v>
      </c>
      <c r="G69" s="1899">
        <f>(VLOOKUP($A$27,'cost calculateur'!$E$44:$EA$65,15,FALSE))</f>
        <v>0</v>
      </c>
      <c r="H69" s="1899">
        <f>(VLOOKUP($A$27,'cost calculateur'!$E$44:$EA$65,16,FALSE))</f>
        <v>0</v>
      </c>
      <c r="I69" s="1900">
        <f>(VLOOKUP($A$27,'cost calculateur'!$E$44:$EA$65,16,FALSE))</f>
        <v>0</v>
      </c>
      <c r="J69" s="452"/>
      <c r="K69" s="207" t="s">
        <v>122</v>
      </c>
      <c r="L69" s="828"/>
      <c r="M69" s="245" t="s">
        <v>102</v>
      </c>
      <c r="U69" s="1708"/>
      <c r="V69" s="1713" t="s">
        <v>973</v>
      </c>
    </row>
    <row r="70" spans="1:22">
      <c r="A70" s="17" t="str">
        <f>+$H$6</f>
        <v>WRP</v>
      </c>
      <c r="B70" s="2395" t="str">
        <f>IF('Mode Opératoire'!$I$1="Français",+'Cpte exploitation 1+2+3'!K70,'Cpte exploitation 1+2+3'!M70)</f>
        <v xml:space="preserve"> Intérimaires</v>
      </c>
      <c r="C70" s="1077"/>
      <c r="D70" s="1901">
        <f>(VLOOKUP($A$27,'cost calculateur'!$E$68:$EA$90,12,FALSE))</f>
        <v>0</v>
      </c>
      <c r="E70" s="1901">
        <f>(VLOOKUP($A$27,'cost calculateur'!$E$68:$EA$90,13,FALSE))</f>
        <v>0</v>
      </c>
      <c r="F70" s="1901">
        <f>(VLOOKUP($A$27,'cost calculateur'!$E$68:$EA$90,14,FALSE))</f>
        <v>0</v>
      </c>
      <c r="G70" s="1901">
        <f>(VLOOKUP($A$27,'cost calculateur'!$E$68:$EA$90,15,FALSE))</f>
        <v>0</v>
      </c>
      <c r="H70" s="1901">
        <f>(VLOOKUP($A$27,'cost calculateur'!$E$68:$EA$90,16,FALSE))</f>
        <v>0</v>
      </c>
      <c r="I70" s="1902">
        <f>(VLOOKUP($A$27,'cost calculateur'!$E$68:$EA$90,16,FALSE))</f>
        <v>0</v>
      </c>
      <c r="K70" s="244" t="s">
        <v>53</v>
      </c>
      <c r="L70" s="829"/>
      <c r="M70" s="246" t="s">
        <v>95</v>
      </c>
      <c r="U70" s="1708" t="s">
        <v>975</v>
      </c>
      <c r="V70" s="1713"/>
    </row>
    <row r="71" spans="1:22">
      <c r="B71" s="239" t="str">
        <f>IF('Mode Opératoire'!$I$1="Français",+'Cpte exploitation 1+2+3'!K71,'Cpte exploitation 1+2+3'!M71)</f>
        <v>Effectifs Opérationnels</v>
      </c>
      <c r="C71" s="240"/>
      <c r="D71" s="241">
        <f t="shared" ref="D71:H71" si="24">SUM(D69:D70)</f>
        <v>0</v>
      </c>
      <c r="E71" s="241">
        <f t="shared" si="24"/>
        <v>0</v>
      </c>
      <c r="F71" s="241">
        <f t="shared" si="24"/>
        <v>0</v>
      </c>
      <c r="G71" s="241">
        <f t="shared" si="24"/>
        <v>0</v>
      </c>
      <c r="H71" s="241">
        <f t="shared" si="24"/>
        <v>0</v>
      </c>
      <c r="I71" s="242">
        <f t="shared" ref="I71" si="25">SUM(I69:I70)</f>
        <v>0</v>
      </c>
      <c r="K71" s="239" t="s">
        <v>120</v>
      </c>
      <c r="L71" s="240"/>
      <c r="M71" s="243" t="s">
        <v>96</v>
      </c>
      <c r="U71" s="1708"/>
      <c r="V71" s="1713"/>
    </row>
    <row r="72" spans="1:22">
      <c r="B72" s="17">
        <f>IF('Mode Opératoire'!$I$1="Français",+'Cpte exploitation 1+2+3'!K72,'Cpte exploitation 1+2+3'!M72)</f>
        <v>0</v>
      </c>
      <c r="U72" s="1708"/>
      <c r="V72" s="1713"/>
    </row>
    <row r="73" spans="1:22" ht="18" customHeight="1">
      <c r="B73" s="247" t="str">
        <f>IF('Mode Opératoire'!$I$1="Français",+'Cpte exploitation 1+2+3'!K73,'Cpte exploitation 1+2+3'!M73)</f>
        <v xml:space="preserve">cout moyen/effectifs </v>
      </c>
      <c r="C73" s="248"/>
      <c r="D73" s="249" t="str">
        <f>IF(D71=0,"-",D34/D71)</f>
        <v>-</v>
      </c>
      <c r="E73" s="249" t="str">
        <f t="shared" ref="E73:I73" si="26">IF(E71=0,"-",E34/E71)</f>
        <v>-</v>
      </c>
      <c r="F73" s="249" t="str">
        <f t="shared" si="26"/>
        <v>-</v>
      </c>
      <c r="G73" s="249" t="str">
        <f t="shared" si="26"/>
        <v>-</v>
      </c>
      <c r="H73" s="249" t="str">
        <f t="shared" si="26"/>
        <v>-</v>
      </c>
      <c r="I73" s="250" t="str">
        <f t="shared" si="26"/>
        <v>-</v>
      </c>
      <c r="K73" s="247" t="s">
        <v>839</v>
      </c>
      <c r="L73" s="248"/>
      <c r="M73" s="1579" t="s">
        <v>840</v>
      </c>
      <c r="U73" s="1708"/>
      <c r="V73" s="1713"/>
    </row>
    <row r="74" spans="1:22" ht="18" customHeight="1">
      <c r="B74" s="251" t="str">
        <f>IF('Mode Opératoire'!$I$1="Français",+'Cpte exploitation 1+2+3'!K74,'Cpte exploitation 1+2+3'!M74)</f>
        <v>RAC/effectifs</v>
      </c>
      <c r="C74" s="252"/>
      <c r="D74" s="253" t="str">
        <f>IF(D71=0,"-",D58/D71)</f>
        <v>-</v>
      </c>
      <c r="E74" s="253" t="str">
        <f t="shared" ref="E74:I74" si="27">IF(E71=0,"-",E58/E71)</f>
        <v>-</v>
      </c>
      <c r="F74" s="253" t="str">
        <f t="shared" si="27"/>
        <v>-</v>
      </c>
      <c r="G74" s="253" t="str">
        <f t="shared" si="27"/>
        <v>-</v>
      </c>
      <c r="H74" s="253" t="str">
        <f t="shared" si="27"/>
        <v>-</v>
      </c>
      <c r="I74" s="253" t="str">
        <f t="shared" si="27"/>
        <v>-</v>
      </c>
      <c r="K74" s="251" t="s">
        <v>959</v>
      </c>
      <c r="L74" s="252"/>
      <c r="M74" s="1580" t="s">
        <v>961</v>
      </c>
      <c r="U74" s="1708"/>
      <c r="V74" s="1713"/>
    </row>
    <row r="75" spans="1:22" ht="18" customHeight="1">
      <c r="B75" s="251" t="str">
        <f>IF('Mode Opératoire'!$I$1="Français",+'Cpte exploitation 1+2+3'!K75,'Cpte exploitation 1+2+3'!M75)</f>
        <v>MCO/effectifs</v>
      </c>
      <c r="C75" s="1698"/>
      <c r="D75" s="253" t="str">
        <f>IF(D71=0,"-",D22/D71)</f>
        <v>-</v>
      </c>
      <c r="E75" s="1699" t="str">
        <f t="shared" ref="E75:I75" si="28">IF(E71=0,"-",E22/E71)</f>
        <v>-</v>
      </c>
      <c r="F75" s="1699" t="str">
        <f t="shared" si="28"/>
        <v>-</v>
      </c>
      <c r="G75" s="1699" t="str">
        <f t="shared" si="28"/>
        <v>-</v>
      </c>
      <c r="H75" s="1699" t="str">
        <f t="shared" si="28"/>
        <v>-</v>
      </c>
      <c r="I75" s="1699" t="str">
        <f t="shared" si="28"/>
        <v>-</v>
      </c>
      <c r="K75" s="251" t="s">
        <v>960</v>
      </c>
      <c r="L75" s="1698"/>
      <c r="M75" s="1700" t="s">
        <v>962</v>
      </c>
      <c r="U75" s="1708"/>
      <c r="V75" s="1713"/>
    </row>
    <row r="76" spans="1:22" ht="18" customHeight="1">
      <c r="B76" s="254" t="str">
        <f>IF('Mode Opératoire'!$I$1="Français",+'Cpte exploitation 1+2+3'!K76,'Cpte exploitation 1+2+3'!M76)</f>
        <v>Total Frais Indirect</v>
      </c>
      <c r="C76" s="255"/>
      <c r="D76" s="256" t="str">
        <f>IF(D71=0,"-",(D56+D60)/D71)</f>
        <v>-</v>
      </c>
      <c r="E76" s="256" t="str">
        <f t="shared" ref="E76:I76" si="29">IF(E71=0,"-",(E56+E60)/E71)</f>
        <v>-</v>
      </c>
      <c r="F76" s="256" t="str">
        <f t="shared" si="29"/>
        <v>-</v>
      </c>
      <c r="G76" s="256" t="str">
        <f t="shared" si="29"/>
        <v>-</v>
      </c>
      <c r="H76" s="256" t="str">
        <f t="shared" si="29"/>
        <v>-</v>
      </c>
      <c r="I76" s="256" t="str">
        <f t="shared" si="29"/>
        <v>-</v>
      </c>
      <c r="K76" s="254" t="s">
        <v>963</v>
      </c>
      <c r="L76" s="255"/>
      <c r="M76" s="1581" t="s">
        <v>964</v>
      </c>
      <c r="U76" s="1708"/>
      <c r="V76" s="1713"/>
    </row>
  </sheetData>
  <mergeCells count="2">
    <mergeCell ref="C27:C33"/>
    <mergeCell ref="L27:L33"/>
  </mergeCells>
  <phoneticPr fontId="0" type="noConversion"/>
  <conditionalFormatting sqref="H6">
    <cfRule type="cellIs" dxfId="86" priority="5" operator="equal">
      <formula>"XXXXX"</formula>
    </cfRule>
  </conditionalFormatting>
  <conditionalFormatting sqref="D14:I18 D20:I20 D35:I38 D40:I41 D43:I49 D24:I24">
    <cfRule type="cellIs" dxfId="85" priority="3" operator="equal">
      <formula>0</formula>
    </cfRule>
  </conditionalFormatting>
  <conditionalFormatting sqref="D27:I33 D39:I39">
    <cfRule type="cellIs" dxfId="84" priority="2" operator="equal">
      <formula>#N/A</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drawing r:id="rId2"/>
  <legacyDrawing r:id="rId3"/>
</worksheet>
</file>

<file path=xl/worksheets/sheet27.xml><?xml version="1.0" encoding="utf-8"?>
<worksheet xmlns="http://schemas.openxmlformats.org/spreadsheetml/2006/main" xmlns:r="http://schemas.openxmlformats.org/officeDocument/2006/relationships">
  <sheetPr codeName="Feuil11">
    <tabColor rgb="FF00B050"/>
    <pageSetUpPr fitToPage="1"/>
  </sheetPr>
  <dimension ref="A1:U76"/>
  <sheetViews>
    <sheetView topLeftCell="B34" workbookViewId="0">
      <selection activeCell="D51" sqref="D51:I51"/>
    </sheetView>
  </sheetViews>
  <sheetFormatPr baseColWidth="10" defaultColWidth="11.42578125" defaultRowHeight="12.75"/>
  <cols>
    <col min="1" max="1" width="4.5703125" style="17" hidden="1" customWidth="1"/>
    <col min="2" max="2" width="29.7109375" style="17" customWidth="1"/>
    <col min="3" max="3" width="6.5703125" style="17" bestFit="1" customWidth="1"/>
    <col min="4" max="9" width="15" style="17" customWidth="1"/>
    <col min="10" max="10" width="11.42578125" style="17"/>
    <col min="11" max="11" width="29.7109375" style="17" hidden="1" customWidth="1"/>
    <col min="12" max="12" width="6.5703125" style="17" hidden="1" customWidth="1"/>
    <col min="13" max="13" width="25.5703125" style="48" hidden="1" customWidth="1"/>
    <col min="14" max="19" width="11.42578125" style="17" hidden="1" customWidth="1"/>
    <col min="20" max="20" width="82.140625" style="17" bestFit="1" customWidth="1"/>
    <col min="21" max="21" width="93.28515625" style="17" bestFit="1" customWidth="1"/>
    <col min="22" max="16384" width="11.42578125" style="17"/>
  </cols>
  <sheetData>
    <row r="1" spans="1:21" customFormat="1" ht="26.25">
      <c r="B1" s="621"/>
      <c r="C1" s="621"/>
      <c r="D1" s="2393"/>
      <c r="E1" s="2394" t="str">
        <f>IF('Mode Opératoire'!$I$1="Français",+'Cpte exploitation 1+2+3'!K1,'Cpte exploitation 1+2+3'!M1)</f>
        <v>Compte d'Exploitation Total</v>
      </c>
      <c r="F1" s="2393"/>
      <c r="G1" s="621"/>
      <c r="H1" s="621"/>
      <c r="I1" s="621"/>
      <c r="J1" s="2464" t="s">
        <v>151</v>
      </c>
      <c r="K1" s="73" t="s">
        <v>190</v>
      </c>
      <c r="M1" s="73" t="s">
        <v>740</v>
      </c>
    </row>
    <row r="2" spans="1:21" customFormat="1" ht="16.5">
      <c r="B2" s="621"/>
      <c r="C2" s="621"/>
      <c r="D2" s="621"/>
      <c r="E2" s="621"/>
      <c r="F2" s="621"/>
      <c r="G2" s="621"/>
      <c r="H2" s="621"/>
      <c r="I2" s="621"/>
      <c r="J2" s="2462" t="s">
        <v>151</v>
      </c>
      <c r="M2" s="46"/>
    </row>
    <row r="3" spans="1:21" customFormat="1" ht="16.5">
      <c r="B3" s="621"/>
      <c r="C3" s="621"/>
      <c r="D3" s="621"/>
      <c r="E3" s="621"/>
      <c r="F3" s="621"/>
      <c r="G3" s="621"/>
      <c r="H3" s="621"/>
      <c r="I3" s="621"/>
      <c r="J3" s="2465" t="s">
        <v>152</v>
      </c>
      <c r="M3" s="46"/>
    </row>
    <row r="4" spans="1:21" ht="26.25">
      <c r="B4" s="78" t="str">
        <f>+'Synthèse projet'!A3</f>
        <v>Nom projet / Project Name :</v>
      </c>
      <c r="C4" s="953"/>
      <c r="D4" s="953" t="str">
        <f>'Cpte exploitation 1+2+3'!E4</f>
        <v>xxxxxx</v>
      </c>
      <c r="E4" s="16"/>
      <c r="F4" s="16"/>
      <c r="G4" s="16"/>
      <c r="H4" s="16"/>
      <c r="I4" s="16"/>
      <c r="K4" s="1217"/>
      <c r="L4" s="834"/>
      <c r="M4" s="1218"/>
      <c r="T4" s="1706" t="s">
        <v>988</v>
      </c>
      <c r="U4" s="1711" t="s">
        <v>989</v>
      </c>
    </row>
    <row r="5" spans="1:21" s="15" customFormat="1" ht="6" customHeight="1">
      <c r="B5" s="838"/>
      <c r="C5" s="838"/>
      <c r="D5" s="839"/>
      <c r="E5" s="839"/>
      <c r="F5" s="839"/>
      <c r="G5" s="839"/>
      <c r="H5" s="839"/>
      <c r="I5" s="839"/>
      <c r="K5" s="838"/>
      <c r="L5" s="838"/>
      <c r="M5" s="904"/>
      <c r="T5" s="1707"/>
      <c r="U5" s="1712"/>
    </row>
    <row r="6" spans="1:21" s="28" customFormat="1" ht="23.25">
      <c r="B6" s="146" t="str">
        <f>+'Synthèse projet'!A5</f>
        <v>Rédacteur / Writer  :</v>
      </c>
      <c r="C6" s="146"/>
      <c r="D6" s="146"/>
      <c r="E6" s="148" t="str">
        <f>'Cpte exploitation ARG'!E6</f>
        <v>xxxxx</v>
      </c>
      <c r="F6" s="924"/>
      <c r="G6" s="154" t="s">
        <v>98</v>
      </c>
      <c r="H6" s="149" t="s">
        <v>202</v>
      </c>
      <c r="I6" s="1219"/>
      <c r="J6" s="27"/>
      <c r="K6" s="842"/>
      <c r="L6" s="842"/>
      <c r="M6" s="1219"/>
      <c r="T6" s="1708" t="s">
        <v>985</v>
      </c>
      <c r="U6" s="1713" t="s">
        <v>991</v>
      </c>
    </row>
    <row r="7" spans="1:21" s="29" customFormat="1" ht="15.75">
      <c r="B7" s="147" t="str">
        <f>+'Synthèse projet'!A6</f>
        <v>Version / Date :</v>
      </c>
      <c r="C7" s="147"/>
      <c r="D7" s="147"/>
      <c r="E7" s="148" t="str">
        <f>'Cpte exploitation ARG'!E7</f>
        <v>xxxxx</v>
      </c>
      <c r="F7" s="2392"/>
      <c r="G7" s="2392"/>
      <c r="H7" s="2392"/>
      <c r="I7" s="2392"/>
      <c r="J7" s="27"/>
      <c r="K7" s="1220"/>
      <c r="L7" s="1220"/>
      <c r="M7" s="1221"/>
      <c r="T7" s="1708"/>
      <c r="U7" s="1713"/>
    </row>
    <row r="8" spans="1:21" s="15" customFormat="1" ht="26.25" customHeight="1">
      <c r="B8" s="935"/>
      <c r="C8" s="935"/>
      <c r="D8" s="936"/>
      <c r="E8" s="937"/>
      <c r="F8" s="937"/>
      <c r="G8" s="937"/>
      <c r="H8" s="937"/>
      <c r="I8" s="937"/>
      <c r="K8" s="19"/>
      <c r="L8" s="19"/>
      <c r="M8" s="47"/>
      <c r="T8" s="1707"/>
      <c r="U8" s="1712"/>
    </row>
    <row r="9" spans="1:21" s="15" customFormat="1" ht="15">
      <c r="B9" s="935"/>
      <c r="C9" s="935"/>
      <c r="D9" s="902"/>
      <c r="E9" s="903"/>
      <c r="F9" s="902"/>
      <c r="G9" s="902"/>
      <c r="H9" s="902"/>
      <c r="I9" s="902"/>
      <c r="K9" s="19"/>
      <c r="L9" s="19"/>
      <c r="M9" s="904"/>
      <c r="T9" s="1707"/>
      <c r="U9" s="1712"/>
    </row>
    <row r="10" spans="1:21" s="15" customFormat="1" ht="15">
      <c r="B10" s="935"/>
      <c r="C10" s="935"/>
      <c r="D10" s="902"/>
      <c r="E10" s="902"/>
      <c r="F10" s="902"/>
      <c r="G10" s="902"/>
      <c r="H10" s="902"/>
      <c r="I10" s="902"/>
      <c r="K10" s="19"/>
      <c r="L10" s="19"/>
      <c r="M10" s="47"/>
      <c r="N10" s="174" t="s">
        <v>38</v>
      </c>
      <c r="O10" s="174" t="s">
        <v>39</v>
      </c>
      <c r="P10" s="174" t="s">
        <v>40</v>
      </c>
      <c r="Q10" s="174" t="s">
        <v>41</v>
      </c>
      <c r="R10" s="174" t="s">
        <v>42</v>
      </c>
      <c r="S10" s="177" t="s">
        <v>78</v>
      </c>
      <c r="T10" s="1707"/>
      <c r="U10" s="1712"/>
    </row>
    <row r="11" spans="1:21" ht="6" customHeight="1">
      <c r="B11" s="167"/>
      <c r="C11" s="170"/>
      <c r="D11" s="173"/>
      <c r="E11" s="173"/>
      <c r="F11" s="173"/>
      <c r="G11" s="173"/>
      <c r="H11" s="173"/>
      <c r="I11" s="176"/>
      <c r="K11" s="167"/>
      <c r="L11" s="170"/>
      <c r="T11" s="1708"/>
      <c r="U11" s="1713"/>
    </row>
    <row r="12" spans="1:21" s="20" customFormat="1">
      <c r="B12" s="2379" t="str">
        <f>IF('Mode Opératoire'!$I$1="Français",+'Cpte exploitation 1+2+3'!K11:K12,'Cpte exploitation 1+2+3'!M12)</f>
        <v>K€ (montants signés)</v>
      </c>
      <c r="C12" s="859"/>
      <c r="D12" s="174" t="str">
        <f>IF('Mode Opératoire'!$I$1="Français",+'Cpte exploitation 1+2+3'!N10,'Cpte exploitation 1+2+3'!N13)</f>
        <v>Année 1</v>
      </c>
      <c r="E12" s="174" t="str">
        <f>IF('Mode Opératoire'!$I$1="Français",+'Cpte exploitation 1+2+3'!O10,'Cpte exploitation 1+2+3'!O13)</f>
        <v>Année 2</v>
      </c>
      <c r="F12" s="174" t="str">
        <f>IF('Mode Opératoire'!$I$1="Français",+'Cpte exploitation 1+2+3'!P10,'Cpte exploitation 1+2+3'!P13)</f>
        <v>Année 3</v>
      </c>
      <c r="G12" s="174" t="str">
        <f>IF('Mode Opératoire'!$I$1="Français",+'Cpte exploitation 1+2+3'!Q10,'Cpte exploitation 1+2+3'!Q13)</f>
        <v>Année 4</v>
      </c>
      <c r="H12" s="174" t="str">
        <f>IF('Mode Opératoire'!$I$1="Français",+'Cpte exploitation 1+2+3'!R10,'Cpte exploitation 1+2+3'!R13)</f>
        <v>Année 5</v>
      </c>
      <c r="I12" s="174" t="str">
        <f>IF('Mode Opératoire'!$I$1="Français",+'Cpte exploitation 1+2+3'!S10,'Cpte exploitation 1+2+3'!S13)</f>
        <v>Année 6</v>
      </c>
      <c r="K12" s="168" t="s">
        <v>137</v>
      </c>
      <c r="L12" s="171"/>
      <c r="M12" s="168" t="s">
        <v>137</v>
      </c>
      <c r="T12" s="1708"/>
      <c r="U12" s="1713"/>
    </row>
    <row r="13" spans="1:21">
      <c r="B13" s="169"/>
      <c r="C13" s="172"/>
      <c r="D13" s="175">
        <f>+'Cpte exploitation 1+2+3'!D13</f>
        <v>2014</v>
      </c>
      <c r="E13" s="175">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T13" s="1708" t="s">
        <v>990</v>
      </c>
      <c r="U13" s="1713" t="s">
        <v>974</v>
      </c>
    </row>
    <row r="14" spans="1:21">
      <c r="A14" s="17" t="str">
        <f>+$H$6</f>
        <v>OVL</v>
      </c>
      <c r="B14" s="2378" t="str">
        <f>IF('Mode Opératoire'!$I$1="Français",+'Cpte exploitation 1+2+3'!K14,'Cpte exploitation 1+2+3'!M14)</f>
        <v>Ventes PSA</v>
      </c>
      <c r="C14" s="862" t="s">
        <v>491</v>
      </c>
      <c r="D14" s="1894" t="e">
        <f>'Cta explotacion OVL'!D14/1000/'Tipo de cambio'!#REF!</f>
        <v>#REF!</v>
      </c>
      <c r="E14" s="1894" t="e">
        <f>'Cta explotacion OVL'!E14/1000/'Tipo de cambio'!#REF!</f>
        <v>#REF!</v>
      </c>
      <c r="F14" s="1894" t="e">
        <f>'Cta explotacion OVL'!F14/1000/'Tipo de cambio'!#REF!</f>
        <v>#REF!</v>
      </c>
      <c r="G14" s="1894" t="e">
        <f>'Cta explotacion OVL'!G14/1000/'Tipo de cambio'!#REF!</f>
        <v>#REF!</v>
      </c>
      <c r="H14" s="1894" t="e">
        <f>'Cta explotacion OVL'!H14/1000/'Tipo de cambio'!#REF!</f>
        <v>#REF!</v>
      </c>
      <c r="I14" s="1894" t="e">
        <f>'Cta explotacion OVL'!I14/1000/'Tipo de cambio'!#REF!</f>
        <v>#REF!</v>
      </c>
      <c r="K14" s="179" t="s">
        <v>17</v>
      </c>
      <c r="L14" s="182"/>
      <c r="M14" s="185" t="s">
        <v>79</v>
      </c>
      <c r="T14" s="1708"/>
      <c r="U14" s="1713"/>
    </row>
    <row r="15" spans="1:21">
      <c r="A15" s="17" t="str">
        <f t="shared" ref="A15:A65" si="0">+$H$6</f>
        <v>OVL</v>
      </c>
      <c r="B15" s="2379" t="str">
        <f>IF('Mode Opératoire'!$I$1="Français",+'Cpte exploitation 1+2+3'!K15,'Cpte exploitation 1+2+3'!M15)</f>
        <v>Ventes Hors Groupe</v>
      </c>
      <c r="C15" s="862" t="s">
        <v>491</v>
      </c>
      <c r="D15" s="1895" t="e">
        <f>'Cta explotacion OVL'!D15/1000/'Tipo de cambio'!#REF!</f>
        <v>#REF!</v>
      </c>
      <c r="E15" s="1895" t="e">
        <f>'Cta explotacion OVL'!E15/1000/'Tipo de cambio'!#REF!</f>
        <v>#REF!</v>
      </c>
      <c r="F15" s="1895" t="e">
        <f>'Cta explotacion OVL'!F15/1000/'Tipo de cambio'!#REF!</f>
        <v>#REF!</v>
      </c>
      <c r="G15" s="1895" t="e">
        <f>'Cta explotacion OVL'!G15/1000/'Tipo de cambio'!#REF!</f>
        <v>#REF!</v>
      </c>
      <c r="H15" s="1895" t="e">
        <f>'Cta explotacion OVL'!H15/1000/'Tipo de cambio'!#REF!</f>
        <v>#REF!</v>
      </c>
      <c r="I15" s="1895" t="e">
        <f>'Cta explotacion OVL'!I15/1000/'Tipo de cambio'!#REF!</f>
        <v>#REF!</v>
      </c>
      <c r="J15" s="451"/>
      <c r="K15" s="180" t="s">
        <v>19</v>
      </c>
      <c r="L15" s="183"/>
      <c r="M15" s="186" t="s">
        <v>80</v>
      </c>
      <c r="T15" s="1708"/>
      <c r="U15" s="1713"/>
    </row>
    <row r="16" spans="1:21">
      <c r="B16" s="2379" t="str">
        <f>IF('Mode Opératoire'!$I$1="Français",+'Cpte exploitation 1+2+3'!K16,'Cpte exploitation 1+2+3'!M16)</f>
        <v>Ventes GM</v>
      </c>
      <c r="C16" s="862" t="s">
        <v>491</v>
      </c>
      <c r="D16" s="1895" t="e">
        <f>'Cta explotacion OVL'!D16/1000/'Tipo de cambio'!#REF!</f>
        <v>#REF!</v>
      </c>
      <c r="E16" s="1895" t="e">
        <f>'Cta explotacion OVL'!E16/1000/'Tipo de cambio'!#REF!</f>
        <v>#REF!</v>
      </c>
      <c r="F16" s="1895" t="e">
        <f>'Cta explotacion OVL'!F16/1000/'Tipo de cambio'!#REF!</f>
        <v>#REF!</v>
      </c>
      <c r="G16" s="1895" t="e">
        <f>'Cta explotacion OVL'!G16/1000/'Tipo de cambio'!#REF!</f>
        <v>#REF!</v>
      </c>
      <c r="H16" s="1895" t="e">
        <f>'Cta explotacion OVL'!H16/1000/'Tipo de cambio'!#REF!</f>
        <v>#REF!</v>
      </c>
      <c r="I16" s="1895" t="e">
        <f>'Cta explotacion OVL'!I16/1000/'Tipo de cambio'!#REF!</f>
        <v>#REF!</v>
      </c>
      <c r="J16" s="451"/>
      <c r="K16" s="180" t="s">
        <v>948</v>
      </c>
      <c r="L16" s="183"/>
      <c r="M16" s="186" t="s">
        <v>949</v>
      </c>
      <c r="T16" s="1708"/>
      <c r="U16" s="1713"/>
    </row>
    <row r="17" spans="1:21">
      <c r="B17" s="2379" t="str">
        <f>IF('Mode Opératoire'!$I$1="Français",+'Cpte exploitation 1+2+3'!K17,'Cpte exploitation 1+2+3'!M17)</f>
        <v>Ventes RZD</v>
      </c>
      <c r="C17" s="862" t="s">
        <v>491</v>
      </c>
      <c r="D17" s="1895" t="e">
        <f>'Cta explotacion OVL'!D17/1000/'Tipo de cambio'!#REF!</f>
        <v>#REF!</v>
      </c>
      <c r="E17" s="1895" t="e">
        <f>'Cta explotacion OVL'!E17/1000/'Tipo de cambio'!#REF!</f>
        <v>#REF!</v>
      </c>
      <c r="F17" s="1895" t="e">
        <f>'Cta explotacion OVL'!F17/1000/'Tipo de cambio'!#REF!</f>
        <v>#REF!</v>
      </c>
      <c r="G17" s="1895" t="e">
        <f>'Cta explotacion OVL'!G17/1000/'Tipo de cambio'!#REF!</f>
        <v>#REF!</v>
      </c>
      <c r="H17" s="1895" t="e">
        <f>'Cta explotacion OVL'!H17/1000/'Tipo de cambio'!#REF!</f>
        <v>#REF!</v>
      </c>
      <c r="I17" s="1895" t="e">
        <f>'Cta explotacion OVL'!I17/1000/'Tipo de cambio'!#REF!</f>
        <v>#REF!</v>
      </c>
      <c r="J17" s="451"/>
      <c r="K17" s="180" t="s">
        <v>950</v>
      </c>
      <c r="L17" s="183"/>
      <c r="M17" s="186" t="s">
        <v>951</v>
      </c>
      <c r="T17" s="1708"/>
      <c r="U17" s="1713"/>
    </row>
    <row r="18" spans="1:21">
      <c r="A18" s="17" t="str">
        <f t="shared" si="0"/>
        <v>OVL</v>
      </c>
      <c r="B18" s="2379" t="str">
        <f>IF('Mode Opératoire'!$I$1="Français",+'Cpte exploitation 1+2+3'!K18,'Cpte exploitation 1+2+3'!M18)</f>
        <v>Ventes Gefco</v>
      </c>
      <c r="C18" s="862" t="s">
        <v>491</v>
      </c>
      <c r="D18" s="1895" t="e">
        <f>'Cta explotacion OVL'!D18/1000/'Tipo de cambio'!#REF!</f>
        <v>#REF!</v>
      </c>
      <c r="E18" s="1895" t="e">
        <f>'Cta explotacion OVL'!E18/1000/'Tipo de cambio'!#REF!</f>
        <v>#REF!</v>
      </c>
      <c r="F18" s="1895" t="e">
        <f>'Cta explotacion OVL'!F18/1000/'Tipo de cambio'!#REF!</f>
        <v>#REF!</v>
      </c>
      <c r="G18" s="1895" t="e">
        <f>'Cta explotacion OVL'!G18/1000/'Tipo de cambio'!#REF!</f>
        <v>#REF!</v>
      </c>
      <c r="H18" s="1895" t="e">
        <f>'Cta explotacion OVL'!H18/1000/'Tipo de cambio'!#REF!</f>
        <v>#REF!</v>
      </c>
      <c r="I18" s="1895" t="e">
        <f>'Cta explotacion OVL'!I18/1000/'Tipo de cambio'!#REF!</f>
        <v>#REF!</v>
      </c>
      <c r="J18" s="451"/>
      <c r="K18" s="180" t="s">
        <v>45</v>
      </c>
      <c r="L18" s="183"/>
      <c r="M18" s="186" t="s">
        <v>81</v>
      </c>
      <c r="T18" s="1708"/>
      <c r="U18" s="1713"/>
    </row>
    <row r="19" spans="1:21">
      <c r="A19" s="17" t="str">
        <f t="shared" si="0"/>
        <v>OVL</v>
      </c>
      <c r="B19" s="2380" t="str">
        <f>IF('Mode Opératoire'!$I$1="Français",+'Cpte exploitation 1+2+3'!K19,'Cpte exploitation 1+2+3'!M19)</f>
        <v>Total ventes externes</v>
      </c>
      <c r="C19" s="2381"/>
      <c r="D19" s="1062" t="e">
        <f t="shared" ref="D19:I19" si="1">SUM(D14:D18)</f>
        <v>#REF!</v>
      </c>
      <c r="E19" s="1062" t="e">
        <f t="shared" si="1"/>
        <v>#REF!</v>
      </c>
      <c r="F19" s="1062" t="e">
        <f t="shared" si="1"/>
        <v>#REF!</v>
      </c>
      <c r="G19" s="1062" t="e">
        <f t="shared" si="1"/>
        <v>#REF!</v>
      </c>
      <c r="H19" s="1062" t="e">
        <f t="shared" si="1"/>
        <v>#REF!</v>
      </c>
      <c r="I19" s="1062" t="e">
        <f t="shared" si="1"/>
        <v>#REF!</v>
      </c>
      <c r="K19" s="181" t="s">
        <v>149</v>
      </c>
      <c r="L19" s="184"/>
      <c r="M19" s="187" t="s">
        <v>150</v>
      </c>
      <c r="T19" s="1708"/>
      <c r="U19" s="1713"/>
    </row>
    <row r="20" spans="1:21">
      <c r="A20" s="17" t="str">
        <f t="shared" si="0"/>
        <v>OVL</v>
      </c>
      <c r="B20" s="2378" t="str">
        <f>IF('Mode Opératoire'!$I$1="Français",+'Cpte exploitation 1+2+3'!K20,'Cpte exploitation 1+2+3'!M20)</f>
        <v xml:space="preserve">Achats </v>
      </c>
      <c r="C20" s="2382" t="s">
        <v>491</v>
      </c>
      <c r="D20" s="1894" t="e">
        <f>'Cta explotacion OVL'!D20/1000/'Tipo de cambio'!#REF!</f>
        <v>#REF!</v>
      </c>
      <c r="E20" s="1894" t="e">
        <f>'Cta explotacion OVL'!E20/1000/'Tipo de cambio'!#REF!</f>
        <v>#REF!</v>
      </c>
      <c r="F20" s="1894" t="e">
        <f>'Cta explotacion OVL'!F20/1000/'Tipo de cambio'!#REF!</f>
        <v>#REF!</v>
      </c>
      <c r="G20" s="1894" t="e">
        <f>'Cta explotacion OVL'!G20/1000/'Tipo de cambio'!#REF!</f>
        <v>#REF!</v>
      </c>
      <c r="H20" s="1894" t="e">
        <f>'Cta explotacion OVL'!H20/1000/'Tipo de cambio'!#REF!</f>
        <v>#REF!</v>
      </c>
      <c r="I20" s="1894" t="e">
        <f>'Cta explotacion OVL'!I20/1000/'Tipo de cambio'!#REF!</f>
        <v>#REF!</v>
      </c>
      <c r="K20" s="179" t="s">
        <v>44</v>
      </c>
      <c r="L20" s="182"/>
      <c r="M20" s="188" t="s">
        <v>82</v>
      </c>
      <c r="T20" s="1708"/>
      <c r="U20" s="1713"/>
    </row>
    <row r="21" spans="1:21">
      <c r="A21" s="17" t="str">
        <f t="shared" si="0"/>
        <v>OVL</v>
      </c>
      <c r="B21" s="2380" t="str">
        <f>IF('Mode Opératoire'!$I$1="Français",+'Cpte exploitation 1+2+3'!K21,'Cpte exploitation 1+2+3'!M21)</f>
        <v xml:space="preserve">Total achats </v>
      </c>
      <c r="C21" s="2381"/>
      <c r="D21" s="1062" t="e">
        <f t="shared" ref="D21:I21" si="2">SUM(D20:D20)</f>
        <v>#REF!</v>
      </c>
      <c r="E21" s="1062" t="e">
        <f t="shared" si="2"/>
        <v>#REF!</v>
      </c>
      <c r="F21" s="1062" t="e">
        <f t="shared" si="2"/>
        <v>#REF!</v>
      </c>
      <c r="G21" s="1062" t="e">
        <f t="shared" si="2"/>
        <v>#REF!</v>
      </c>
      <c r="H21" s="1062" t="e">
        <f t="shared" si="2"/>
        <v>#REF!</v>
      </c>
      <c r="I21" s="1062" t="e">
        <f t="shared" si="2"/>
        <v>#REF!</v>
      </c>
      <c r="K21" s="181" t="s">
        <v>118</v>
      </c>
      <c r="L21" s="184"/>
      <c r="M21" s="189" t="s">
        <v>82</v>
      </c>
      <c r="T21" s="1708"/>
      <c r="U21" s="1713"/>
    </row>
    <row r="22" spans="1:21">
      <c r="A22" s="17" t="str">
        <f t="shared" si="0"/>
        <v>OVL</v>
      </c>
      <c r="B22" s="190" t="str">
        <f>IF('Mode Opératoire'!$I$1="Français",+'Cpte exploitation 1+2+3'!K22,'Cpte exploitation 1+2+3'!M22)</f>
        <v>Marge commerciale</v>
      </c>
      <c r="C22" s="198"/>
      <c r="D22" s="193" t="e">
        <f t="shared" ref="D22:I22" si="3">+D19+D21</f>
        <v>#REF!</v>
      </c>
      <c r="E22" s="193" t="e">
        <f t="shared" si="3"/>
        <v>#REF!</v>
      </c>
      <c r="F22" s="193" t="e">
        <f t="shared" si="3"/>
        <v>#REF!</v>
      </c>
      <c r="G22" s="193" t="e">
        <f t="shared" si="3"/>
        <v>#REF!</v>
      </c>
      <c r="H22" s="195" t="e">
        <f t="shared" si="3"/>
        <v>#REF!</v>
      </c>
      <c r="I22" s="193" t="e">
        <f t="shared" si="3"/>
        <v>#REF!</v>
      </c>
      <c r="K22" s="190" t="s">
        <v>21</v>
      </c>
      <c r="L22" s="198"/>
      <c r="M22" s="192" t="s">
        <v>83</v>
      </c>
      <c r="T22" s="1708"/>
      <c r="U22" s="1713"/>
    </row>
    <row r="23" spans="1:21" s="124" customFormat="1" ht="13.5">
      <c r="A23" s="17" t="str">
        <f t="shared" si="0"/>
        <v>OVL</v>
      </c>
      <c r="B23" s="200" t="str">
        <f>IF('Mode Opératoire'!$I$1="Français",+'Cpte exploitation 1+2+3'!K23,'Cpte exploitation 1+2+3'!M23)</f>
        <v>% des ventes</v>
      </c>
      <c r="C23" s="201"/>
      <c r="D23" s="197" t="e">
        <f t="shared" ref="D23:I23" si="4">IF(D$19&lt;&gt;0,D22/D$19,0)</f>
        <v>#REF!</v>
      </c>
      <c r="E23" s="197" t="e">
        <f t="shared" si="4"/>
        <v>#REF!</v>
      </c>
      <c r="F23" s="197" t="e">
        <f t="shared" si="4"/>
        <v>#REF!</v>
      </c>
      <c r="G23" s="197" t="e">
        <f t="shared" si="4"/>
        <v>#REF!</v>
      </c>
      <c r="H23" s="202" t="e">
        <f t="shared" si="4"/>
        <v>#REF!</v>
      </c>
      <c r="I23" s="197" t="e">
        <f t="shared" si="4"/>
        <v>#REF!</v>
      </c>
      <c r="K23" s="200" t="s">
        <v>68</v>
      </c>
      <c r="L23" s="201"/>
      <c r="M23" s="203" t="s">
        <v>84</v>
      </c>
      <c r="T23" s="1709"/>
      <c r="U23" s="1714"/>
    </row>
    <row r="24" spans="1:21">
      <c r="A24" s="17" t="str">
        <f t="shared" si="0"/>
        <v>OVL</v>
      </c>
      <c r="B24" s="2383" t="str">
        <f>IF('Mode Opératoire'!$I$1="Français",+'Cpte exploitation 1+2+3'!K24,'Cpte exploitation 1+2+3'!M24)</f>
        <v xml:space="preserve">Différence de change </v>
      </c>
      <c r="C24" s="2384" t="s">
        <v>491</v>
      </c>
      <c r="D24" s="1894"/>
      <c r="E24" s="1894"/>
      <c r="F24" s="1894"/>
      <c r="G24" s="1894"/>
      <c r="H24" s="1894"/>
      <c r="I24" s="1894"/>
      <c r="K24" s="204" t="s">
        <v>189</v>
      </c>
      <c r="L24" s="206"/>
      <c r="M24" s="205" t="s">
        <v>193</v>
      </c>
      <c r="T24" s="1708"/>
      <c r="U24" s="1713"/>
    </row>
    <row r="25" spans="1:21">
      <c r="A25" s="17" t="str">
        <f t="shared" si="0"/>
        <v>OVL</v>
      </c>
      <c r="B25" s="190" t="str">
        <f>IF('Mode Opératoire'!$I$1="Français",+'Cpte exploitation 1+2+3'!K25,'Cpte exploitation 1+2+3'!M25)</f>
        <v>Résultat brut Commercial</v>
      </c>
      <c r="C25" s="198"/>
      <c r="D25" s="193" t="e">
        <f t="shared" ref="D25:I25" si="5">+D22+D24</f>
        <v>#REF!</v>
      </c>
      <c r="E25" s="195" t="e">
        <f t="shared" si="5"/>
        <v>#REF!</v>
      </c>
      <c r="F25" s="193" t="e">
        <f t="shared" si="5"/>
        <v>#REF!</v>
      </c>
      <c r="G25" s="193" t="e">
        <f t="shared" si="5"/>
        <v>#REF!</v>
      </c>
      <c r="H25" s="193" t="e">
        <f t="shared" si="5"/>
        <v>#REF!</v>
      </c>
      <c r="I25" s="193" t="e">
        <f t="shared" si="5"/>
        <v>#REF!</v>
      </c>
      <c r="K25" s="190" t="s">
        <v>186</v>
      </c>
      <c r="L25" s="198"/>
      <c r="M25" s="218" t="s">
        <v>194</v>
      </c>
      <c r="T25" s="1708"/>
      <c r="U25" s="1713"/>
    </row>
    <row r="26" spans="1:21" s="124" customFormat="1" ht="13.5">
      <c r="A26" s="17" t="str">
        <f t="shared" si="0"/>
        <v>OVL</v>
      </c>
      <c r="B26" s="191" t="str">
        <f>IF('Mode Opératoire'!$I$1="Français",+'Cpte exploitation 1+2+3'!K26,'Cpte exploitation 1+2+3'!M26)</f>
        <v>% des ventes</v>
      </c>
      <c r="C26" s="199"/>
      <c r="D26" s="194" t="e">
        <f t="shared" ref="D26:I26" si="6">IF(D$19&lt;&gt;0,D25/D$19,0)</f>
        <v>#REF!</v>
      </c>
      <c r="E26" s="196" t="e">
        <f t="shared" si="6"/>
        <v>#REF!</v>
      </c>
      <c r="F26" s="194" t="e">
        <f t="shared" si="6"/>
        <v>#REF!</v>
      </c>
      <c r="G26" s="194" t="e">
        <f t="shared" si="6"/>
        <v>#REF!</v>
      </c>
      <c r="H26" s="194" t="e">
        <f t="shared" si="6"/>
        <v>#REF!</v>
      </c>
      <c r="I26" s="194" t="e">
        <f t="shared" si="6"/>
        <v>#REF!</v>
      </c>
      <c r="K26" s="191" t="s">
        <v>68</v>
      </c>
      <c r="L26" s="199"/>
      <c r="M26" s="236" t="s">
        <v>84</v>
      </c>
      <c r="T26" s="1709"/>
      <c r="U26" s="1714"/>
    </row>
    <row r="27" spans="1:21" ht="12.75" customHeight="1">
      <c r="A27" s="17" t="str">
        <f t="shared" si="0"/>
        <v>OVL</v>
      </c>
      <c r="B27" s="2379" t="str">
        <f>IF('Mode Opératoire'!$I$1="Français",+'Cpte exploitation 1+2+3'!K27,'Cpte exploitation 1+2+3'!M27)</f>
        <v>Salaires et Charges</v>
      </c>
      <c r="C27" s="2828" t="s">
        <v>547</v>
      </c>
      <c r="D27" s="1896" t="e">
        <f>'Cta explotacion OVL'!D27/1000/'Tipo de cambio'!#REF!</f>
        <v>#REF!</v>
      </c>
      <c r="E27" s="1896" t="e">
        <f>'Cta explotacion OVL'!E27/1000/'Tipo de cambio'!#REF!</f>
        <v>#REF!</v>
      </c>
      <c r="F27" s="1896" t="e">
        <f>'Cta explotacion OVL'!F27/1000/'Tipo de cambio'!#REF!</f>
        <v>#REF!</v>
      </c>
      <c r="G27" s="1896" t="e">
        <f>'Cta explotacion OVL'!G27/1000/'Tipo de cambio'!#REF!</f>
        <v>#REF!</v>
      </c>
      <c r="H27" s="1896" t="e">
        <f>'Cta explotacion OVL'!H27/1000/'Tipo de cambio'!#REF!</f>
        <v>#REF!</v>
      </c>
      <c r="I27" s="1896" t="e">
        <f>'Cta explotacion OVL'!I27/1000/'Tipo de cambio'!#REF!</f>
        <v>#REF!</v>
      </c>
      <c r="K27" s="208" t="s">
        <v>43</v>
      </c>
      <c r="L27" s="2825"/>
      <c r="M27" s="219" t="s">
        <v>85</v>
      </c>
      <c r="T27" s="1708"/>
      <c r="U27" s="1713"/>
    </row>
    <row r="28" spans="1:21">
      <c r="A28" s="17" t="str">
        <f t="shared" si="0"/>
        <v>OVL</v>
      </c>
      <c r="B28" s="2379" t="str">
        <f>IF('Mode Opératoire'!$I$1="Français",+'Cpte exploitation 1+2+3'!K28,'Cpte exploitation 1+2+3'!M28)</f>
        <v>Provisions pour primes</v>
      </c>
      <c r="C28" s="2829"/>
      <c r="D28" s="1896" t="e">
        <f>'Cta explotacion OVL'!D28/1000/'Tipo de cambio'!#REF!</f>
        <v>#REF!</v>
      </c>
      <c r="E28" s="1896" t="e">
        <f>'Cta explotacion OVL'!E28/1000/'Tipo de cambio'!#REF!</f>
        <v>#REF!</v>
      </c>
      <c r="F28" s="1896" t="e">
        <f>'Cta explotacion OVL'!F28/1000/'Tipo de cambio'!#REF!</f>
        <v>#REF!</v>
      </c>
      <c r="G28" s="1896" t="e">
        <f>'Cta explotacion OVL'!G28/1000/'Tipo de cambio'!#REF!</f>
        <v>#REF!</v>
      </c>
      <c r="H28" s="1896" t="e">
        <f>'Cta explotacion OVL'!H28/1000/'Tipo de cambio'!#REF!</f>
        <v>#REF!</v>
      </c>
      <c r="I28" s="1896" t="e">
        <f>'Cta explotacion OVL'!I28/1000/'Tipo de cambio'!#REF!</f>
        <v>#REF!</v>
      </c>
      <c r="K28" s="208" t="s">
        <v>480</v>
      </c>
      <c r="L28" s="2826"/>
      <c r="M28" s="219" t="s">
        <v>739</v>
      </c>
      <c r="T28" s="1708"/>
      <c r="U28" s="1713"/>
    </row>
    <row r="29" spans="1:21">
      <c r="A29" s="17" t="str">
        <f t="shared" si="0"/>
        <v>OVL</v>
      </c>
      <c r="B29" s="2379" t="str">
        <f>IF('Mode Opératoire'!$I$1="Français",+'Cpte exploitation 1+2+3'!K29,'Cpte exploitation 1+2+3'!M29)</f>
        <v>Frais d'embauche</v>
      </c>
      <c r="C29" s="2829"/>
      <c r="D29" s="1896" t="e">
        <f>'Cta explotacion OVL'!D29/1000/'Tipo de cambio'!#REF!</f>
        <v>#REF!</v>
      </c>
      <c r="E29" s="1896" t="e">
        <f>'Cta explotacion OVL'!E29/1000/'Tipo de cambio'!#REF!</f>
        <v>#REF!</v>
      </c>
      <c r="F29" s="1896" t="e">
        <f>'Cta explotacion OVL'!F29/1000/'Tipo de cambio'!#REF!</f>
        <v>#REF!</v>
      </c>
      <c r="G29" s="1896" t="e">
        <f>'Cta explotacion OVL'!G29/1000/'Tipo de cambio'!#REF!</f>
        <v>#REF!</v>
      </c>
      <c r="H29" s="1896" t="e">
        <f>'Cta explotacion OVL'!H29/1000/'Tipo de cambio'!#REF!</f>
        <v>#REF!</v>
      </c>
      <c r="I29" s="1896" t="e">
        <f>'Cta explotacion OVL'!I29/1000/'Tipo de cambio'!#REF!</f>
        <v>#REF!</v>
      </c>
      <c r="K29" s="208" t="s">
        <v>423</v>
      </c>
      <c r="L29" s="2826"/>
      <c r="M29" s="219" t="s">
        <v>227</v>
      </c>
      <c r="T29" s="1708"/>
      <c r="U29" s="1713"/>
    </row>
    <row r="30" spans="1:21">
      <c r="A30" s="17" t="str">
        <f t="shared" si="0"/>
        <v>OVL</v>
      </c>
      <c r="B30" s="2379" t="str">
        <f>IF('Mode Opératoire'!$I$1="Français",+'Cpte exploitation 1+2+3'!K30,'Cpte exploitation 1+2+3'!M30)</f>
        <v>Intérim</v>
      </c>
      <c r="C30" s="2829"/>
      <c r="D30" s="1896" t="e">
        <f>'Cta explotacion OVL'!D30/1000/'Tipo de cambio'!#REF!</f>
        <v>#REF!</v>
      </c>
      <c r="E30" s="1896" t="e">
        <f>'Cta explotacion OVL'!E30/1000/'Tipo de cambio'!#REF!</f>
        <v>#REF!</v>
      </c>
      <c r="F30" s="1896" t="e">
        <f>'Cta explotacion OVL'!F30/1000/'Tipo de cambio'!#REF!</f>
        <v>#REF!</v>
      </c>
      <c r="G30" s="1896" t="e">
        <f>'Cta explotacion OVL'!G30/1000/'Tipo de cambio'!#REF!</f>
        <v>#REF!</v>
      </c>
      <c r="H30" s="1896" t="e">
        <f>'Cta explotacion OVL'!H30/1000/'Tipo de cambio'!#REF!</f>
        <v>#REF!</v>
      </c>
      <c r="I30" s="1896" t="e">
        <f>'Cta explotacion OVL'!I30/1000/'Tipo de cambio'!#REF!</f>
        <v>#REF!</v>
      </c>
      <c r="K30" s="208" t="s">
        <v>76</v>
      </c>
      <c r="L30" s="2826"/>
      <c r="M30" s="219" t="s">
        <v>87</v>
      </c>
      <c r="T30" s="1708"/>
      <c r="U30" s="1713"/>
    </row>
    <row r="31" spans="1:21">
      <c r="A31" s="17" t="str">
        <f t="shared" si="0"/>
        <v>OVL</v>
      </c>
      <c r="B31" s="2379" t="str">
        <f>IF('Mode Opératoire'!$I$1="Français",+'Cpte exploitation 1+2+3'!K31,'Cpte exploitation 1+2+3'!M31)</f>
        <v xml:space="preserve">Formation </v>
      </c>
      <c r="C31" s="2829"/>
      <c r="D31" s="1896" t="e">
        <f>'Cta explotacion OVL'!D31/1000/'Tipo de cambio'!#REF!</f>
        <v>#REF!</v>
      </c>
      <c r="E31" s="1896" t="e">
        <f>'Cta explotacion OVL'!E31/1000/'Tipo de cambio'!#REF!</f>
        <v>#REF!</v>
      </c>
      <c r="F31" s="1896" t="e">
        <f>'Cta explotacion OVL'!F31/1000/'Tipo de cambio'!#REF!</f>
        <v>#REF!</v>
      </c>
      <c r="G31" s="1896" t="e">
        <f>'Cta explotacion OVL'!G31/1000/'Tipo de cambio'!#REF!</f>
        <v>#REF!</v>
      </c>
      <c r="H31" s="1896" t="e">
        <f>'Cta explotacion OVL'!H31/1000/'Tipo de cambio'!#REF!</f>
        <v>#REF!</v>
      </c>
      <c r="I31" s="1896" t="e">
        <f>'Cta explotacion OVL'!I31/1000/'Tipo de cambio'!#REF!</f>
        <v>#REF!</v>
      </c>
      <c r="K31" s="208" t="s">
        <v>86</v>
      </c>
      <c r="L31" s="2826"/>
      <c r="M31" s="219" t="s">
        <v>88</v>
      </c>
      <c r="T31" s="1708"/>
      <c r="U31" s="1713"/>
    </row>
    <row r="32" spans="1:21">
      <c r="A32" s="17" t="str">
        <f t="shared" si="0"/>
        <v>OVL</v>
      </c>
      <c r="B32" s="2379" t="str">
        <f>IF('Mode Opératoire'!$I$1="Français",+'Cpte exploitation 1+2+3'!K32,'Cpte exploitation 1+2+3'!M32)</f>
        <v>Cantine</v>
      </c>
      <c r="C32" s="2829"/>
      <c r="D32" s="1896" t="e">
        <f>'Cta explotacion OVL'!D32/1000/'Tipo de cambio'!#REF!</f>
        <v>#REF!</v>
      </c>
      <c r="E32" s="1896" t="e">
        <f>'Cta explotacion OVL'!E32/1000/'Tipo de cambio'!#REF!</f>
        <v>#REF!</v>
      </c>
      <c r="F32" s="1896" t="e">
        <f>'Cta explotacion OVL'!F32/1000/'Tipo de cambio'!#REF!</f>
        <v>#REF!</v>
      </c>
      <c r="G32" s="1896" t="e">
        <f>'Cta explotacion OVL'!G32/1000/'Tipo de cambio'!#REF!</f>
        <v>#REF!</v>
      </c>
      <c r="H32" s="1896" t="e">
        <f>'Cta explotacion OVL'!H32/1000/'Tipo de cambio'!#REF!</f>
        <v>#REF!</v>
      </c>
      <c r="I32" s="1896" t="e">
        <f>'Cta explotacion OVL'!I32/1000/'Tipo de cambio'!#REF!</f>
        <v>#REF!</v>
      </c>
      <c r="K32" s="208" t="s">
        <v>376</v>
      </c>
      <c r="L32" s="2826"/>
      <c r="M32" s="219" t="s">
        <v>376</v>
      </c>
      <c r="T32" s="1708"/>
      <c r="U32" s="1713"/>
    </row>
    <row r="33" spans="1:21">
      <c r="A33" s="17" t="str">
        <f t="shared" si="0"/>
        <v>OVL</v>
      </c>
      <c r="B33" s="2379" t="str">
        <f>IF('Mode Opératoire'!$I$1="Français",+'Cpte exploitation 1+2+3'!K33,'Cpte exploitation 1+2+3'!M33)</f>
        <v>Autres frais de personnel</v>
      </c>
      <c r="C33" s="2830"/>
      <c r="D33" s="1896" t="e">
        <f>'Cta explotacion OVL'!D33/1000/'Tipo de cambio'!#REF!</f>
        <v>#REF!</v>
      </c>
      <c r="E33" s="1896" t="e">
        <f>'Cta explotacion OVL'!E33/1000/'Tipo de cambio'!#REF!</f>
        <v>#REF!</v>
      </c>
      <c r="F33" s="1896" t="e">
        <f>'Cta explotacion OVL'!F33/1000/'Tipo de cambio'!#REF!</f>
        <v>#REF!</v>
      </c>
      <c r="G33" s="1896" t="e">
        <f>'Cta explotacion OVL'!G33/1000/'Tipo de cambio'!#REF!</f>
        <v>#REF!</v>
      </c>
      <c r="H33" s="1896" t="e">
        <f>'Cta explotacion OVL'!H33/1000/'Tipo de cambio'!#REF!</f>
        <v>#REF!</v>
      </c>
      <c r="I33" s="1896" t="e">
        <f>'Cta explotacion OVL'!I33/1000/'Tipo de cambio'!#REF!</f>
        <v>#REF!</v>
      </c>
      <c r="K33" s="208" t="s">
        <v>46</v>
      </c>
      <c r="L33" s="2827"/>
      <c r="M33" s="219" t="s">
        <v>103</v>
      </c>
      <c r="T33" s="1708"/>
      <c r="U33" s="1713"/>
    </row>
    <row r="34" spans="1:21">
      <c r="A34" s="17" t="str">
        <f t="shared" si="0"/>
        <v>OVL</v>
      </c>
      <c r="B34" s="2385" t="str">
        <f>IF('Mode Opératoire'!$I$1="Français",+'Cpte exploitation 1+2+3'!K34,'Cpte exploitation 1+2+3'!M34)</f>
        <v>Frais de personnel</v>
      </c>
      <c r="C34" s="234"/>
      <c r="D34" s="1068" t="e">
        <f t="shared" ref="D34:I34" si="7">SUM(D27:D33)</f>
        <v>#REF!</v>
      </c>
      <c r="E34" s="1069" t="e">
        <f t="shared" si="7"/>
        <v>#REF!</v>
      </c>
      <c r="F34" s="1068" t="e">
        <f t="shared" si="7"/>
        <v>#REF!</v>
      </c>
      <c r="G34" s="1068" t="e">
        <f t="shared" si="7"/>
        <v>#REF!</v>
      </c>
      <c r="H34" s="1068" t="e">
        <f t="shared" si="7"/>
        <v>#REF!</v>
      </c>
      <c r="I34" s="1068" t="e">
        <f t="shared" si="7"/>
        <v>#REF!</v>
      </c>
      <c r="K34" s="233" t="s">
        <v>117</v>
      </c>
      <c r="L34" s="234"/>
      <c r="M34" s="235" t="s">
        <v>89</v>
      </c>
      <c r="T34" s="1708"/>
      <c r="U34" s="1713"/>
    </row>
    <row r="35" spans="1:21">
      <c r="A35" s="17" t="str">
        <f t="shared" si="0"/>
        <v>OVL</v>
      </c>
      <c r="B35" s="2379" t="str">
        <f>IF('Mode Opératoire'!$I$1="Français",+'Cpte exploitation 1+2+3'!K35,'Cpte exploitation 1+2+3'!M35)</f>
        <v>Amortissements d'exploitation</v>
      </c>
      <c r="C35" s="862" t="s">
        <v>491</v>
      </c>
      <c r="D35" s="1894" t="e">
        <f>'Cta explotacion OVL'!D35/1000/'Tipo de cambio'!#REF!</f>
        <v>#REF!</v>
      </c>
      <c r="E35" s="1894" t="e">
        <f>'Cta explotacion OVL'!E35/1000/'Tipo de cambio'!#REF!</f>
        <v>#REF!</v>
      </c>
      <c r="F35" s="1894" t="e">
        <f>'Cta explotacion OVL'!F35/1000/'Tipo de cambio'!#REF!</f>
        <v>#REF!</v>
      </c>
      <c r="G35" s="1894" t="e">
        <f>'Cta explotacion OVL'!G35/1000/'Tipo de cambio'!#REF!</f>
        <v>#REF!</v>
      </c>
      <c r="H35" s="1894" t="e">
        <f>'Cta explotacion OVL'!H35/1000/'Tipo de cambio'!#REF!</f>
        <v>#REF!</v>
      </c>
      <c r="I35" s="1894" t="e">
        <f>'Cta explotacion OVL'!I35/1000/'Tipo de cambio'!#REF!</f>
        <v>#REF!</v>
      </c>
      <c r="K35" s="208" t="s">
        <v>128</v>
      </c>
      <c r="L35" s="222"/>
      <c r="M35" s="219" t="s">
        <v>104</v>
      </c>
      <c r="T35" s="1708"/>
      <c r="U35" s="1713"/>
    </row>
    <row r="36" spans="1:21" s="23" customFormat="1">
      <c r="A36" s="17" t="str">
        <f t="shared" si="0"/>
        <v>OVL</v>
      </c>
      <c r="B36" s="2379" t="str">
        <f>IF('Mode Opératoire'!$I$1="Français",+'Cpte exploitation 1+2+3'!K36,'Cpte exploitation 1+2+3'!M36)</f>
        <v>Location d'engins</v>
      </c>
      <c r="C36" s="862" t="s">
        <v>491</v>
      </c>
      <c r="D36" s="1895" t="e">
        <f>'Cta explotacion OVL'!D36/1000/'Tipo de cambio'!#REF!</f>
        <v>#REF!</v>
      </c>
      <c r="E36" s="1897" t="e">
        <f>'Cta explotacion OVL'!E36/1000/'Tipo de cambio'!#REF!</f>
        <v>#REF!</v>
      </c>
      <c r="F36" s="1895" t="e">
        <f>'Cta explotacion OVL'!F36/1000/'Tipo de cambio'!#REF!</f>
        <v>#REF!</v>
      </c>
      <c r="G36" s="1895" t="e">
        <f>'Cta explotacion OVL'!G36/1000/'Tipo de cambio'!#REF!</f>
        <v>#REF!</v>
      </c>
      <c r="H36" s="1895" t="e">
        <f>'Cta explotacion OVL'!H36/1000/'Tipo de cambio'!#REF!</f>
        <v>#REF!</v>
      </c>
      <c r="I36" s="1895" t="e">
        <f>'Cta explotacion OVL'!I36/1000/'Tipo de cambio'!#REF!</f>
        <v>#REF!</v>
      </c>
      <c r="K36" s="208" t="s">
        <v>47</v>
      </c>
      <c r="L36" s="222"/>
      <c r="M36" s="219" t="s">
        <v>105</v>
      </c>
      <c r="T36" s="1710"/>
      <c r="U36" s="1715"/>
    </row>
    <row r="37" spans="1:21">
      <c r="A37" s="17" t="str">
        <f t="shared" si="0"/>
        <v>OVL</v>
      </c>
      <c r="B37" s="2379" t="str">
        <f>IF('Mode Opératoire'!$I$1="Français",+'Cpte exploitation 1+2+3'!K37,'Cpte exploitation 1+2+3'!M37)</f>
        <v>Achat de petits matériels</v>
      </c>
      <c r="C37" s="862" t="s">
        <v>491</v>
      </c>
      <c r="D37" s="1895" t="e">
        <f>'Cta explotacion OVL'!D37/1000/'Tipo de cambio'!#REF!</f>
        <v>#REF!</v>
      </c>
      <c r="E37" s="1897" t="e">
        <f>'Cta explotacion OVL'!E37/1000/'Tipo de cambio'!#REF!</f>
        <v>#REF!</v>
      </c>
      <c r="F37" s="1895" t="e">
        <f>'Cta explotacion OVL'!F37/1000/'Tipo de cambio'!#REF!</f>
        <v>#REF!</v>
      </c>
      <c r="G37" s="1895" t="e">
        <f>'Cta explotacion OVL'!G37/1000/'Tipo de cambio'!#REF!</f>
        <v>#REF!</v>
      </c>
      <c r="H37" s="1895" t="e">
        <f>'Cta explotacion OVL'!H37/1000/'Tipo de cambio'!#REF!</f>
        <v>#REF!</v>
      </c>
      <c r="I37" s="1895" t="e">
        <f>'Cta explotacion OVL'!I37/1000/'Tipo de cambio'!#REF!</f>
        <v>#REF!</v>
      </c>
      <c r="J37" s="35"/>
      <c r="K37" s="208" t="s">
        <v>48</v>
      </c>
      <c r="L37" s="222"/>
      <c r="M37" s="219" t="s">
        <v>106</v>
      </c>
      <c r="T37" s="1708"/>
      <c r="U37" s="1713"/>
    </row>
    <row r="38" spans="1:21">
      <c r="A38" s="17" t="str">
        <f t="shared" si="0"/>
        <v>OVL</v>
      </c>
      <c r="B38" s="2379" t="str">
        <f>IF('Mode Opératoire'!$I$1="Français",+'Cpte exploitation 1+2+3'!K38,'Cpte exploitation 1+2+3'!M38)</f>
        <v>Eau / EDF</v>
      </c>
      <c r="C38" s="862" t="s">
        <v>491</v>
      </c>
      <c r="D38" s="1895" t="e">
        <f>'Cta explotacion OVL'!D38/1000/'Tipo de cambio'!#REF!</f>
        <v>#REF!</v>
      </c>
      <c r="E38" s="1897" t="e">
        <f>'Cta explotacion OVL'!E38/1000/'Tipo de cambio'!#REF!</f>
        <v>#REF!</v>
      </c>
      <c r="F38" s="1897" t="e">
        <f>'Cta explotacion OVL'!F38/1000/'Tipo de cambio'!#REF!</f>
        <v>#REF!</v>
      </c>
      <c r="G38" s="1897" t="e">
        <f>'Cta explotacion OVL'!G38/1000/'Tipo de cambio'!#REF!</f>
        <v>#REF!</v>
      </c>
      <c r="H38" s="1897" t="e">
        <f>'Cta explotacion OVL'!H38/1000/'Tipo de cambio'!#REF!</f>
        <v>#REF!</v>
      </c>
      <c r="I38" s="1897" t="e">
        <f>'Cta explotacion OVL'!I38/1000/'Tipo de cambio'!#REF!</f>
        <v>#REF!</v>
      </c>
      <c r="J38" s="35"/>
      <c r="K38" s="208" t="s">
        <v>364</v>
      </c>
      <c r="L38" s="222"/>
      <c r="M38" s="219" t="s">
        <v>737</v>
      </c>
      <c r="T38" s="1708"/>
      <c r="U38" s="1713"/>
    </row>
    <row r="39" spans="1:21">
      <c r="A39" s="17" t="str">
        <f t="shared" si="0"/>
        <v>OVL</v>
      </c>
      <c r="B39" s="2379" t="str">
        <f>IF('Mode Opératoire'!$I$1="Français",+'Cpte exploitation 1+2+3'!K39,'Cpte exploitation 1+2+3'!M39)</f>
        <v>Frais déplacement + frais annexes</v>
      </c>
      <c r="C39" s="862"/>
      <c r="D39" s="1896" t="e">
        <f>'Cta explotacion OVL'!D39/1000/'Tipo de cambio'!#REF!</f>
        <v>#REF!</v>
      </c>
      <c r="E39" s="1896" t="e">
        <f>'Cta explotacion OVL'!E39/1000/'Tipo de cambio'!#REF!</f>
        <v>#REF!</v>
      </c>
      <c r="F39" s="1896" t="e">
        <f>'Cta explotacion OVL'!F39/1000/'Tipo de cambio'!#REF!</f>
        <v>#REF!</v>
      </c>
      <c r="G39" s="1896" t="e">
        <f>'Cta explotacion OVL'!G39/1000/'Tipo de cambio'!#REF!</f>
        <v>#REF!</v>
      </c>
      <c r="H39" s="1896" t="e">
        <f>'Cta explotacion OVL'!H39/1000/'Tipo de cambio'!#REF!</f>
        <v>#REF!</v>
      </c>
      <c r="I39" s="1896" t="e">
        <f>'Cta explotacion OVL'!I39/1000/'Tipo de cambio'!#REF!</f>
        <v>#REF!</v>
      </c>
      <c r="J39" s="35"/>
      <c r="K39" s="208" t="s">
        <v>481</v>
      </c>
      <c r="L39" s="862"/>
      <c r="M39" s="1216" t="s">
        <v>738</v>
      </c>
      <c r="T39" s="1708"/>
      <c r="U39" s="1713"/>
    </row>
    <row r="40" spans="1:21">
      <c r="A40" s="17" t="str">
        <f t="shared" si="0"/>
        <v>OVL</v>
      </c>
      <c r="B40" s="2379" t="str">
        <f>IF('Mode Opératoire'!$I$1="Français",+'Cpte exploitation 1+2+3'!K40,'Cpte exploitation 1+2+3'!M40)</f>
        <v xml:space="preserve">Entretien et réparation </v>
      </c>
      <c r="C40" s="862" t="s">
        <v>491</v>
      </c>
      <c r="D40" s="1895" t="e">
        <f>'Cta explotacion OVL'!D40/1000/'Tipo de cambio'!#REF!</f>
        <v>#REF!</v>
      </c>
      <c r="E40" s="1897" t="e">
        <f>'Cta explotacion OVL'!E40/1000/'Tipo de cambio'!#REF!</f>
        <v>#REF!</v>
      </c>
      <c r="F40" s="1895" t="e">
        <f>'Cta explotacion OVL'!F40/1000/'Tipo de cambio'!#REF!</f>
        <v>#REF!</v>
      </c>
      <c r="G40" s="1895" t="e">
        <f>'Cta explotacion OVL'!G40/1000/'Tipo de cambio'!#REF!</f>
        <v>#REF!</v>
      </c>
      <c r="H40" s="1895" t="e">
        <f>'Cta explotacion OVL'!H40/1000/'Tipo de cambio'!#REF!</f>
        <v>#REF!</v>
      </c>
      <c r="I40" s="1895" t="e">
        <f>'Cta explotacion OVL'!I40/1000/'Tipo de cambio'!#REF!</f>
        <v>#REF!</v>
      </c>
      <c r="J40" s="35"/>
      <c r="K40" s="208" t="s">
        <v>49</v>
      </c>
      <c r="L40" s="222"/>
      <c r="M40" s="219" t="s">
        <v>107</v>
      </c>
      <c r="T40" s="1708"/>
      <c r="U40" s="1713"/>
    </row>
    <row r="41" spans="1:21">
      <c r="A41" s="17" t="str">
        <f t="shared" si="0"/>
        <v>OVL</v>
      </c>
      <c r="B41" s="2379" t="str">
        <f>IF('Mode Opératoire'!$I$1="Français",+'Cpte exploitation 1+2+3'!K41,'Cpte exploitation 1+2+3'!M41)</f>
        <v>Autres frais d'exploitation</v>
      </c>
      <c r="C41" s="862" t="s">
        <v>491</v>
      </c>
      <c r="D41" s="1898" t="e">
        <f>'Cta explotacion OVL'!D41/1000/'Tipo de cambio'!#REF!</f>
        <v>#REF!</v>
      </c>
      <c r="E41" s="1897" t="e">
        <f>'Cta explotacion OVL'!E41/1000/'Tipo de cambio'!#REF!</f>
        <v>#REF!</v>
      </c>
      <c r="F41" s="1895" t="e">
        <f>'Cta explotacion OVL'!F41/1000/'Tipo de cambio'!#REF!</f>
        <v>#REF!</v>
      </c>
      <c r="G41" s="1895" t="e">
        <f>'Cta explotacion OVL'!G41/1000/'Tipo de cambio'!#REF!</f>
        <v>#REF!</v>
      </c>
      <c r="H41" s="1895" t="e">
        <f>'Cta explotacion OVL'!H41/1000/'Tipo de cambio'!#REF!</f>
        <v>#REF!</v>
      </c>
      <c r="I41" s="1895" t="e">
        <f>'Cta explotacion OVL'!I41/1000/'Tipo de cambio'!#REF!</f>
        <v>#REF!</v>
      </c>
      <c r="K41" s="208" t="s">
        <v>50</v>
      </c>
      <c r="L41" s="222"/>
      <c r="M41" s="219" t="s">
        <v>108</v>
      </c>
      <c r="T41" s="1708"/>
      <c r="U41" s="1713"/>
    </row>
    <row r="42" spans="1:21">
      <c r="A42" s="17" t="str">
        <f t="shared" si="0"/>
        <v>OVL</v>
      </c>
      <c r="B42" s="233" t="str">
        <f>IF('Mode Opératoire'!$I$1="Français",+'Cpte exploitation 1+2+3'!K42,'Cpte exploitation 1+2+3'!M42)</f>
        <v>Autres frais d'exploitation</v>
      </c>
      <c r="C42" s="234"/>
      <c r="D42" s="1068" t="e">
        <f t="shared" ref="D42:I42" si="8">SUM(D35:D41)</f>
        <v>#REF!</v>
      </c>
      <c r="E42" s="1069" t="e">
        <f t="shared" si="8"/>
        <v>#REF!</v>
      </c>
      <c r="F42" s="1068" t="e">
        <f t="shared" si="8"/>
        <v>#REF!</v>
      </c>
      <c r="G42" s="1068" t="e">
        <f t="shared" si="8"/>
        <v>#REF!</v>
      </c>
      <c r="H42" s="1068" t="e">
        <f t="shared" si="8"/>
        <v>#REF!</v>
      </c>
      <c r="I42" s="1068" t="e">
        <f t="shared" si="8"/>
        <v>#REF!</v>
      </c>
      <c r="K42" s="233" t="s">
        <v>50</v>
      </c>
      <c r="L42" s="234"/>
      <c r="M42" s="235" t="s">
        <v>90</v>
      </c>
      <c r="T42" s="1708"/>
      <c r="U42" s="1713"/>
    </row>
    <row r="43" spans="1:21">
      <c r="A43" s="17" t="str">
        <f t="shared" si="0"/>
        <v>OVL</v>
      </c>
      <c r="B43" s="2379" t="str">
        <f>IF('Mode Opératoire'!$I$1="Français",+'Cpte exploitation 1+2+3'!K43,'Cpte exploitation 1+2+3'!M43)</f>
        <v>Amortissements agence</v>
      </c>
      <c r="C43" s="862" t="s">
        <v>491</v>
      </c>
      <c r="D43" s="1895" t="e">
        <f>'Cta explotacion OVL'!D43/1000/'Tipo de cambio'!#REF!</f>
        <v>#REF!</v>
      </c>
      <c r="E43" s="1897" t="e">
        <f>'Cta explotacion OVL'!E43/1000/'Tipo de cambio'!#REF!</f>
        <v>#REF!</v>
      </c>
      <c r="F43" s="1895" t="e">
        <f>'Cta explotacion OVL'!F43/1000/'Tipo de cambio'!#REF!</f>
        <v>#REF!</v>
      </c>
      <c r="G43" s="1895" t="e">
        <f>'Cta explotacion OVL'!G43/1000/'Tipo de cambio'!#REF!</f>
        <v>#REF!</v>
      </c>
      <c r="H43" s="1895" t="e">
        <f>'Cta explotacion OVL'!H43/1000/'Tipo de cambio'!#REF!</f>
        <v>#REF!</v>
      </c>
      <c r="I43" s="1895" t="e">
        <f>'Cta explotacion OVL'!I43/1000/'Tipo de cambio'!#REF!</f>
        <v>#REF!</v>
      </c>
      <c r="J43" s="35"/>
      <c r="K43" s="208" t="s">
        <v>129</v>
      </c>
      <c r="L43" s="222"/>
      <c r="M43" s="219" t="s">
        <v>109</v>
      </c>
      <c r="T43" s="1708"/>
      <c r="U43" s="1713"/>
    </row>
    <row r="44" spans="1:21">
      <c r="A44" s="17" t="str">
        <f t="shared" si="0"/>
        <v>OVL</v>
      </c>
      <c r="B44" s="2379" t="str">
        <f>IF('Mode Opératoire'!$I$1="Français",+'Cpte exploitation 1+2+3'!K44,'Cpte exploitation 1+2+3'!M44)</f>
        <v>Entretien Batiments</v>
      </c>
      <c r="C44" s="862" t="s">
        <v>491</v>
      </c>
      <c r="D44" s="1895" t="e">
        <f>'Cta explotacion OVL'!D44/1000/'Tipo de cambio'!#REF!</f>
        <v>#REF!</v>
      </c>
      <c r="E44" s="1897" t="e">
        <f>'Cta explotacion OVL'!E44/1000/'Tipo de cambio'!#REF!</f>
        <v>#REF!</v>
      </c>
      <c r="F44" s="1895" t="e">
        <f>'Cta explotacion OVL'!F44/1000/'Tipo de cambio'!#REF!</f>
        <v>#REF!</v>
      </c>
      <c r="G44" s="1895" t="e">
        <f>'Cta explotacion OVL'!G44/1000/'Tipo de cambio'!#REF!</f>
        <v>#REF!</v>
      </c>
      <c r="H44" s="1895" t="e">
        <f>'Cta explotacion OVL'!H44/1000/'Tipo de cambio'!#REF!</f>
        <v>#REF!</v>
      </c>
      <c r="I44" s="1895" t="e">
        <f>'Cta explotacion OVL'!I44/1000/'Tipo de cambio'!#REF!</f>
        <v>#REF!</v>
      </c>
      <c r="K44" s="208" t="s">
        <v>51</v>
      </c>
      <c r="L44" s="222"/>
      <c r="M44" s="219" t="s">
        <v>110</v>
      </c>
      <c r="T44" s="1708"/>
      <c r="U44" s="1713"/>
    </row>
    <row r="45" spans="1:21">
      <c r="A45" s="17" t="str">
        <f t="shared" si="0"/>
        <v>OVL</v>
      </c>
      <c r="B45" s="2379" t="str">
        <f>IF('Mode Opératoire'!$I$1="Français",+'Cpte exploitation 1+2+3'!K45,'Cpte exploitation 1+2+3'!M45)</f>
        <v>Loyer</v>
      </c>
      <c r="C45" s="862" t="s">
        <v>491</v>
      </c>
      <c r="D45" s="1895" t="e">
        <f>'Cta explotacion OVL'!D45/1000/'Tipo de cambio'!#REF!</f>
        <v>#REF!</v>
      </c>
      <c r="E45" s="1897" t="e">
        <f>'Cta explotacion OVL'!E45/1000/'Tipo de cambio'!#REF!</f>
        <v>#REF!</v>
      </c>
      <c r="F45" s="1895" t="e">
        <f>'Cta explotacion OVL'!F45/1000/'Tipo de cambio'!#REF!</f>
        <v>#REF!</v>
      </c>
      <c r="G45" s="1895" t="e">
        <f>'Cta explotacion OVL'!G45/1000/'Tipo de cambio'!#REF!</f>
        <v>#REF!</v>
      </c>
      <c r="H45" s="1895" t="e">
        <f>'Cta explotacion OVL'!H45/1000/'Tipo de cambio'!#REF!</f>
        <v>#REF!</v>
      </c>
      <c r="I45" s="1895" t="e">
        <f>'Cta explotacion OVL'!I45/1000/'Tipo de cambio'!#REF!</f>
        <v>#REF!</v>
      </c>
      <c r="K45" s="208" t="s">
        <v>23</v>
      </c>
      <c r="L45" s="222"/>
      <c r="M45" s="219" t="s">
        <v>111</v>
      </c>
      <c r="T45" s="1708"/>
      <c r="U45" s="1713"/>
    </row>
    <row r="46" spans="1:21">
      <c r="A46" s="17" t="str">
        <f t="shared" si="0"/>
        <v>OVL</v>
      </c>
      <c r="B46" s="2379" t="str">
        <f>IF('Mode Opératoire'!$I$1="Français",+'Cpte exploitation 1+2+3'!K46,'Cpte exploitation 1+2+3'!M46)</f>
        <v>Coût de transfert</v>
      </c>
      <c r="C46" s="862" t="s">
        <v>491</v>
      </c>
      <c r="D46" s="1895" t="e">
        <f>'Cta explotacion OVL'!D46/1000/'Tipo de cambio'!#REF!</f>
        <v>#REF!</v>
      </c>
      <c r="E46" s="1897" t="e">
        <f>'Cta explotacion OVL'!E46/1000/'Tipo de cambio'!#REF!</f>
        <v>#REF!</v>
      </c>
      <c r="F46" s="1895" t="e">
        <f>'Cta explotacion OVL'!F46/1000/'Tipo de cambio'!#REF!</f>
        <v>#REF!</v>
      </c>
      <c r="G46" s="1895" t="e">
        <f>'Cta explotacion OVL'!G46/1000/'Tipo de cambio'!#REF!</f>
        <v>#REF!</v>
      </c>
      <c r="H46" s="1895" t="e">
        <f>'Cta explotacion OVL'!H46/1000/'Tipo de cambio'!#REF!</f>
        <v>#REF!</v>
      </c>
      <c r="I46" s="1895" t="e">
        <f>'Cta explotacion OVL'!I46/1000/'Tipo de cambio'!#REF!</f>
        <v>#REF!</v>
      </c>
      <c r="K46" s="208" t="s">
        <v>652</v>
      </c>
      <c r="L46" s="222"/>
      <c r="M46" s="219" t="s">
        <v>735</v>
      </c>
      <c r="T46" s="1708"/>
      <c r="U46" s="1713"/>
    </row>
    <row r="47" spans="1:21">
      <c r="A47" s="17" t="str">
        <f t="shared" si="0"/>
        <v>OVL</v>
      </c>
      <c r="B47" s="2379" t="str">
        <f>IF('Mode Opératoire'!$I$1="Français",+'Cpte exploitation 1+2+3'!K47,'Cpte exploitation 1+2+3'!M47)</f>
        <v>Locations diverses (hors immobilière)</v>
      </c>
      <c r="C47" s="862" t="s">
        <v>491</v>
      </c>
      <c r="D47" s="1895" t="e">
        <f>'Cta explotacion OVL'!D47/1000/'Tipo de cambio'!#REF!</f>
        <v>#REF!</v>
      </c>
      <c r="E47" s="1897" t="e">
        <f>'Cta explotacion OVL'!E47/1000/'Tipo de cambio'!#REF!</f>
        <v>#REF!</v>
      </c>
      <c r="F47" s="1895" t="e">
        <f>'Cta explotacion OVL'!F47/1000/'Tipo de cambio'!#REF!</f>
        <v>#REF!</v>
      </c>
      <c r="G47" s="1895" t="e">
        <f>'Cta explotacion OVL'!G47/1000/'Tipo de cambio'!#REF!</f>
        <v>#REF!</v>
      </c>
      <c r="H47" s="1895" t="e">
        <f>'Cta explotacion OVL'!H47/1000/'Tipo de cambio'!#REF!</f>
        <v>#REF!</v>
      </c>
      <c r="I47" s="1895" t="e">
        <f>'Cta explotacion OVL'!I47/1000/'Tipo de cambio'!#REF!</f>
        <v>#REF!</v>
      </c>
      <c r="K47" s="208" t="s">
        <v>641</v>
      </c>
      <c r="L47" s="222"/>
      <c r="M47" s="219" t="s">
        <v>736</v>
      </c>
      <c r="T47" s="1708"/>
      <c r="U47" s="1713"/>
    </row>
    <row r="48" spans="1:21">
      <c r="A48" s="17" t="str">
        <f t="shared" si="0"/>
        <v>OVL</v>
      </c>
      <c r="B48" s="2379" t="str">
        <f>IF('Mode Opératoire'!$I$1="Français",+'Cpte exploitation 1+2+3'!K48,'Cpte exploitation 1+2+3'!M48)</f>
        <v>Honoraires</v>
      </c>
      <c r="C48" s="862" t="s">
        <v>491</v>
      </c>
      <c r="D48" s="1895" t="e">
        <f>'Cta explotacion OVL'!D48/1000/'Tipo de cambio'!#REF!</f>
        <v>#REF!</v>
      </c>
      <c r="E48" s="1897" t="e">
        <f>'Cta explotacion OVL'!E48/1000/'Tipo de cambio'!#REF!</f>
        <v>#REF!</v>
      </c>
      <c r="F48" s="1895" t="e">
        <f>'Cta explotacion OVL'!F48/1000/'Tipo de cambio'!#REF!</f>
        <v>#REF!</v>
      </c>
      <c r="G48" s="1895" t="e">
        <f>'Cta explotacion OVL'!G48/1000/'Tipo de cambio'!#REF!</f>
        <v>#REF!</v>
      </c>
      <c r="H48" s="1895" t="e">
        <f>'Cta explotacion OVL'!H48/1000/'Tipo de cambio'!#REF!</f>
        <v>#REF!</v>
      </c>
      <c r="I48" s="1895" t="e">
        <f>'Cta explotacion OVL'!I48/1000/'Tipo de cambio'!#REF!</f>
        <v>#REF!</v>
      </c>
      <c r="K48" s="208" t="s">
        <v>77</v>
      </c>
      <c r="L48" s="222"/>
      <c r="M48" s="219" t="s">
        <v>112</v>
      </c>
      <c r="T48" s="1708"/>
      <c r="U48" s="1713"/>
    </row>
    <row r="49" spans="1:21">
      <c r="A49" s="17" t="str">
        <f t="shared" si="0"/>
        <v>OVL</v>
      </c>
      <c r="B49" s="2379" t="str">
        <f>IF('Mode Opératoire'!$I$1="Français",+'Cpte exploitation 1+2+3'!K49,'Cpte exploitation 1+2+3'!M49)</f>
        <v>Autres frais de structure</v>
      </c>
      <c r="C49" s="862" t="s">
        <v>491</v>
      </c>
      <c r="D49" s="1895" t="e">
        <f>'Cta explotacion OVL'!D49/1000/'Tipo de cambio'!#REF!</f>
        <v>#REF!</v>
      </c>
      <c r="E49" s="1897" t="e">
        <f>'Cta explotacion OVL'!E49/1000/'Tipo de cambio'!#REF!</f>
        <v>#REF!</v>
      </c>
      <c r="F49" s="1895" t="e">
        <f>'Cta explotacion OVL'!F49/1000/'Tipo de cambio'!#REF!</f>
        <v>#REF!</v>
      </c>
      <c r="G49" s="1895" t="e">
        <f>'Cta explotacion OVL'!G49/1000/'Tipo de cambio'!#REF!</f>
        <v>#REF!</v>
      </c>
      <c r="H49" s="1895" t="e">
        <f>'Cta explotacion OVL'!H49/1000/'Tipo de cambio'!#REF!</f>
        <v>#REF!</v>
      </c>
      <c r="I49" s="1895" t="e">
        <f>'Cta explotacion OVL'!I49/1000/'Tipo de cambio'!#REF!</f>
        <v>#REF!</v>
      </c>
      <c r="K49" s="208" t="s">
        <v>52</v>
      </c>
      <c r="L49" s="222"/>
      <c r="M49" s="219" t="s">
        <v>91</v>
      </c>
      <c r="T49" s="1708"/>
      <c r="U49" s="1713"/>
    </row>
    <row r="50" spans="1:21">
      <c r="A50" s="17" t="str">
        <f t="shared" si="0"/>
        <v>OVL</v>
      </c>
      <c r="B50" s="2385" t="str">
        <f>IF('Mode Opératoire'!$I$1="Français",+'Cpte exploitation 1+2+3'!K50,'Cpte exploitation 1+2+3'!M50)</f>
        <v>Frais d'agence</v>
      </c>
      <c r="C50" s="2386"/>
      <c r="D50" s="1063" t="e">
        <f t="shared" ref="D50:I50" si="9">SUM(D43:D49)</f>
        <v>#REF!</v>
      </c>
      <c r="E50" s="1063" t="e">
        <f t="shared" si="9"/>
        <v>#REF!</v>
      </c>
      <c r="F50" s="1063" t="e">
        <f t="shared" si="9"/>
        <v>#REF!</v>
      </c>
      <c r="G50" s="1063" t="e">
        <f t="shared" si="9"/>
        <v>#REF!</v>
      </c>
      <c r="H50" s="1063" t="e">
        <f t="shared" si="9"/>
        <v>#REF!</v>
      </c>
      <c r="I50" s="1063" t="e">
        <f t="shared" si="9"/>
        <v>#REF!</v>
      </c>
      <c r="K50" s="233" t="s">
        <v>119</v>
      </c>
      <c r="L50" s="234"/>
      <c r="M50" s="235" t="s">
        <v>92</v>
      </c>
      <c r="T50" s="1708"/>
      <c r="U50" s="1713"/>
    </row>
    <row r="51" spans="1:21">
      <c r="A51" s="17" t="str">
        <f t="shared" si="0"/>
        <v>OVL</v>
      </c>
      <c r="B51" s="2387" t="str">
        <f>IF('Mode Opératoire'!$I$1="Français",+'Cpte exploitation 1+2+3'!K51,'Cpte exploitation 1+2+3'!M51)</f>
        <v>Dépréciation de créances douteuses</v>
      </c>
      <c r="C51" s="1075"/>
      <c r="D51" s="1074"/>
      <c r="E51" s="1074"/>
      <c r="F51" s="1074"/>
      <c r="G51" s="1074"/>
      <c r="H51" s="1074"/>
      <c r="I51" s="1074"/>
      <c r="K51" s="209" t="s">
        <v>188</v>
      </c>
      <c r="L51" s="223"/>
      <c r="M51" s="232" t="s">
        <v>198</v>
      </c>
      <c r="T51" s="1708"/>
      <c r="U51" s="1713"/>
    </row>
    <row r="52" spans="1:21">
      <c r="A52" s="17" t="str">
        <f t="shared" si="0"/>
        <v>OVL</v>
      </c>
      <c r="B52" s="2388" t="str">
        <f>IF('Mode Opératoire'!$I$1="Français",+'Cpte exploitation 1+2+3'!K52,'Cpte exploitation 1+2+3'!M52)</f>
        <v xml:space="preserve">Frais opérationnels </v>
      </c>
      <c r="C52" s="2389"/>
      <c r="D52" s="1072" t="e">
        <f>+D50+D42+D34+D51</f>
        <v>#REF!</v>
      </c>
      <c r="E52" s="1072" t="e">
        <f t="shared" ref="E52:I52" si="10">+E50+E42+E34+E51</f>
        <v>#REF!</v>
      </c>
      <c r="F52" s="1072" t="e">
        <f t="shared" si="10"/>
        <v>#REF!</v>
      </c>
      <c r="G52" s="1072" t="e">
        <f t="shared" si="10"/>
        <v>#REF!</v>
      </c>
      <c r="H52" s="1072" t="e">
        <f t="shared" si="10"/>
        <v>#REF!</v>
      </c>
      <c r="I52" s="1072" t="e">
        <f t="shared" si="10"/>
        <v>#REF!</v>
      </c>
      <c r="J52" s="451"/>
      <c r="K52" s="210" t="s">
        <v>135</v>
      </c>
      <c r="L52" s="211"/>
      <c r="M52" s="230" t="s">
        <v>93</v>
      </c>
      <c r="T52" s="1708"/>
      <c r="U52" s="1713"/>
    </row>
    <row r="53" spans="1:21">
      <c r="A53" s="17" t="str">
        <f t="shared" si="0"/>
        <v>OVL</v>
      </c>
      <c r="B53" s="2390" t="str">
        <f>IF('Mode Opératoire'!$I$1="Français",+'Cpte exploitation 1+2+3'!K53,'Cpte exploitation 1+2+3'!M53)</f>
        <v>% des ventes</v>
      </c>
      <c r="C53" s="2391"/>
      <c r="D53" s="1073" t="e">
        <f t="shared" ref="D53:I53" si="11">IF(D19&lt;&gt;0,D52/D$19,0)</f>
        <v>#REF!</v>
      </c>
      <c r="E53" s="1073" t="e">
        <f t="shared" si="11"/>
        <v>#REF!</v>
      </c>
      <c r="F53" s="1073" t="e">
        <f t="shared" si="11"/>
        <v>#REF!</v>
      </c>
      <c r="G53" s="1073" t="e">
        <f t="shared" si="11"/>
        <v>#REF!</v>
      </c>
      <c r="H53" s="1073" t="e">
        <f t="shared" si="11"/>
        <v>#REF!</v>
      </c>
      <c r="I53" s="1073" t="e">
        <f t="shared" si="11"/>
        <v>#REF!</v>
      </c>
      <c r="K53" s="212" t="s">
        <v>68</v>
      </c>
      <c r="L53" s="213"/>
      <c r="M53" s="231" t="s">
        <v>84</v>
      </c>
      <c r="T53" s="1708"/>
      <c r="U53" s="1713"/>
    </row>
    <row r="54" spans="1:21">
      <c r="A54" s="17" t="str">
        <f t="shared" si="0"/>
        <v>OVL</v>
      </c>
      <c r="B54" s="190" t="str">
        <f>IF('Mode Opératoire'!$I$1="Français",+'Cpte exploitation 1+2+3'!K54,'Cpte exploitation 1+2+3'!M54)</f>
        <v>Marge sur Coûts Directs</v>
      </c>
      <c r="C54" s="198"/>
      <c r="D54" s="226" t="e">
        <f>+D25+D52</f>
        <v>#REF!</v>
      </c>
      <c r="E54" s="226" t="e">
        <f t="shared" ref="E54:I54" si="12">+E25+E52</f>
        <v>#REF!</v>
      </c>
      <c r="F54" s="226" t="e">
        <f t="shared" si="12"/>
        <v>#REF!</v>
      </c>
      <c r="G54" s="226" t="e">
        <f t="shared" si="12"/>
        <v>#REF!</v>
      </c>
      <c r="H54" s="226" t="e">
        <f t="shared" si="12"/>
        <v>#REF!</v>
      </c>
      <c r="I54" s="226" t="e">
        <f t="shared" si="12"/>
        <v>#REF!</v>
      </c>
      <c r="K54" s="190" t="s">
        <v>953</v>
      </c>
      <c r="L54" s="198"/>
      <c r="M54" s="218" t="s">
        <v>954</v>
      </c>
      <c r="T54" s="1708"/>
      <c r="U54" s="1713"/>
    </row>
    <row r="55" spans="1:21">
      <c r="A55" s="17" t="str">
        <f t="shared" si="0"/>
        <v>OVL</v>
      </c>
      <c r="B55" s="214" t="str">
        <f>IF('Mode Opératoire'!$I$1="Français",+'Cpte exploitation 1+2+3'!K55,'Cpte exploitation 1+2+3'!M55)</f>
        <v>% des ventes</v>
      </c>
      <c r="C55" s="224"/>
      <c r="D55" s="221" t="e">
        <f t="shared" ref="D55:I55" si="13">IF(D$19&lt;&gt;0,D54/D$19,0)</f>
        <v>#REF!</v>
      </c>
      <c r="E55" s="221" t="e">
        <f t="shared" si="13"/>
        <v>#REF!</v>
      </c>
      <c r="F55" s="221" t="e">
        <f t="shared" si="13"/>
        <v>#REF!</v>
      </c>
      <c r="G55" s="221" t="e">
        <f t="shared" si="13"/>
        <v>#REF!</v>
      </c>
      <c r="H55" s="221" t="e">
        <f t="shared" si="13"/>
        <v>#REF!</v>
      </c>
      <c r="I55" s="221" t="e">
        <f t="shared" si="13"/>
        <v>#REF!</v>
      </c>
      <c r="K55" s="214" t="s">
        <v>68</v>
      </c>
      <c r="L55" s="224"/>
      <c r="M55" s="220" t="s">
        <v>84</v>
      </c>
      <c r="T55" s="1708"/>
      <c r="U55" s="1713"/>
    </row>
    <row r="56" spans="1:21">
      <c r="A56" s="17" t="str">
        <f>+$H$6&amp;"opé"</f>
        <v>OVLopé</v>
      </c>
      <c r="B56" s="215" t="str">
        <f>IF('Mode Opératoire'!$I$1="Français",+'Cpte exploitation 1+2+3'!K56,'Cpte exploitation 1+2+3'!M56)</f>
        <v>Frais de Siège opérationnel</v>
      </c>
      <c r="C56" s="1893">
        <f>VLOOKUP(A56,'Quote part frais'!L5:M95,2,FALSE)</f>
        <v>-3.1326589550222016E-2</v>
      </c>
      <c r="D56" s="1064" t="e">
        <f>ROUND($C$56*D19,0)</f>
        <v>#REF!</v>
      </c>
      <c r="E56" s="1064" t="e">
        <f t="shared" ref="E56:I56" si="14">ROUND($C$56*E19,0)</f>
        <v>#REF!</v>
      </c>
      <c r="F56" s="1064" t="e">
        <f t="shared" si="14"/>
        <v>#REF!</v>
      </c>
      <c r="G56" s="1064" t="e">
        <f t="shared" si="14"/>
        <v>#REF!</v>
      </c>
      <c r="H56" s="1064" t="e">
        <f t="shared" si="14"/>
        <v>#REF!</v>
      </c>
      <c r="I56" s="1064" t="e">
        <f t="shared" si="14"/>
        <v>#REF!</v>
      </c>
      <c r="K56" s="215" t="s">
        <v>955</v>
      </c>
      <c r="L56" s="237" t="str">
        <f>IF(SUM(M15:R15)=0,"-",AVERAGE((SUM(M56:R56)/SUM(M15:R15))))</f>
        <v>-</v>
      </c>
      <c r="M56" s="1697" t="s">
        <v>957</v>
      </c>
      <c r="T56" s="1708" t="s">
        <v>983</v>
      </c>
      <c r="U56" s="1713" t="s">
        <v>992</v>
      </c>
    </row>
    <row r="57" spans="1:21">
      <c r="A57" s="17" t="str">
        <f t="shared" si="0"/>
        <v>OVL</v>
      </c>
      <c r="B57" s="216" t="str">
        <f>IF('Mode Opératoire'!$I$1="Français",+'Cpte exploitation 1+2+3'!K57,'Cpte exploitation 1+2+3'!M57)</f>
        <v>% des ventes</v>
      </c>
      <c r="C57" s="217"/>
      <c r="D57" s="1066" t="e">
        <f>IF(D19&lt;&gt;0,D56/D$19,0)</f>
        <v>#REF!</v>
      </c>
      <c r="E57" s="1066" t="e">
        <f t="shared" ref="E57:I57" si="15">IF(E19&lt;&gt;0,E56/E$19,0)</f>
        <v>#REF!</v>
      </c>
      <c r="F57" s="1066" t="e">
        <f t="shared" si="15"/>
        <v>#REF!</v>
      </c>
      <c r="G57" s="1066" t="e">
        <f t="shared" si="15"/>
        <v>#REF!</v>
      </c>
      <c r="H57" s="1066" t="e">
        <f t="shared" si="15"/>
        <v>#REF!</v>
      </c>
      <c r="I57" s="1066" t="e">
        <f t="shared" si="15"/>
        <v>#REF!</v>
      </c>
      <c r="K57" s="216" t="s">
        <v>68</v>
      </c>
      <c r="L57" s="217"/>
      <c r="M57" s="1697"/>
      <c r="T57" s="1708"/>
      <c r="U57" s="1713"/>
    </row>
    <row r="58" spans="1:21">
      <c r="A58" s="17" t="str">
        <f t="shared" si="0"/>
        <v>OVL</v>
      </c>
      <c r="B58" s="190" t="str">
        <f>IF('Mode Opératoire'!$I$1="Français",+'Cpte exploitation 1+2+3'!K58,'Cpte exploitation 1+2+3'!M58)</f>
        <v>Résultat d'activité</v>
      </c>
      <c r="C58" s="198"/>
      <c r="D58" s="226" t="e">
        <f>+D54+D56</f>
        <v>#REF!</v>
      </c>
      <c r="E58" s="226" t="e">
        <f t="shared" ref="E58:I58" si="16">+E54+E56</f>
        <v>#REF!</v>
      </c>
      <c r="F58" s="226" t="e">
        <f t="shared" si="16"/>
        <v>#REF!</v>
      </c>
      <c r="G58" s="226" t="e">
        <f t="shared" si="16"/>
        <v>#REF!</v>
      </c>
      <c r="H58" s="226" t="e">
        <f t="shared" si="16"/>
        <v>#REF!</v>
      </c>
      <c r="I58" s="226" t="e">
        <f t="shared" si="16"/>
        <v>#REF!</v>
      </c>
      <c r="K58" s="190" t="s">
        <v>187</v>
      </c>
      <c r="L58" s="198"/>
      <c r="M58" s="218" t="s">
        <v>195</v>
      </c>
      <c r="T58" s="1708"/>
      <c r="U58" s="1713"/>
    </row>
    <row r="59" spans="1:21">
      <c r="A59" s="17" t="str">
        <f t="shared" si="0"/>
        <v>OVL</v>
      </c>
      <c r="B59" s="214" t="str">
        <f>IF('Mode Opératoire'!$I$1="Français",+'Cpte exploitation 1+2+3'!K59,'Cpte exploitation 1+2+3'!M59)</f>
        <v>% des ventes</v>
      </c>
      <c r="C59" s="224"/>
      <c r="D59" s="221" t="e">
        <f t="shared" ref="D59:I59" si="17">IF(D$19&lt;&gt;0,D58/D$19,0)</f>
        <v>#REF!</v>
      </c>
      <c r="E59" s="221" t="e">
        <f t="shared" si="17"/>
        <v>#REF!</v>
      </c>
      <c r="F59" s="221" t="e">
        <f t="shared" si="17"/>
        <v>#REF!</v>
      </c>
      <c r="G59" s="221" t="e">
        <f t="shared" si="17"/>
        <v>#REF!</v>
      </c>
      <c r="H59" s="221" t="e">
        <f t="shared" si="17"/>
        <v>#REF!</v>
      </c>
      <c r="I59" s="221" t="e">
        <f t="shared" si="17"/>
        <v>#REF!</v>
      </c>
      <c r="K59" s="214" t="s">
        <v>68</v>
      </c>
      <c r="L59" s="224"/>
      <c r="M59" s="220" t="s">
        <v>84</v>
      </c>
      <c r="T59" s="1708"/>
      <c r="U59" s="1713"/>
    </row>
    <row r="60" spans="1:21" s="20" customFormat="1">
      <c r="A60" s="17" t="str">
        <f>+$H$6&amp;"HQ"</f>
        <v>OVLHQ</v>
      </c>
      <c r="B60" s="215" t="str">
        <f>IF('Mode Opératoire'!$I$1="Français",+'Cpte exploitation 1+2+3'!K60,'Cpte exploitation 1+2+3'!M60)</f>
        <v>Frais Groupe</v>
      </c>
      <c r="C60" s="237">
        <f>VLOOKUP(A60,'Quote part frais'!L6:M95,2,FALSE)</f>
        <v>-4.7767725370034049E-2</v>
      </c>
      <c r="D60" s="1064" t="e">
        <f>ROUND($C$60*D19,0)</f>
        <v>#REF!</v>
      </c>
      <c r="E60" s="1064" t="e">
        <f t="shared" ref="E60:I60" si="18">ROUND($C$60*E19,0)</f>
        <v>#REF!</v>
      </c>
      <c r="F60" s="1064" t="e">
        <f t="shared" si="18"/>
        <v>#REF!</v>
      </c>
      <c r="G60" s="1064" t="e">
        <f t="shared" si="18"/>
        <v>#REF!</v>
      </c>
      <c r="H60" s="1064" t="e">
        <f t="shared" si="18"/>
        <v>#REF!</v>
      </c>
      <c r="I60" s="1064" t="e">
        <f t="shared" si="18"/>
        <v>#REF!</v>
      </c>
      <c r="K60" s="215" t="s">
        <v>956</v>
      </c>
      <c r="L60" s="237" t="str">
        <f>IF(SUM(M19:R19)=0,"-",AVERAGE((SUM(M60:R60)/SUM(M19:R19))))</f>
        <v>-</v>
      </c>
      <c r="M60" s="228" t="s">
        <v>958</v>
      </c>
      <c r="T60" s="1708" t="s">
        <v>984</v>
      </c>
      <c r="U60" s="1713" t="s">
        <v>993</v>
      </c>
    </row>
    <row r="61" spans="1:21" s="20" customFormat="1">
      <c r="A61" s="17" t="str">
        <f t="shared" si="0"/>
        <v>OVL</v>
      </c>
      <c r="B61" s="216" t="str">
        <f>IF('Mode Opératoire'!$I$1="Français",+'Cpte exploitation 1+2+3'!K61,'Cpte exploitation 1+2+3'!M61)</f>
        <v>% des ventes</v>
      </c>
      <c r="C61" s="217"/>
      <c r="D61" s="1066" t="e">
        <f t="shared" ref="D61:I61" si="19">IF(D19&lt;&gt;0,D60/D$19,0)</f>
        <v>#REF!</v>
      </c>
      <c r="E61" s="1066" t="e">
        <f t="shared" si="19"/>
        <v>#REF!</v>
      </c>
      <c r="F61" s="1066" t="e">
        <f t="shared" si="19"/>
        <v>#REF!</v>
      </c>
      <c r="G61" s="1066" t="e">
        <f t="shared" si="19"/>
        <v>#REF!</v>
      </c>
      <c r="H61" s="1066" t="e">
        <f t="shared" si="19"/>
        <v>#REF!</v>
      </c>
      <c r="I61" s="1066" t="e">
        <f t="shared" si="19"/>
        <v>#REF!</v>
      </c>
      <c r="K61" s="216" t="s">
        <v>68</v>
      </c>
      <c r="L61" s="217"/>
      <c r="M61" s="229" t="s">
        <v>84</v>
      </c>
      <c r="T61" s="1708"/>
      <c r="U61" s="1713"/>
    </row>
    <row r="62" spans="1:21" s="20" customFormat="1">
      <c r="A62" s="17" t="str">
        <f>+$H$6&amp;"HQ"</f>
        <v>OVLHQ</v>
      </c>
      <c r="B62" s="215" t="s">
        <v>1388</v>
      </c>
      <c r="C62" s="237"/>
      <c r="D62" s="1064" t="e">
        <f>-1.25%*SUM(D15:D18)-1.75%*D14</f>
        <v>#REF!</v>
      </c>
      <c r="E62" s="1064" t="e">
        <f t="shared" ref="E62:I62" si="20">-1.25%*SUM(E15:E18)-1.75%*E14</f>
        <v>#REF!</v>
      </c>
      <c r="F62" s="1064" t="e">
        <f t="shared" si="20"/>
        <v>#REF!</v>
      </c>
      <c r="G62" s="1064" t="e">
        <f t="shared" si="20"/>
        <v>#REF!</v>
      </c>
      <c r="H62" s="1064" t="e">
        <f t="shared" si="20"/>
        <v>#REF!</v>
      </c>
      <c r="I62" s="1064" t="e">
        <f t="shared" si="20"/>
        <v>#REF!</v>
      </c>
      <c r="K62" s="215" t="s">
        <v>956</v>
      </c>
      <c r="L62" s="237" t="str">
        <f>IF(SUM(M21:R21)=0,"-",AVERAGE((SUM(M62:R62)/SUM(M21:R21))))</f>
        <v>-</v>
      </c>
      <c r="M62" s="228" t="s">
        <v>958</v>
      </c>
      <c r="T62" s="1708"/>
      <c r="U62" s="1713"/>
    </row>
    <row r="63" spans="1:21" s="20" customFormat="1">
      <c r="A63" s="17" t="str">
        <f t="shared" si="0"/>
        <v>OVL</v>
      </c>
      <c r="B63" s="216" t="str">
        <f>IF('Mode Opératoire'!$I$1="Français",+'Cpte exploitation 1+2+3'!K63,'Cpte exploitation 1+2+3'!M63)</f>
        <v>% des ventes</v>
      </c>
      <c r="C63" s="217"/>
      <c r="D63" s="1066" t="e">
        <f t="shared" ref="D63:I63" si="21">IF(D21&lt;&gt;0,D62/D$19,0)</f>
        <v>#REF!</v>
      </c>
      <c r="E63" s="1066" t="e">
        <f t="shared" si="21"/>
        <v>#REF!</v>
      </c>
      <c r="F63" s="1066" t="e">
        <f t="shared" si="21"/>
        <v>#REF!</v>
      </c>
      <c r="G63" s="1066" t="e">
        <f t="shared" si="21"/>
        <v>#REF!</v>
      </c>
      <c r="H63" s="1066" t="e">
        <f t="shared" si="21"/>
        <v>#REF!</v>
      </c>
      <c r="I63" s="1066" t="e">
        <f t="shared" si="21"/>
        <v>#REF!</v>
      </c>
      <c r="K63" s="216" t="s">
        <v>68</v>
      </c>
      <c r="L63" s="217"/>
      <c r="M63" s="229" t="s">
        <v>84</v>
      </c>
      <c r="T63" s="1708"/>
      <c r="U63" s="1713"/>
    </row>
    <row r="64" spans="1:21">
      <c r="A64" s="17" t="str">
        <f t="shared" si="0"/>
        <v>OVL</v>
      </c>
      <c r="B64" s="190" t="str">
        <f>IF('Mode Opératoire'!$I$1="Français",+'Cpte exploitation 1+2+3'!K64,'Cpte exploitation 1+2+3'!M64)</f>
        <v>Résultat Opérationnel Courant</v>
      </c>
      <c r="C64" s="198"/>
      <c r="D64" s="226" t="e">
        <f>+D58+D60+D62</f>
        <v>#REF!</v>
      </c>
      <c r="E64" s="226" t="e">
        <f t="shared" ref="E64:I64" si="22">+E58+E60+E62</f>
        <v>#REF!</v>
      </c>
      <c r="F64" s="226" t="e">
        <f t="shared" si="22"/>
        <v>#REF!</v>
      </c>
      <c r="G64" s="226" t="e">
        <f t="shared" si="22"/>
        <v>#REF!</v>
      </c>
      <c r="H64" s="226" t="e">
        <f t="shared" si="22"/>
        <v>#REF!</v>
      </c>
      <c r="I64" s="226" t="e">
        <f t="shared" si="22"/>
        <v>#REF!</v>
      </c>
      <c r="K64" s="190" t="s">
        <v>148</v>
      </c>
      <c r="L64" s="198"/>
      <c r="M64" s="218" t="s">
        <v>94</v>
      </c>
      <c r="T64" s="1708"/>
      <c r="U64" s="1713"/>
    </row>
    <row r="65" spans="1:21">
      <c r="A65" s="17" t="str">
        <f t="shared" si="0"/>
        <v>OVL</v>
      </c>
      <c r="B65" s="214" t="str">
        <f>IF('Mode Opératoire'!$I$1="Français",+'Cpte exploitation 1+2+3'!K65,'Cpte exploitation 1+2+3'!M65)</f>
        <v>% des ventes</v>
      </c>
      <c r="C65" s="224"/>
      <c r="D65" s="221" t="e">
        <f t="shared" ref="D65:I65" si="23">IF(D$19&lt;&gt;0,D64/D$19,0)</f>
        <v>#REF!</v>
      </c>
      <c r="E65" s="221" t="e">
        <f t="shared" si="23"/>
        <v>#REF!</v>
      </c>
      <c r="F65" s="221" t="e">
        <f t="shared" si="23"/>
        <v>#REF!</v>
      </c>
      <c r="G65" s="221" t="e">
        <f t="shared" si="23"/>
        <v>#REF!</v>
      </c>
      <c r="H65" s="221" t="e">
        <f t="shared" si="23"/>
        <v>#REF!</v>
      </c>
      <c r="I65" s="221" t="e">
        <f t="shared" si="23"/>
        <v>#REF!</v>
      </c>
      <c r="K65" s="214" t="s">
        <v>68</v>
      </c>
      <c r="L65" s="224"/>
      <c r="M65" s="220" t="s">
        <v>84</v>
      </c>
      <c r="T65" s="1708"/>
      <c r="U65" s="1713"/>
    </row>
    <row r="66" spans="1:21">
      <c r="B66" s="75"/>
      <c r="C66" s="75"/>
      <c r="D66" s="76"/>
      <c r="E66" s="76"/>
      <c r="F66" s="76"/>
      <c r="G66" s="76"/>
      <c r="H66" s="76"/>
      <c r="I66" s="76"/>
      <c r="K66" s="75"/>
      <c r="L66" s="75"/>
      <c r="M66" s="75"/>
      <c r="T66" s="1708"/>
      <c r="U66" s="1713"/>
    </row>
    <row r="67" spans="1:21">
      <c r="B67" s="830"/>
      <c r="C67" s="830"/>
      <c r="D67" s="892"/>
      <c r="E67" s="892"/>
      <c r="F67" s="892"/>
      <c r="G67" s="892"/>
      <c r="H67" s="892"/>
      <c r="I67" s="892"/>
      <c r="K67" s="21"/>
      <c r="L67" s="21"/>
      <c r="M67" s="21"/>
      <c r="T67" s="1708"/>
      <c r="U67" s="1713"/>
    </row>
    <row r="68" spans="1:21">
      <c r="B68" s="45" t="str">
        <f>IF('Mode Opératoire'!$I$1="Français",+'Cpte exploitation 1+2+3'!K68,'Cpte exploitation 1+2+3'!M68)</f>
        <v>Effectifs opérationnels fin d'année</v>
      </c>
      <c r="C68" s="140"/>
      <c r="D68" s="44"/>
      <c r="E68" s="44"/>
      <c r="F68" s="44"/>
      <c r="G68" s="44"/>
      <c r="H68" s="44"/>
      <c r="I68" s="44"/>
      <c r="K68" s="45" t="s">
        <v>121</v>
      </c>
      <c r="L68" s="140"/>
      <c r="M68" s="49"/>
      <c r="T68" s="1708"/>
      <c r="U68" s="1713"/>
    </row>
    <row r="69" spans="1:21">
      <c r="A69" s="17" t="str">
        <f>+$H$6</f>
        <v>OVL</v>
      </c>
      <c r="B69" s="2378" t="str">
        <f>IF('Mode Opératoire'!$I$1="Français",+'Cpte exploitation 1+2+3'!K69,'Cpte exploitation 1+2+3'!M69)</f>
        <v>Inscrits (ETP)</v>
      </c>
      <c r="C69" s="1076"/>
      <c r="D69" s="1899">
        <f>(VLOOKUP($A$27,'cost calculateur'!$E$44:$EA$65,12,FALSE))</f>
        <v>0</v>
      </c>
      <c r="E69" s="1899">
        <f>(VLOOKUP($A$27,'cost calculateur'!$E$44:$EA$65,13,FALSE))</f>
        <v>0</v>
      </c>
      <c r="F69" s="1899">
        <f>(VLOOKUP($A$27,'cost calculateur'!$E$44:$EA$65,14,FALSE))</f>
        <v>0</v>
      </c>
      <c r="G69" s="1899">
        <f>(VLOOKUP($A$27,'cost calculateur'!$E$44:$EA$65,15,FALSE))</f>
        <v>0</v>
      </c>
      <c r="H69" s="1899">
        <f>(VLOOKUP($A$27,'cost calculateur'!$E$44:$EA$65,16,FALSE))</f>
        <v>0</v>
      </c>
      <c r="I69" s="1900">
        <f>(VLOOKUP($A$27,'cost calculateur'!$E$44:$EA$65,16,FALSE))</f>
        <v>0</v>
      </c>
      <c r="J69" s="452"/>
      <c r="K69" s="207" t="s">
        <v>122</v>
      </c>
      <c r="L69" s="828"/>
      <c r="M69" s="245" t="s">
        <v>102</v>
      </c>
      <c r="T69" s="1708"/>
      <c r="U69" s="1713" t="s">
        <v>973</v>
      </c>
    </row>
    <row r="70" spans="1:21">
      <c r="A70" s="17" t="str">
        <f>+$H$6</f>
        <v>OVL</v>
      </c>
      <c r="B70" s="2395" t="str">
        <f>IF('Mode Opératoire'!$I$1="Français",+'Cpte exploitation 1+2+3'!K70,'Cpte exploitation 1+2+3'!M70)</f>
        <v xml:space="preserve"> Intérimaires</v>
      </c>
      <c r="C70" s="1077"/>
      <c r="D70" s="1901">
        <f>(VLOOKUP($A$27,'cost calculateur'!$E$68:$EA$90,12,FALSE))</f>
        <v>0</v>
      </c>
      <c r="E70" s="1901">
        <f>(VLOOKUP($A$27,'cost calculateur'!$E$68:$EA$90,13,FALSE))</f>
        <v>0</v>
      </c>
      <c r="F70" s="1901">
        <f>(VLOOKUP($A$27,'cost calculateur'!$E$68:$EA$90,14,FALSE))</f>
        <v>0</v>
      </c>
      <c r="G70" s="1901">
        <f>(VLOOKUP($A$27,'cost calculateur'!$E$68:$EA$90,15,FALSE))</f>
        <v>0</v>
      </c>
      <c r="H70" s="1901">
        <f>(VLOOKUP($A$27,'cost calculateur'!$E$68:$EA$90,16,FALSE))</f>
        <v>0</v>
      </c>
      <c r="I70" s="1902">
        <f>(VLOOKUP($A$27,'cost calculateur'!$E$68:$EA$90,16,FALSE))</f>
        <v>0</v>
      </c>
      <c r="K70" s="244" t="s">
        <v>53</v>
      </c>
      <c r="L70" s="829"/>
      <c r="M70" s="246" t="s">
        <v>95</v>
      </c>
      <c r="T70" s="1708" t="s">
        <v>975</v>
      </c>
      <c r="U70" s="1713"/>
    </row>
    <row r="71" spans="1:21">
      <c r="B71" s="239" t="str">
        <f>IF('Mode Opératoire'!$I$1="Français",+'Cpte exploitation 1+2+3'!K71,'Cpte exploitation 1+2+3'!M71)</f>
        <v>Effectifs Opérationnels</v>
      </c>
      <c r="C71" s="240"/>
      <c r="D71" s="241">
        <f t="shared" ref="D71:I71" si="24">SUM(D69:D70)</f>
        <v>0</v>
      </c>
      <c r="E71" s="241">
        <f t="shared" si="24"/>
        <v>0</v>
      </c>
      <c r="F71" s="241">
        <f t="shared" si="24"/>
        <v>0</v>
      </c>
      <c r="G71" s="241">
        <f t="shared" si="24"/>
        <v>0</v>
      </c>
      <c r="H71" s="241">
        <f t="shared" si="24"/>
        <v>0</v>
      </c>
      <c r="I71" s="242">
        <f t="shared" si="24"/>
        <v>0</v>
      </c>
      <c r="K71" s="239" t="s">
        <v>120</v>
      </c>
      <c r="L71" s="240"/>
      <c r="M71" s="243" t="s">
        <v>96</v>
      </c>
      <c r="T71" s="1708"/>
      <c r="U71" s="1713"/>
    </row>
    <row r="72" spans="1:21">
      <c r="B72" s="17">
        <f>IF('Mode Opératoire'!$I$1="Français",+'Cpte exploitation 1+2+3'!K72,'Cpte exploitation 1+2+3'!M72)</f>
        <v>0</v>
      </c>
      <c r="T72" s="1708"/>
      <c r="U72" s="1713"/>
    </row>
    <row r="73" spans="1:21" ht="18" customHeight="1">
      <c r="B73" s="247" t="str">
        <f>IF('Mode Opératoire'!$I$1="Français",+'Cpte exploitation 1+2+3'!K73,'Cpte exploitation 1+2+3'!M73)</f>
        <v xml:space="preserve">cout moyen/effectifs </v>
      </c>
      <c r="C73" s="248"/>
      <c r="D73" s="249" t="str">
        <f>IF(D71=0,"-",D34/D71)</f>
        <v>-</v>
      </c>
      <c r="E73" s="249" t="str">
        <f t="shared" ref="E73:I73" si="25">IF(E71=0,"-",E34/E71)</f>
        <v>-</v>
      </c>
      <c r="F73" s="249" t="str">
        <f t="shared" si="25"/>
        <v>-</v>
      </c>
      <c r="G73" s="249" t="str">
        <f t="shared" si="25"/>
        <v>-</v>
      </c>
      <c r="H73" s="249" t="str">
        <f t="shared" si="25"/>
        <v>-</v>
      </c>
      <c r="I73" s="250" t="str">
        <f t="shared" si="25"/>
        <v>-</v>
      </c>
      <c r="K73" s="247" t="s">
        <v>839</v>
      </c>
      <c r="L73" s="248"/>
      <c r="M73" s="1579" t="s">
        <v>840</v>
      </c>
      <c r="T73" s="1708"/>
      <c r="U73" s="1713"/>
    </row>
    <row r="74" spans="1:21" ht="18" customHeight="1">
      <c r="B74" s="251" t="str">
        <f>IF('Mode Opératoire'!$I$1="Français",+'Cpte exploitation 1+2+3'!K74,'Cpte exploitation 1+2+3'!M74)</f>
        <v>RAC/effectifs</v>
      </c>
      <c r="C74" s="252"/>
      <c r="D74" s="253" t="str">
        <f>IF(D71=0,"-",D58/D71)</f>
        <v>-</v>
      </c>
      <c r="E74" s="253" t="str">
        <f t="shared" ref="E74:I74" si="26">IF(E71=0,"-",E58/E71)</f>
        <v>-</v>
      </c>
      <c r="F74" s="253" t="str">
        <f t="shared" si="26"/>
        <v>-</v>
      </c>
      <c r="G74" s="253" t="str">
        <f t="shared" si="26"/>
        <v>-</v>
      </c>
      <c r="H74" s="253" t="str">
        <f t="shared" si="26"/>
        <v>-</v>
      </c>
      <c r="I74" s="253" t="str">
        <f t="shared" si="26"/>
        <v>-</v>
      </c>
      <c r="K74" s="251" t="s">
        <v>959</v>
      </c>
      <c r="L74" s="252"/>
      <c r="M74" s="1580" t="s">
        <v>961</v>
      </c>
      <c r="T74" s="1708"/>
      <c r="U74" s="1713"/>
    </row>
    <row r="75" spans="1:21" ht="18" customHeight="1">
      <c r="B75" s="251" t="str">
        <f>IF('Mode Opératoire'!$I$1="Français",+'Cpte exploitation 1+2+3'!K75,'Cpte exploitation 1+2+3'!M75)</f>
        <v>MCO/effectifs</v>
      </c>
      <c r="C75" s="1698"/>
      <c r="D75" s="253" t="str">
        <f>IF(D71=0,"-",D22/D71)</f>
        <v>-</v>
      </c>
      <c r="E75" s="1699" t="str">
        <f t="shared" ref="E75:I75" si="27">IF(E71=0,"-",E22/E71)</f>
        <v>-</v>
      </c>
      <c r="F75" s="1699" t="str">
        <f t="shared" si="27"/>
        <v>-</v>
      </c>
      <c r="G75" s="1699" t="str">
        <f t="shared" si="27"/>
        <v>-</v>
      </c>
      <c r="H75" s="1699" t="str">
        <f t="shared" si="27"/>
        <v>-</v>
      </c>
      <c r="I75" s="1699" t="str">
        <f t="shared" si="27"/>
        <v>-</v>
      </c>
      <c r="K75" s="251" t="s">
        <v>960</v>
      </c>
      <c r="L75" s="1698"/>
      <c r="M75" s="1700" t="s">
        <v>962</v>
      </c>
      <c r="T75" s="1708"/>
      <c r="U75" s="1713"/>
    </row>
    <row r="76" spans="1:21" ht="18" customHeight="1">
      <c r="B76" s="254" t="str">
        <f>IF('Mode Opératoire'!$I$1="Français",+'Cpte exploitation 1+2+3'!K76,'Cpte exploitation 1+2+3'!M76)</f>
        <v>Total Frais Indirect</v>
      </c>
      <c r="C76" s="255"/>
      <c r="D76" s="256" t="str">
        <f>IF(D71=0,"-",(D56+D60)/D71)</f>
        <v>-</v>
      </c>
      <c r="E76" s="256" t="str">
        <f t="shared" ref="E76:I76" si="28">IF(E71=0,"-",(E56+E60)/E71)</f>
        <v>-</v>
      </c>
      <c r="F76" s="256" t="str">
        <f t="shared" si="28"/>
        <v>-</v>
      </c>
      <c r="G76" s="256" t="str">
        <f t="shared" si="28"/>
        <v>-</v>
      </c>
      <c r="H76" s="256" t="str">
        <f t="shared" si="28"/>
        <v>-</v>
      </c>
      <c r="I76" s="256" t="str">
        <f t="shared" si="28"/>
        <v>-</v>
      </c>
      <c r="K76" s="254" t="s">
        <v>963</v>
      </c>
      <c r="L76" s="255"/>
      <c r="M76" s="1581" t="s">
        <v>964</v>
      </c>
      <c r="T76" s="1708"/>
      <c r="U76" s="1713"/>
    </row>
  </sheetData>
  <mergeCells count="2">
    <mergeCell ref="C27:C33"/>
    <mergeCell ref="L27:L33"/>
  </mergeCells>
  <conditionalFormatting sqref="H6">
    <cfRule type="cellIs" dxfId="83" priority="6" operator="equal">
      <formula>"XXXXX"</formula>
    </cfRule>
  </conditionalFormatting>
  <conditionalFormatting sqref="H6">
    <cfRule type="cellIs" dxfId="82" priority="5" operator="equal">
      <formula>"XXXXX"</formula>
    </cfRule>
  </conditionalFormatting>
  <conditionalFormatting sqref="D14:I18 D20:I20 D35:I38 D40:I41 D43:I49">
    <cfRule type="cellIs" dxfId="81" priority="4" operator="equal">
      <formula>0</formula>
    </cfRule>
  </conditionalFormatting>
  <conditionalFormatting sqref="D27:I33 D39:I39">
    <cfRule type="cellIs" dxfId="80" priority="3" operator="equal">
      <formula>#N/A</formula>
    </cfRule>
  </conditionalFormatting>
  <conditionalFormatting sqref="D24:I24">
    <cfRule type="cellIs" dxfId="79" priority="2" operator="equal">
      <formula>0</formula>
    </cfRule>
  </conditionalFormatting>
  <conditionalFormatting sqref="H6">
    <cfRule type="cellIs" dxfId="78" priority="1" operator="equal">
      <formula>"XXXXX"</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drawing r:id="rId2"/>
  <legacyDrawing r:id="rId3"/>
</worksheet>
</file>

<file path=xl/worksheets/sheet28.xml><?xml version="1.0" encoding="utf-8"?>
<worksheet xmlns="http://schemas.openxmlformats.org/spreadsheetml/2006/main" xmlns:r="http://schemas.openxmlformats.org/officeDocument/2006/relationships">
  <sheetPr codeName="Feuil12">
    <tabColor rgb="FF00B050"/>
    <pageSetUpPr fitToPage="1"/>
  </sheetPr>
  <dimension ref="A1:U76"/>
  <sheetViews>
    <sheetView topLeftCell="B1" workbookViewId="0">
      <selection activeCell="D51" sqref="D51:I51"/>
    </sheetView>
  </sheetViews>
  <sheetFormatPr baseColWidth="10" defaultColWidth="11.42578125" defaultRowHeight="12.75"/>
  <cols>
    <col min="1" max="1" width="12" style="17" hidden="1" customWidth="1"/>
    <col min="2" max="2" width="29.7109375" style="17" customWidth="1"/>
    <col min="3" max="3" width="6.5703125" style="17" customWidth="1"/>
    <col min="4" max="9" width="15" style="17" customWidth="1"/>
    <col min="10" max="10" width="11.42578125" style="17"/>
    <col min="11" max="11" width="29.7109375" style="17" hidden="1" customWidth="1"/>
    <col min="12" max="12" width="6.5703125" style="17" hidden="1" customWidth="1"/>
    <col min="13" max="13" width="25.5703125" style="48" hidden="1" customWidth="1"/>
    <col min="14" max="19" width="11.42578125" style="17" hidden="1" customWidth="1"/>
    <col min="20" max="20" width="82.140625" style="17" bestFit="1" customWidth="1"/>
    <col min="21" max="21" width="93.28515625" style="17" bestFit="1" customWidth="1"/>
    <col min="22" max="16384" width="11.42578125" style="17"/>
  </cols>
  <sheetData>
    <row r="1" spans="1:21" customFormat="1" ht="26.25">
      <c r="A1" s="621"/>
      <c r="B1" s="621"/>
      <c r="C1" s="621"/>
      <c r="D1" s="2393"/>
      <c r="E1" s="2394" t="str">
        <f>IF('Mode Opératoire'!$I$1="Français",+'Cpte exploitation 1+2+3'!K1,'Cpte exploitation 1+2+3'!M1)</f>
        <v>Compte d'Exploitation Total</v>
      </c>
      <c r="F1" s="2393"/>
      <c r="G1" s="621"/>
      <c r="H1" s="621"/>
      <c r="I1" s="621"/>
      <c r="J1" s="2464" t="s">
        <v>151</v>
      </c>
      <c r="K1" s="73" t="s">
        <v>190</v>
      </c>
      <c r="M1" s="73" t="s">
        <v>740</v>
      </c>
    </row>
    <row r="2" spans="1:21" customFormat="1" ht="16.5">
      <c r="A2" s="621"/>
      <c r="B2" s="621"/>
      <c r="C2" s="621"/>
      <c r="D2" s="621"/>
      <c r="E2" s="621"/>
      <c r="F2" s="621"/>
      <c r="G2" s="621"/>
      <c r="H2" s="621"/>
      <c r="I2" s="621"/>
      <c r="J2" s="2462" t="s">
        <v>151</v>
      </c>
      <c r="M2" s="46"/>
    </row>
    <row r="3" spans="1:21" customFormat="1" ht="16.5">
      <c r="A3" s="621"/>
      <c r="B3" s="621"/>
      <c r="C3" s="621"/>
      <c r="D3" s="621"/>
      <c r="E3" s="621"/>
      <c r="F3" s="621"/>
      <c r="G3" s="621"/>
      <c r="H3" s="621"/>
      <c r="I3" s="621"/>
      <c r="J3" s="2465" t="s">
        <v>152</v>
      </c>
      <c r="M3" s="46"/>
    </row>
    <row r="4" spans="1:21" ht="26.25">
      <c r="B4" s="78" t="str">
        <f>+'Synthèse projet'!A3</f>
        <v>Nom projet / Project Name :</v>
      </c>
      <c r="C4" s="953"/>
      <c r="D4" s="953" t="str">
        <f>'Cpte exploitation 1+2+3'!E4</f>
        <v>xxxxxx</v>
      </c>
      <c r="E4" s="16"/>
      <c r="F4" s="16"/>
      <c r="G4" s="16"/>
      <c r="H4" s="16"/>
      <c r="I4" s="16"/>
      <c r="K4" s="1217"/>
      <c r="L4" s="834"/>
      <c r="M4" s="1218"/>
      <c r="T4" s="1706" t="s">
        <v>988</v>
      </c>
      <c r="U4" s="1711" t="s">
        <v>989</v>
      </c>
    </row>
    <row r="5" spans="1:21" s="15" customFormat="1" ht="6" customHeight="1">
      <c r="B5" s="838"/>
      <c r="C5" s="838"/>
      <c r="D5" s="839"/>
      <c r="E5" s="839"/>
      <c r="F5" s="839"/>
      <c r="G5" s="839"/>
      <c r="H5" s="839"/>
      <c r="I5" s="839"/>
      <c r="K5" s="838"/>
      <c r="L5" s="838"/>
      <c r="M5" s="904"/>
      <c r="T5" s="1707"/>
      <c r="U5" s="1712"/>
    </row>
    <row r="6" spans="1:21" s="28" customFormat="1" ht="23.25">
      <c r="B6" s="146" t="str">
        <f>+'Synthèse projet'!A5</f>
        <v>Rédacteur / Writer  :</v>
      </c>
      <c r="C6" s="146"/>
      <c r="D6" s="146"/>
      <c r="E6" s="148" t="str">
        <f>'Cpte exploitation ARG'!E6</f>
        <v>xxxxx</v>
      </c>
      <c r="F6" s="924"/>
      <c r="G6" s="154" t="s">
        <v>98</v>
      </c>
      <c r="H6" s="149" t="s">
        <v>203</v>
      </c>
      <c r="J6" s="27"/>
      <c r="K6" s="842"/>
      <c r="L6" s="842"/>
      <c r="M6" s="1219"/>
      <c r="T6" s="1708" t="s">
        <v>985</v>
      </c>
      <c r="U6" s="1713" t="s">
        <v>991</v>
      </c>
    </row>
    <row r="7" spans="1:21" s="29" customFormat="1" ht="15.75">
      <c r="B7" s="147" t="str">
        <f>+'Synthèse projet'!A6</f>
        <v>Version / Date :</v>
      </c>
      <c r="C7" s="147"/>
      <c r="D7" s="147"/>
      <c r="E7" s="148" t="str">
        <f>'Cpte exploitation ARG'!E7</f>
        <v>xxxxx</v>
      </c>
      <c r="F7" s="2392"/>
      <c r="G7" s="2392"/>
      <c r="H7" s="2392"/>
      <c r="I7" s="2392"/>
      <c r="J7" s="27"/>
      <c r="K7" s="1220"/>
      <c r="L7" s="1220"/>
      <c r="M7" s="1221"/>
      <c r="T7" s="1708"/>
      <c r="U7" s="1713"/>
    </row>
    <row r="8" spans="1:21" s="15" customFormat="1" ht="26.25" customHeight="1">
      <c r="B8" s="935"/>
      <c r="C8" s="935"/>
      <c r="D8" s="936"/>
      <c r="E8" s="937"/>
      <c r="F8" s="937"/>
      <c r="G8" s="937"/>
      <c r="H8" s="937"/>
      <c r="I8" s="937"/>
      <c r="K8" s="19"/>
      <c r="L8" s="19"/>
      <c r="M8" s="47"/>
      <c r="T8" s="1707"/>
      <c r="U8" s="1712"/>
    </row>
    <row r="9" spans="1:21" s="15" customFormat="1" ht="15">
      <c r="B9" s="935"/>
      <c r="C9" s="935"/>
      <c r="D9" s="902"/>
      <c r="E9" s="903"/>
      <c r="F9" s="902"/>
      <c r="G9" s="902"/>
      <c r="H9" s="902"/>
      <c r="I9" s="902"/>
      <c r="K9" s="19"/>
      <c r="L9" s="19"/>
      <c r="M9" s="904"/>
      <c r="T9" s="1707"/>
      <c r="U9" s="1712"/>
    </row>
    <row r="10" spans="1:21" s="15" customFormat="1" ht="15">
      <c r="B10" s="935"/>
      <c r="C10" s="935"/>
      <c r="D10" s="902"/>
      <c r="E10" s="902"/>
      <c r="F10" s="902"/>
      <c r="G10" s="902"/>
      <c r="H10" s="902"/>
      <c r="I10" s="902"/>
      <c r="K10" s="19"/>
      <c r="L10" s="19"/>
      <c r="M10" s="47"/>
      <c r="N10" s="174" t="s">
        <v>38</v>
      </c>
      <c r="O10" s="174" t="s">
        <v>39</v>
      </c>
      <c r="P10" s="174" t="s">
        <v>40</v>
      </c>
      <c r="Q10" s="174" t="s">
        <v>41</v>
      </c>
      <c r="R10" s="174" t="s">
        <v>42</v>
      </c>
      <c r="S10" s="177" t="s">
        <v>78</v>
      </c>
      <c r="T10" s="1707"/>
      <c r="U10" s="1712"/>
    </row>
    <row r="11" spans="1:21" ht="6" customHeight="1">
      <c r="B11" s="167"/>
      <c r="C11" s="170"/>
      <c r="D11" s="173"/>
      <c r="E11" s="173"/>
      <c r="F11" s="173"/>
      <c r="G11" s="173"/>
      <c r="H11" s="173"/>
      <c r="I11" s="176"/>
      <c r="K11" s="167"/>
      <c r="L11" s="170"/>
      <c r="T11" s="1708"/>
      <c r="U11" s="1713"/>
    </row>
    <row r="12" spans="1:21" s="20" customFormat="1">
      <c r="B12" s="2379" t="str">
        <f>IF('Mode Opératoire'!$I$1="Français",+'Cpte exploitation 1+2+3'!K11:K12,'Cpte exploitation 1+2+3'!M12)</f>
        <v>K€ (montants signés)</v>
      </c>
      <c r="C12" s="859"/>
      <c r="D12" s="174" t="str">
        <f>IF('Mode Opératoire'!$I$1="Français",+'Cpte exploitation 1+2+3'!N10,'Cpte exploitation 1+2+3'!N13)</f>
        <v>Année 1</v>
      </c>
      <c r="E12" s="174" t="str">
        <f>IF('Mode Opératoire'!$I$1="Français",+'Cpte exploitation 1+2+3'!O10,'Cpte exploitation 1+2+3'!O13)</f>
        <v>Année 2</v>
      </c>
      <c r="F12" s="174" t="str">
        <f>IF('Mode Opératoire'!$I$1="Français",+'Cpte exploitation 1+2+3'!P10,'Cpte exploitation 1+2+3'!P13)</f>
        <v>Année 3</v>
      </c>
      <c r="G12" s="174" t="str">
        <f>IF('Mode Opératoire'!$I$1="Français",+'Cpte exploitation 1+2+3'!Q10,'Cpte exploitation 1+2+3'!Q13)</f>
        <v>Année 4</v>
      </c>
      <c r="H12" s="174" t="str">
        <f>IF('Mode Opératoire'!$I$1="Français",+'Cpte exploitation 1+2+3'!R10,'Cpte exploitation 1+2+3'!R13)</f>
        <v>Année 5</v>
      </c>
      <c r="I12" s="174" t="str">
        <f>IF('Mode Opératoire'!$I$1="Français",+'Cpte exploitation 1+2+3'!S10,'Cpte exploitation 1+2+3'!S13)</f>
        <v>Année 6</v>
      </c>
      <c r="K12" s="168" t="s">
        <v>137</v>
      </c>
      <c r="L12" s="171"/>
      <c r="M12" s="168" t="s">
        <v>137</v>
      </c>
      <c r="T12" s="1708"/>
      <c r="U12" s="1713"/>
    </row>
    <row r="13" spans="1:21">
      <c r="B13" s="169"/>
      <c r="C13" s="172"/>
      <c r="D13" s="175">
        <f>+'Cpte exploitation 1+2+3'!D13</f>
        <v>2014</v>
      </c>
      <c r="E13" s="175">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T13" s="1708" t="s">
        <v>990</v>
      </c>
      <c r="U13" s="1713" t="s">
        <v>974</v>
      </c>
    </row>
    <row r="14" spans="1:21">
      <c r="A14" s="17" t="str">
        <f>+$H$6</f>
        <v>OVS</v>
      </c>
      <c r="B14" s="2378" t="str">
        <f>IF('Mode Opératoire'!$I$1="Français",+'Cpte exploitation 1+2+3'!K14,'Cpte exploitation 1+2+3'!M14)</f>
        <v>Ventes PSA</v>
      </c>
      <c r="C14" s="862" t="s">
        <v>491</v>
      </c>
      <c r="D14" s="1894" t="e">
        <f>'Cta explotacion OVS'!D14/1000/'Tipo de cambio'!#REF!</f>
        <v>#REF!</v>
      </c>
      <c r="E14" s="1894" t="e">
        <f>'Cta explotacion OVS'!E14/1000/'Tipo de cambio'!#REF!</f>
        <v>#REF!</v>
      </c>
      <c r="F14" s="1894" t="e">
        <f>'Cta explotacion OVS'!F14/1000/'Tipo de cambio'!#REF!</f>
        <v>#REF!</v>
      </c>
      <c r="G14" s="1894" t="e">
        <f>'Cta explotacion OVS'!G14/1000/'Tipo de cambio'!#REF!</f>
        <v>#REF!</v>
      </c>
      <c r="H14" s="1894" t="e">
        <f>'Cta explotacion OVS'!H14/1000/'Tipo de cambio'!#REF!</f>
        <v>#REF!</v>
      </c>
      <c r="I14" s="1894" t="e">
        <f>'Cta explotacion OVS'!I14/1000/'Tipo de cambio'!#REF!</f>
        <v>#REF!</v>
      </c>
      <c r="K14" s="179" t="s">
        <v>17</v>
      </c>
      <c r="L14" s="182"/>
      <c r="M14" s="185" t="s">
        <v>79</v>
      </c>
      <c r="T14" s="1708"/>
      <c r="U14" s="1713"/>
    </row>
    <row r="15" spans="1:21">
      <c r="A15" s="17" t="str">
        <f t="shared" ref="A15:A65" si="0">+$H$6</f>
        <v>OVS</v>
      </c>
      <c r="B15" s="2379" t="str">
        <f>IF('Mode Opératoire'!$I$1="Français",+'Cpte exploitation 1+2+3'!K15,'Cpte exploitation 1+2+3'!M15)</f>
        <v>Ventes Hors Groupe</v>
      </c>
      <c r="C15" s="862" t="s">
        <v>491</v>
      </c>
      <c r="D15" s="1895" t="e">
        <f>'Cta explotacion OVS'!D15/1000/'Tipo de cambio'!#REF!</f>
        <v>#REF!</v>
      </c>
      <c r="E15" s="1895" t="e">
        <f>'Cta explotacion OVS'!E15/1000/'Tipo de cambio'!#REF!</f>
        <v>#REF!</v>
      </c>
      <c r="F15" s="1895" t="e">
        <f>'Cta explotacion OVS'!F15/1000/'Tipo de cambio'!#REF!</f>
        <v>#REF!</v>
      </c>
      <c r="G15" s="1895" t="e">
        <f>'Cta explotacion OVS'!G15/1000/'Tipo de cambio'!#REF!</f>
        <v>#REF!</v>
      </c>
      <c r="H15" s="1895" t="e">
        <f>'Cta explotacion OVS'!H15/1000/'Tipo de cambio'!#REF!</f>
        <v>#REF!</v>
      </c>
      <c r="I15" s="1895" t="e">
        <f>'Cta explotacion OVS'!I15/1000/'Tipo de cambio'!#REF!</f>
        <v>#REF!</v>
      </c>
      <c r="J15" s="451"/>
      <c r="K15" s="180" t="s">
        <v>19</v>
      </c>
      <c r="L15" s="183"/>
      <c r="M15" s="186" t="s">
        <v>80</v>
      </c>
      <c r="T15" s="1708"/>
      <c r="U15" s="1713"/>
    </row>
    <row r="16" spans="1:21">
      <c r="B16" s="2379" t="str">
        <f>IF('Mode Opératoire'!$I$1="Français",+'Cpte exploitation 1+2+3'!K16,'Cpte exploitation 1+2+3'!M16)</f>
        <v>Ventes GM</v>
      </c>
      <c r="C16" s="862" t="s">
        <v>491</v>
      </c>
      <c r="D16" s="1895" t="e">
        <f>'Cta explotacion OVS'!D16/1000/'Tipo de cambio'!#REF!</f>
        <v>#REF!</v>
      </c>
      <c r="E16" s="1895" t="e">
        <f>'Cta explotacion OVS'!E16/1000/'Tipo de cambio'!#REF!</f>
        <v>#REF!</v>
      </c>
      <c r="F16" s="1895" t="e">
        <f>'Cta explotacion OVS'!F16/1000/'Tipo de cambio'!#REF!</f>
        <v>#REF!</v>
      </c>
      <c r="G16" s="1895" t="e">
        <f>'Cta explotacion OVS'!G16/1000/'Tipo de cambio'!#REF!</f>
        <v>#REF!</v>
      </c>
      <c r="H16" s="1895" t="e">
        <f>'Cta explotacion OVS'!H16/1000/'Tipo de cambio'!#REF!</f>
        <v>#REF!</v>
      </c>
      <c r="I16" s="1895" t="e">
        <f>'Cta explotacion OVS'!I16/1000/'Tipo de cambio'!#REF!</f>
        <v>#REF!</v>
      </c>
      <c r="J16" s="451"/>
      <c r="K16" s="180" t="s">
        <v>948</v>
      </c>
      <c r="L16" s="183"/>
      <c r="M16" s="186" t="s">
        <v>949</v>
      </c>
      <c r="T16" s="1708"/>
      <c r="U16" s="1713"/>
    </row>
    <row r="17" spans="1:21">
      <c r="B17" s="2379" t="str">
        <f>IF('Mode Opératoire'!$I$1="Français",+'Cpte exploitation 1+2+3'!K17,'Cpte exploitation 1+2+3'!M17)</f>
        <v>Ventes RZD</v>
      </c>
      <c r="C17" s="862" t="s">
        <v>491</v>
      </c>
      <c r="D17" s="1895" t="e">
        <f>'Cta explotacion OVS'!D17/1000/'Tipo de cambio'!#REF!</f>
        <v>#REF!</v>
      </c>
      <c r="E17" s="1895" t="e">
        <f>'Cta explotacion OVS'!E17/1000/'Tipo de cambio'!#REF!</f>
        <v>#REF!</v>
      </c>
      <c r="F17" s="1895" t="e">
        <f>'Cta explotacion OVS'!F17/1000/'Tipo de cambio'!#REF!</f>
        <v>#REF!</v>
      </c>
      <c r="G17" s="1895" t="e">
        <f>'Cta explotacion OVS'!G17/1000/'Tipo de cambio'!#REF!</f>
        <v>#REF!</v>
      </c>
      <c r="H17" s="1895" t="e">
        <f>'Cta explotacion OVS'!H17/1000/'Tipo de cambio'!#REF!</f>
        <v>#REF!</v>
      </c>
      <c r="I17" s="1895" t="e">
        <f>'Cta explotacion OVS'!I17/1000/'Tipo de cambio'!#REF!</f>
        <v>#REF!</v>
      </c>
      <c r="J17" s="451"/>
      <c r="K17" s="180" t="s">
        <v>950</v>
      </c>
      <c r="L17" s="183"/>
      <c r="M17" s="186" t="s">
        <v>951</v>
      </c>
      <c r="T17" s="1708"/>
      <c r="U17" s="1713"/>
    </row>
    <row r="18" spans="1:21">
      <c r="A18" s="17" t="str">
        <f t="shared" si="0"/>
        <v>OVS</v>
      </c>
      <c r="B18" s="2379" t="str">
        <f>IF('Mode Opératoire'!$I$1="Français",+'Cpte exploitation 1+2+3'!K18,'Cpte exploitation 1+2+3'!M18)</f>
        <v>Ventes Gefco</v>
      </c>
      <c r="C18" s="862" t="s">
        <v>491</v>
      </c>
      <c r="D18" s="1895" t="e">
        <f>'Cta explotacion OVS'!D18/1000/'Tipo de cambio'!#REF!</f>
        <v>#REF!</v>
      </c>
      <c r="E18" s="1895" t="e">
        <f>'Cta explotacion OVS'!E18/1000/'Tipo de cambio'!#REF!</f>
        <v>#REF!</v>
      </c>
      <c r="F18" s="1895" t="e">
        <f>'Cta explotacion OVS'!F18/1000/'Tipo de cambio'!#REF!</f>
        <v>#REF!</v>
      </c>
      <c r="G18" s="1895" t="e">
        <f>'Cta explotacion OVS'!G18/1000/'Tipo de cambio'!#REF!</f>
        <v>#REF!</v>
      </c>
      <c r="H18" s="1895" t="e">
        <f>'Cta explotacion OVS'!H18/1000/'Tipo de cambio'!#REF!</f>
        <v>#REF!</v>
      </c>
      <c r="I18" s="1895" t="e">
        <f>'Cta explotacion OVS'!I18/1000/'Tipo de cambio'!#REF!</f>
        <v>#REF!</v>
      </c>
      <c r="J18" s="451"/>
      <c r="K18" s="180" t="s">
        <v>45</v>
      </c>
      <c r="L18" s="183"/>
      <c r="M18" s="186" t="s">
        <v>81</v>
      </c>
      <c r="T18" s="1708"/>
      <c r="U18" s="1713"/>
    </row>
    <row r="19" spans="1:21">
      <c r="A19" s="17" t="str">
        <f t="shared" si="0"/>
        <v>OVS</v>
      </c>
      <c r="B19" s="2380" t="str">
        <f>IF('Mode Opératoire'!$I$1="Français",+'Cpte exploitation 1+2+3'!K19,'Cpte exploitation 1+2+3'!M19)</f>
        <v>Total ventes externes</v>
      </c>
      <c r="C19" s="2381"/>
      <c r="D19" s="1062" t="e">
        <f t="shared" ref="D19:I19" si="1">SUM(D14:D18)</f>
        <v>#REF!</v>
      </c>
      <c r="E19" s="1062" t="e">
        <f t="shared" si="1"/>
        <v>#REF!</v>
      </c>
      <c r="F19" s="1062" t="e">
        <f t="shared" si="1"/>
        <v>#REF!</v>
      </c>
      <c r="G19" s="1062" t="e">
        <f t="shared" si="1"/>
        <v>#REF!</v>
      </c>
      <c r="H19" s="1062" t="e">
        <f t="shared" si="1"/>
        <v>#REF!</v>
      </c>
      <c r="I19" s="1062" t="e">
        <f t="shared" si="1"/>
        <v>#REF!</v>
      </c>
      <c r="K19" s="181" t="s">
        <v>149</v>
      </c>
      <c r="L19" s="184"/>
      <c r="M19" s="187" t="s">
        <v>150</v>
      </c>
      <c r="T19" s="1708"/>
      <c r="U19" s="1713"/>
    </row>
    <row r="20" spans="1:21">
      <c r="A20" s="17" t="str">
        <f t="shared" si="0"/>
        <v>OVS</v>
      </c>
      <c r="B20" s="2378" t="str">
        <f>IF('Mode Opératoire'!$I$1="Français",+'Cpte exploitation 1+2+3'!K20,'Cpte exploitation 1+2+3'!M20)</f>
        <v xml:space="preserve">Achats </v>
      </c>
      <c r="C20" s="2382" t="s">
        <v>491</v>
      </c>
      <c r="D20" s="1894" t="e">
        <f>'Cta explotacion OVS'!D20/1000/'Tipo de cambio'!#REF!</f>
        <v>#REF!</v>
      </c>
      <c r="E20" s="1894" t="e">
        <f>'Cta explotacion OVS'!E20/1000/'Tipo de cambio'!#REF!</f>
        <v>#REF!</v>
      </c>
      <c r="F20" s="1894" t="e">
        <f>'Cta explotacion OVS'!F20/1000/'Tipo de cambio'!#REF!</f>
        <v>#REF!</v>
      </c>
      <c r="G20" s="1894" t="e">
        <f>'Cta explotacion OVS'!G20/1000/'Tipo de cambio'!#REF!</f>
        <v>#REF!</v>
      </c>
      <c r="H20" s="1894" t="e">
        <f>'Cta explotacion OVS'!H20/1000/'Tipo de cambio'!#REF!</f>
        <v>#REF!</v>
      </c>
      <c r="I20" s="1894" t="e">
        <f>'Cta explotacion OVS'!I20/1000/'Tipo de cambio'!#REF!</f>
        <v>#REF!</v>
      </c>
      <c r="K20" s="179" t="s">
        <v>44</v>
      </c>
      <c r="L20" s="182"/>
      <c r="M20" s="188" t="s">
        <v>82</v>
      </c>
      <c r="T20" s="1708"/>
      <c r="U20" s="1713"/>
    </row>
    <row r="21" spans="1:21">
      <c r="A21" s="17" t="str">
        <f t="shared" si="0"/>
        <v>OVS</v>
      </c>
      <c r="B21" s="2380" t="str">
        <f>IF('Mode Opératoire'!$I$1="Français",+'Cpte exploitation 1+2+3'!K21,'Cpte exploitation 1+2+3'!M21)</f>
        <v xml:space="preserve">Total achats </v>
      </c>
      <c r="C21" s="2381"/>
      <c r="D21" s="1062" t="e">
        <f t="shared" ref="D21:I21" si="2">SUM(D20:D20)</f>
        <v>#REF!</v>
      </c>
      <c r="E21" s="1062" t="e">
        <f t="shared" si="2"/>
        <v>#REF!</v>
      </c>
      <c r="F21" s="1062" t="e">
        <f t="shared" si="2"/>
        <v>#REF!</v>
      </c>
      <c r="G21" s="1062" t="e">
        <f t="shared" si="2"/>
        <v>#REF!</v>
      </c>
      <c r="H21" s="1062" t="e">
        <f t="shared" si="2"/>
        <v>#REF!</v>
      </c>
      <c r="I21" s="1062" t="e">
        <f t="shared" si="2"/>
        <v>#REF!</v>
      </c>
      <c r="K21" s="181" t="s">
        <v>118</v>
      </c>
      <c r="L21" s="184"/>
      <c r="M21" s="189" t="s">
        <v>82</v>
      </c>
      <c r="T21" s="1708"/>
      <c r="U21" s="1713"/>
    </row>
    <row r="22" spans="1:21">
      <c r="A22" s="17" t="str">
        <f t="shared" si="0"/>
        <v>OVS</v>
      </c>
      <c r="B22" s="190" t="str">
        <f>IF('Mode Opératoire'!$I$1="Français",+'Cpte exploitation 1+2+3'!K22,'Cpte exploitation 1+2+3'!M22)</f>
        <v>Marge commerciale</v>
      </c>
      <c r="C22" s="198"/>
      <c r="D22" s="193" t="e">
        <f t="shared" ref="D22:I22" si="3">+D19+D21</f>
        <v>#REF!</v>
      </c>
      <c r="E22" s="193" t="e">
        <f t="shared" si="3"/>
        <v>#REF!</v>
      </c>
      <c r="F22" s="193" t="e">
        <f t="shared" si="3"/>
        <v>#REF!</v>
      </c>
      <c r="G22" s="193" t="e">
        <f t="shared" si="3"/>
        <v>#REF!</v>
      </c>
      <c r="H22" s="195" t="e">
        <f t="shared" si="3"/>
        <v>#REF!</v>
      </c>
      <c r="I22" s="193" t="e">
        <f t="shared" si="3"/>
        <v>#REF!</v>
      </c>
      <c r="K22" s="190" t="s">
        <v>21</v>
      </c>
      <c r="L22" s="198"/>
      <c r="M22" s="192" t="s">
        <v>83</v>
      </c>
      <c r="T22" s="1708"/>
      <c r="U22" s="1713"/>
    </row>
    <row r="23" spans="1:21" s="124" customFormat="1" ht="13.5">
      <c r="A23" s="17" t="str">
        <f t="shared" si="0"/>
        <v>OVS</v>
      </c>
      <c r="B23" s="200" t="str">
        <f>IF('Mode Opératoire'!$I$1="Français",+'Cpte exploitation 1+2+3'!K23,'Cpte exploitation 1+2+3'!M23)</f>
        <v>% des ventes</v>
      </c>
      <c r="C23" s="201"/>
      <c r="D23" s="197" t="e">
        <f t="shared" ref="D23:I23" si="4">IF(D$19&lt;&gt;0,D22/D$19,0)</f>
        <v>#REF!</v>
      </c>
      <c r="E23" s="197" t="e">
        <f t="shared" si="4"/>
        <v>#REF!</v>
      </c>
      <c r="F23" s="197" t="e">
        <f t="shared" si="4"/>
        <v>#REF!</v>
      </c>
      <c r="G23" s="197" t="e">
        <f t="shared" si="4"/>
        <v>#REF!</v>
      </c>
      <c r="H23" s="202" t="e">
        <f t="shared" si="4"/>
        <v>#REF!</v>
      </c>
      <c r="I23" s="197" t="e">
        <f t="shared" si="4"/>
        <v>#REF!</v>
      </c>
      <c r="K23" s="200" t="s">
        <v>68</v>
      </c>
      <c r="L23" s="201"/>
      <c r="M23" s="203" t="s">
        <v>84</v>
      </c>
      <c r="T23" s="1709"/>
      <c r="U23" s="1714"/>
    </row>
    <row r="24" spans="1:21">
      <c r="A24" s="17" t="str">
        <f t="shared" si="0"/>
        <v>OVS</v>
      </c>
      <c r="B24" s="2383" t="str">
        <f>IF('Mode Opératoire'!$I$1="Français",+'Cpte exploitation 1+2+3'!K24,'Cpte exploitation 1+2+3'!M24)</f>
        <v xml:space="preserve">Différence de change </v>
      </c>
      <c r="C24" s="2384" t="s">
        <v>491</v>
      </c>
      <c r="D24" s="1894"/>
      <c r="E24" s="1894"/>
      <c r="F24" s="1894"/>
      <c r="G24" s="1894"/>
      <c r="H24" s="1894"/>
      <c r="I24" s="1894"/>
      <c r="K24" s="204" t="s">
        <v>189</v>
      </c>
      <c r="L24" s="206"/>
      <c r="M24" s="205" t="s">
        <v>193</v>
      </c>
      <c r="T24" s="1708"/>
      <c r="U24" s="1713"/>
    </row>
    <row r="25" spans="1:21">
      <c r="A25" s="17" t="str">
        <f t="shared" si="0"/>
        <v>OVS</v>
      </c>
      <c r="B25" s="190" t="str">
        <f>IF('Mode Opératoire'!$I$1="Français",+'Cpte exploitation 1+2+3'!K25,'Cpte exploitation 1+2+3'!M25)</f>
        <v>Résultat brut Commercial</v>
      </c>
      <c r="C25" s="198"/>
      <c r="D25" s="193" t="e">
        <f t="shared" ref="D25:I25" si="5">+D22+D24</f>
        <v>#REF!</v>
      </c>
      <c r="E25" s="195" t="e">
        <f t="shared" si="5"/>
        <v>#REF!</v>
      </c>
      <c r="F25" s="193" t="e">
        <f t="shared" si="5"/>
        <v>#REF!</v>
      </c>
      <c r="G25" s="193" t="e">
        <f t="shared" si="5"/>
        <v>#REF!</v>
      </c>
      <c r="H25" s="193" t="e">
        <f t="shared" si="5"/>
        <v>#REF!</v>
      </c>
      <c r="I25" s="193" t="e">
        <f t="shared" si="5"/>
        <v>#REF!</v>
      </c>
      <c r="K25" s="190" t="s">
        <v>186</v>
      </c>
      <c r="L25" s="198"/>
      <c r="M25" s="218" t="s">
        <v>194</v>
      </c>
      <c r="T25" s="1708"/>
      <c r="U25" s="1713"/>
    </row>
    <row r="26" spans="1:21" s="124" customFormat="1" ht="13.5">
      <c r="A26" s="17" t="str">
        <f t="shared" si="0"/>
        <v>OVS</v>
      </c>
      <c r="B26" s="191" t="str">
        <f>IF('Mode Opératoire'!$I$1="Français",+'Cpte exploitation 1+2+3'!K26,'Cpte exploitation 1+2+3'!M26)</f>
        <v>% des ventes</v>
      </c>
      <c r="C26" s="199"/>
      <c r="D26" s="194" t="e">
        <f t="shared" ref="D26:I26" si="6">IF(D$19&lt;&gt;0,D25/D$19,0)</f>
        <v>#REF!</v>
      </c>
      <c r="E26" s="196" t="e">
        <f t="shared" si="6"/>
        <v>#REF!</v>
      </c>
      <c r="F26" s="194" t="e">
        <f t="shared" si="6"/>
        <v>#REF!</v>
      </c>
      <c r="G26" s="194" t="e">
        <f t="shared" si="6"/>
        <v>#REF!</v>
      </c>
      <c r="H26" s="194" t="e">
        <f t="shared" si="6"/>
        <v>#REF!</v>
      </c>
      <c r="I26" s="194" t="e">
        <f t="shared" si="6"/>
        <v>#REF!</v>
      </c>
      <c r="K26" s="191" t="s">
        <v>68</v>
      </c>
      <c r="L26" s="199"/>
      <c r="M26" s="236" t="s">
        <v>84</v>
      </c>
      <c r="T26" s="1709"/>
      <c r="U26" s="1714"/>
    </row>
    <row r="27" spans="1:21" ht="12.75" customHeight="1">
      <c r="A27" s="17" t="str">
        <f t="shared" si="0"/>
        <v>OVS</v>
      </c>
      <c r="B27" s="2379" t="str">
        <f>IF('Mode Opératoire'!$I$1="Français",+'Cpte exploitation 1+2+3'!K27,'Cpte exploitation 1+2+3'!M27)</f>
        <v>Salaires et Charges</v>
      </c>
      <c r="C27" s="2828" t="s">
        <v>547</v>
      </c>
      <c r="D27" s="1896" t="e">
        <f>'Cta explotacion OVS'!D27/1000/'Tipo de cambio'!#REF!</f>
        <v>#REF!</v>
      </c>
      <c r="E27" s="1896" t="e">
        <f>'Cta explotacion OVS'!E27/1000/'Tipo de cambio'!#REF!</f>
        <v>#REF!</v>
      </c>
      <c r="F27" s="1896" t="e">
        <f>'Cta explotacion OVS'!F27/1000/'Tipo de cambio'!#REF!</f>
        <v>#REF!</v>
      </c>
      <c r="G27" s="1896" t="e">
        <f>'Cta explotacion OVS'!G27/1000/'Tipo de cambio'!#REF!</f>
        <v>#REF!</v>
      </c>
      <c r="H27" s="1896" t="e">
        <f>'Cta explotacion OVS'!H27/1000/'Tipo de cambio'!#REF!</f>
        <v>#REF!</v>
      </c>
      <c r="I27" s="1896" t="e">
        <f>'Cta explotacion OVS'!I27/1000/'Tipo de cambio'!#REF!</f>
        <v>#REF!</v>
      </c>
      <c r="K27" s="208" t="s">
        <v>43</v>
      </c>
      <c r="L27" s="2825"/>
      <c r="M27" s="219" t="s">
        <v>85</v>
      </c>
      <c r="T27" s="1708"/>
      <c r="U27" s="1713"/>
    </row>
    <row r="28" spans="1:21">
      <c r="A28" s="17" t="str">
        <f t="shared" si="0"/>
        <v>OVS</v>
      </c>
      <c r="B28" s="2379" t="str">
        <f>IF('Mode Opératoire'!$I$1="Français",+'Cpte exploitation 1+2+3'!K28,'Cpte exploitation 1+2+3'!M28)</f>
        <v>Provisions pour primes</v>
      </c>
      <c r="C28" s="2829"/>
      <c r="D28" s="1896" t="e">
        <f>'Cta explotacion OVS'!D28/1000/'Tipo de cambio'!#REF!</f>
        <v>#REF!</v>
      </c>
      <c r="E28" s="1896" t="e">
        <f>'Cta explotacion OVS'!E28/1000/'Tipo de cambio'!#REF!</f>
        <v>#REF!</v>
      </c>
      <c r="F28" s="1896" t="e">
        <f>'Cta explotacion OVS'!F28/1000/'Tipo de cambio'!#REF!</f>
        <v>#REF!</v>
      </c>
      <c r="G28" s="1896" t="e">
        <f>'Cta explotacion OVS'!G28/1000/'Tipo de cambio'!#REF!</f>
        <v>#REF!</v>
      </c>
      <c r="H28" s="1896" t="e">
        <f>'Cta explotacion OVS'!H28/1000/'Tipo de cambio'!#REF!</f>
        <v>#REF!</v>
      </c>
      <c r="I28" s="1896" t="e">
        <f>'Cta explotacion OVS'!I28/1000/'Tipo de cambio'!#REF!</f>
        <v>#REF!</v>
      </c>
      <c r="K28" s="208" t="s">
        <v>480</v>
      </c>
      <c r="L28" s="2826"/>
      <c r="M28" s="219" t="s">
        <v>739</v>
      </c>
      <c r="T28" s="1708"/>
      <c r="U28" s="1713"/>
    </row>
    <row r="29" spans="1:21">
      <c r="A29" s="17" t="str">
        <f t="shared" si="0"/>
        <v>OVS</v>
      </c>
      <c r="B29" s="2379" t="str">
        <f>IF('Mode Opératoire'!$I$1="Français",+'Cpte exploitation 1+2+3'!K29,'Cpte exploitation 1+2+3'!M29)</f>
        <v>Frais d'embauche</v>
      </c>
      <c r="C29" s="2829"/>
      <c r="D29" s="1896" t="e">
        <f>'Cta explotacion OVS'!D29/1000/'Tipo de cambio'!#REF!</f>
        <v>#REF!</v>
      </c>
      <c r="E29" s="1896" t="e">
        <f>'Cta explotacion OVS'!E29/1000/'Tipo de cambio'!#REF!</f>
        <v>#REF!</v>
      </c>
      <c r="F29" s="1896" t="e">
        <f>'Cta explotacion OVS'!F29/1000/'Tipo de cambio'!#REF!</f>
        <v>#REF!</v>
      </c>
      <c r="G29" s="1896" t="e">
        <f>'Cta explotacion OVS'!G29/1000/'Tipo de cambio'!#REF!</f>
        <v>#REF!</v>
      </c>
      <c r="H29" s="1896" t="e">
        <f>'Cta explotacion OVS'!H29/1000/'Tipo de cambio'!#REF!</f>
        <v>#REF!</v>
      </c>
      <c r="I29" s="1896" t="e">
        <f>'Cta explotacion OVS'!I29/1000/'Tipo de cambio'!#REF!</f>
        <v>#REF!</v>
      </c>
      <c r="K29" s="208" t="s">
        <v>423</v>
      </c>
      <c r="L29" s="2826"/>
      <c r="M29" s="219" t="s">
        <v>227</v>
      </c>
      <c r="T29" s="1708"/>
      <c r="U29" s="1713"/>
    </row>
    <row r="30" spans="1:21">
      <c r="A30" s="17" t="str">
        <f t="shared" si="0"/>
        <v>OVS</v>
      </c>
      <c r="B30" s="2379" t="str">
        <f>IF('Mode Opératoire'!$I$1="Français",+'Cpte exploitation 1+2+3'!K30,'Cpte exploitation 1+2+3'!M30)</f>
        <v>Intérim</v>
      </c>
      <c r="C30" s="2829"/>
      <c r="D30" s="1896" t="e">
        <f>'Cta explotacion OVS'!D30/1000/'Tipo de cambio'!#REF!</f>
        <v>#REF!</v>
      </c>
      <c r="E30" s="1896" t="e">
        <f>'Cta explotacion OVS'!E30/1000/'Tipo de cambio'!#REF!</f>
        <v>#REF!</v>
      </c>
      <c r="F30" s="1896" t="e">
        <f>'Cta explotacion OVS'!F30/1000/'Tipo de cambio'!#REF!</f>
        <v>#REF!</v>
      </c>
      <c r="G30" s="1896" t="e">
        <f>'Cta explotacion OVS'!G30/1000/'Tipo de cambio'!#REF!</f>
        <v>#REF!</v>
      </c>
      <c r="H30" s="1896" t="e">
        <f>'Cta explotacion OVS'!H30/1000/'Tipo de cambio'!#REF!</f>
        <v>#REF!</v>
      </c>
      <c r="I30" s="1896" t="e">
        <f>'Cta explotacion OVS'!I30/1000/'Tipo de cambio'!#REF!</f>
        <v>#REF!</v>
      </c>
      <c r="K30" s="208" t="s">
        <v>76</v>
      </c>
      <c r="L30" s="2826"/>
      <c r="M30" s="219" t="s">
        <v>87</v>
      </c>
      <c r="T30" s="1708"/>
      <c r="U30" s="1713"/>
    </row>
    <row r="31" spans="1:21">
      <c r="A31" s="17" t="str">
        <f t="shared" si="0"/>
        <v>OVS</v>
      </c>
      <c r="B31" s="2379" t="str">
        <f>IF('Mode Opératoire'!$I$1="Français",+'Cpte exploitation 1+2+3'!K31,'Cpte exploitation 1+2+3'!M31)</f>
        <v xml:space="preserve">Formation </v>
      </c>
      <c r="C31" s="2829"/>
      <c r="D31" s="1896" t="e">
        <f>'Cta explotacion OVS'!D31/1000/'Tipo de cambio'!#REF!</f>
        <v>#REF!</v>
      </c>
      <c r="E31" s="1896" t="e">
        <f>'Cta explotacion OVS'!E31/1000/'Tipo de cambio'!#REF!</f>
        <v>#REF!</v>
      </c>
      <c r="F31" s="1896" t="e">
        <f>'Cta explotacion OVS'!F31/1000/'Tipo de cambio'!#REF!</f>
        <v>#REF!</v>
      </c>
      <c r="G31" s="1896" t="e">
        <f>'Cta explotacion OVS'!G31/1000/'Tipo de cambio'!#REF!</f>
        <v>#REF!</v>
      </c>
      <c r="H31" s="1896" t="e">
        <f>'Cta explotacion OVS'!H31/1000/'Tipo de cambio'!#REF!</f>
        <v>#REF!</v>
      </c>
      <c r="I31" s="1896" t="e">
        <f>'Cta explotacion OVS'!I31/1000/'Tipo de cambio'!#REF!</f>
        <v>#REF!</v>
      </c>
      <c r="K31" s="208" t="s">
        <v>86</v>
      </c>
      <c r="L31" s="2826"/>
      <c r="M31" s="219" t="s">
        <v>88</v>
      </c>
      <c r="T31" s="1708"/>
      <c r="U31" s="1713"/>
    </row>
    <row r="32" spans="1:21">
      <c r="A32" s="17" t="str">
        <f t="shared" si="0"/>
        <v>OVS</v>
      </c>
      <c r="B32" s="2379" t="str">
        <f>IF('Mode Opératoire'!$I$1="Français",+'Cpte exploitation 1+2+3'!K32,'Cpte exploitation 1+2+3'!M32)</f>
        <v>Cantine</v>
      </c>
      <c r="C32" s="2829"/>
      <c r="D32" s="1896" t="e">
        <f>'Cta explotacion OVS'!D32/1000/'Tipo de cambio'!#REF!</f>
        <v>#REF!</v>
      </c>
      <c r="E32" s="1896" t="e">
        <f>'Cta explotacion OVS'!E32/1000/'Tipo de cambio'!#REF!</f>
        <v>#REF!</v>
      </c>
      <c r="F32" s="1896" t="e">
        <f>'Cta explotacion OVS'!F32/1000/'Tipo de cambio'!#REF!</f>
        <v>#REF!</v>
      </c>
      <c r="G32" s="1896" t="e">
        <f>'Cta explotacion OVS'!G32/1000/'Tipo de cambio'!#REF!</f>
        <v>#REF!</v>
      </c>
      <c r="H32" s="1896" t="e">
        <f>'Cta explotacion OVS'!H32/1000/'Tipo de cambio'!#REF!</f>
        <v>#REF!</v>
      </c>
      <c r="I32" s="1896" t="e">
        <f>'Cta explotacion OVS'!I32/1000/'Tipo de cambio'!#REF!</f>
        <v>#REF!</v>
      </c>
      <c r="K32" s="208" t="s">
        <v>376</v>
      </c>
      <c r="L32" s="2826"/>
      <c r="M32" s="219" t="s">
        <v>376</v>
      </c>
      <c r="T32" s="1708"/>
      <c r="U32" s="1713"/>
    </row>
    <row r="33" spans="1:21">
      <c r="A33" s="17" t="str">
        <f t="shared" si="0"/>
        <v>OVS</v>
      </c>
      <c r="B33" s="2379" t="str">
        <f>IF('Mode Opératoire'!$I$1="Français",+'Cpte exploitation 1+2+3'!K33,'Cpte exploitation 1+2+3'!M33)</f>
        <v>Autres frais de personnel</v>
      </c>
      <c r="C33" s="2830"/>
      <c r="D33" s="1896" t="e">
        <f>'Cta explotacion OVS'!D33/1000/'Tipo de cambio'!#REF!</f>
        <v>#REF!</v>
      </c>
      <c r="E33" s="1896" t="e">
        <f>'Cta explotacion OVS'!E33/1000/'Tipo de cambio'!#REF!</f>
        <v>#REF!</v>
      </c>
      <c r="F33" s="1896" t="e">
        <f>'Cta explotacion OVS'!F33/1000/'Tipo de cambio'!#REF!</f>
        <v>#REF!</v>
      </c>
      <c r="G33" s="1896" t="e">
        <f>'Cta explotacion OVS'!G33/1000/'Tipo de cambio'!#REF!</f>
        <v>#REF!</v>
      </c>
      <c r="H33" s="1896" t="e">
        <f>'Cta explotacion OVS'!H33/1000/'Tipo de cambio'!#REF!</f>
        <v>#REF!</v>
      </c>
      <c r="I33" s="1896" t="e">
        <f>'Cta explotacion OVS'!I33/1000/'Tipo de cambio'!#REF!</f>
        <v>#REF!</v>
      </c>
      <c r="K33" s="208" t="s">
        <v>46</v>
      </c>
      <c r="L33" s="2827"/>
      <c r="M33" s="219" t="s">
        <v>103</v>
      </c>
      <c r="T33" s="1708"/>
      <c r="U33" s="1713"/>
    </row>
    <row r="34" spans="1:21">
      <c r="A34" s="17" t="str">
        <f t="shared" si="0"/>
        <v>OVS</v>
      </c>
      <c r="B34" s="233" t="str">
        <f>IF('Mode Opératoire'!$I$1="Français",+'Cpte exploitation 1+2+3'!K34,'Cpte exploitation 1+2+3'!M34)</f>
        <v>Frais de personnel</v>
      </c>
      <c r="C34" s="234"/>
      <c r="D34" s="1068" t="e">
        <f t="shared" ref="D34:I34" si="7">SUM(D27:D33)</f>
        <v>#REF!</v>
      </c>
      <c r="E34" s="1069" t="e">
        <f t="shared" si="7"/>
        <v>#REF!</v>
      </c>
      <c r="F34" s="1068" t="e">
        <f t="shared" si="7"/>
        <v>#REF!</v>
      </c>
      <c r="G34" s="1068" t="e">
        <f t="shared" si="7"/>
        <v>#REF!</v>
      </c>
      <c r="H34" s="1068" t="e">
        <f t="shared" si="7"/>
        <v>#REF!</v>
      </c>
      <c r="I34" s="1068" t="e">
        <f t="shared" si="7"/>
        <v>#REF!</v>
      </c>
      <c r="K34" s="233" t="s">
        <v>117</v>
      </c>
      <c r="L34" s="234"/>
      <c r="M34" s="235" t="s">
        <v>89</v>
      </c>
      <c r="T34" s="1708"/>
      <c r="U34" s="1713"/>
    </row>
    <row r="35" spans="1:21">
      <c r="A35" s="17" t="str">
        <f t="shared" si="0"/>
        <v>OVS</v>
      </c>
      <c r="B35" s="2379" t="str">
        <f>IF('Mode Opératoire'!$I$1="Français",+'Cpte exploitation 1+2+3'!K35,'Cpte exploitation 1+2+3'!M35)</f>
        <v>Amortissements d'exploitation</v>
      </c>
      <c r="C35" s="862" t="s">
        <v>491</v>
      </c>
      <c r="D35" s="1894" t="e">
        <f>'Cta explotacion OVS'!D35/1000/'Tipo de cambio'!#REF!</f>
        <v>#REF!</v>
      </c>
      <c r="E35" s="1894" t="e">
        <f>'Cta explotacion OVS'!E35/1000/'Tipo de cambio'!#REF!</f>
        <v>#REF!</v>
      </c>
      <c r="F35" s="1894" t="e">
        <f>'Cta explotacion OVS'!F35/1000/'Tipo de cambio'!#REF!</f>
        <v>#REF!</v>
      </c>
      <c r="G35" s="1894" t="e">
        <f>'Cta explotacion OVS'!G35/1000/'Tipo de cambio'!#REF!</f>
        <v>#REF!</v>
      </c>
      <c r="H35" s="1894" t="e">
        <f>'Cta explotacion OVS'!H35/1000/'Tipo de cambio'!#REF!</f>
        <v>#REF!</v>
      </c>
      <c r="I35" s="1894" t="e">
        <f>'Cta explotacion OVS'!I35/1000/'Tipo de cambio'!#REF!</f>
        <v>#REF!</v>
      </c>
      <c r="K35" s="208" t="s">
        <v>128</v>
      </c>
      <c r="L35" s="222"/>
      <c r="M35" s="219" t="s">
        <v>104</v>
      </c>
      <c r="T35" s="1708"/>
      <c r="U35" s="1713"/>
    </row>
    <row r="36" spans="1:21" s="23" customFormat="1">
      <c r="A36" s="17" t="str">
        <f t="shared" si="0"/>
        <v>OVS</v>
      </c>
      <c r="B36" s="2379" t="str">
        <f>IF('Mode Opératoire'!$I$1="Français",+'Cpte exploitation 1+2+3'!K36,'Cpte exploitation 1+2+3'!M36)</f>
        <v>Location d'engins</v>
      </c>
      <c r="C36" s="862" t="s">
        <v>491</v>
      </c>
      <c r="D36" s="1895" t="e">
        <f>'Cta explotacion OVS'!D36/1000/'Tipo de cambio'!#REF!</f>
        <v>#REF!</v>
      </c>
      <c r="E36" s="1897" t="e">
        <f>'Cta explotacion OVS'!E36/1000/'Tipo de cambio'!#REF!</f>
        <v>#REF!</v>
      </c>
      <c r="F36" s="1895" t="e">
        <f>'Cta explotacion OVS'!F36/1000/'Tipo de cambio'!#REF!</f>
        <v>#REF!</v>
      </c>
      <c r="G36" s="1895" t="e">
        <f>'Cta explotacion OVS'!G36/1000/'Tipo de cambio'!#REF!</f>
        <v>#REF!</v>
      </c>
      <c r="H36" s="1895" t="e">
        <f>'Cta explotacion OVS'!H36/1000/'Tipo de cambio'!#REF!</f>
        <v>#REF!</v>
      </c>
      <c r="I36" s="1895" t="e">
        <f>'Cta explotacion OVS'!I36/1000/'Tipo de cambio'!#REF!</f>
        <v>#REF!</v>
      </c>
      <c r="K36" s="208" t="s">
        <v>47</v>
      </c>
      <c r="L36" s="222"/>
      <c r="M36" s="219" t="s">
        <v>105</v>
      </c>
      <c r="T36" s="1710"/>
      <c r="U36" s="1715"/>
    </row>
    <row r="37" spans="1:21">
      <c r="A37" s="17" t="str">
        <f t="shared" si="0"/>
        <v>OVS</v>
      </c>
      <c r="B37" s="2379" t="str">
        <f>IF('Mode Opératoire'!$I$1="Français",+'Cpte exploitation 1+2+3'!K37,'Cpte exploitation 1+2+3'!M37)</f>
        <v>Achat de petits matériels</v>
      </c>
      <c r="C37" s="862" t="s">
        <v>491</v>
      </c>
      <c r="D37" s="1895" t="e">
        <f>'Cta explotacion OVS'!D37/1000/'Tipo de cambio'!#REF!</f>
        <v>#REF!</v>
      </c>
      <c r="E37" s="1897" t="e">
        <f>'Cta explotacion OVS'!E37/1000/'Tipo de cambio'!#REF!</f>
        <v>#REF!</v>
      </c>
      <c r="F37" s="1895" t="e">
        <f>'Cta explotacion OVS'!F37/1000/'Tipo de cambio'!#REF!</f>
        <v>#REF!</v>
      </c>
      <c r="G37" s="1895" t="e">
        <f>'Cta explotacion OVS'!G37/1000/'Tipo de cambio'!#REF!</f>
        <v>#REF!</v>
      </c>
      <c r="H37" s="1895" t="e">
        <f>'Cta explotacion OVS'!H37/1000/'Tipo de cambio'!#REF!</f>
        <v>#REF!</v>
      </c>
      <c r="I37" s="1895" t="e">
        <f>'Cta explotacion OVS'!I37/1000/'Tipo de cambio'!#REF!</f>
        <v>#REF!</v>
      </c>
      <c r="J37" s="35"/>
      <c r="K37" s="208" t="s">
        <v>48</v>
      </c>
      <c r="L37" s="222"/>
      <c r="M37" s="219" t="s">
        <v>106</v>
      </c>
      <c r="T37" s="1708"/>
      <c r="U37" s="1713"/>
    </row>
    <row r="38" spans="1:21">
      <c r="A38" s="17" t="str">
        <f t="shared" si="0"/>
        <v>OVS</v>
      </c>
      <c r="B38" s="2379" t="str">
        <f>IF('Mode Opératoire'!$I$1="Français",+'Cpte exploitation 1+2+3'!K38,'Cpte exploitation 1+2+3'!M38)</f>
        <v>Eau / EDF</v>
      </c>
      <c r="C38" s="862" t="s">
        <v>491</v>
      </c>
      <c r="D38" s="1895" t="e">
        <f>'Cta explotacion OVS'!D38/1000/'Tipo de cambio'!#REF!</f>
        <v>#REF!</v>
      </c>
      <c r="E38" s="1897" t="e">
        <f>'Cta explotacion OVS'!E38/1000/'Tipo de cambio'!#REF!</f>
        <v>#REF!</v>
      </c>
      <c r="F38" s="1897" t="e">
        <f>'Cta explotacion OVS'!F38/1000/'Tipo de cambio'!#REF!</f>
        <v>#REF!</v>
      </c>
      <c r="G38" s="1897" t="e">
        <f>'Cta explotacion OVS'!G38/1000/'Tipo de cambio'!#REF!</f>
        <v>#REF!</v>
      </c>
      <c r="H38" s="1897" t="e">
        <f>'Cta explotacion OVS'!H38/1000/'Tipo de cambio'!#REF!</f>
        <v>#REF!</v>
      </c>
      <c r="I38" s="1897" t="e">
        <f>'Cta explotacion OVS'!I38/1000/'Tipo de cambio'!#REF!</f>
        <v>#REF!</v>
      </c>
      <c r="J38" s="35"/>
      <c r="K38" s="208" t="s">
        <v>364</v>
      </c>
      <c r="L38" s="222"/>
      <c r="M38" s="219" t="s">
        <v>737</v>
      </c>
      <c r="T38" s="1708"/>
      <c r="U38" s="1713"/>
    </row>
    <row r="39" spans="1:21">
      <c r="A39" s="17" t="str">
        <f t="shared" si="0"/>
        <v>OVS</v>
      </c>
      <c r="B39" s="208" t="str">
        <f>IF('Mode Opératoire'!$I$1="Français",+'Cpte exploitation 1+2+3'!K39,'Cpte exploitation 1+2+3'!M39)</f>
        <v>Frais déplacement + frais annexes</v>
      </c>
      <c r="C39" s="827"/>
      <c r="D39" s="1896" t="e">
        <f>'Cta explotacion OVS'!D39/1000/'Tipo de cambio'!#REF!</f>
        <v>#REF!</v>
      </c>
      <c r="E39" s="1896" t="e">
        <f>'Cta explotacion OVS'!E39/1000/'Tipo de cambio'!#REF!</f>
        <v>#REF!</v>
      </c>
      <c r="F39" s="1896" t="e">
        <f>'Cta explotacion OVS'!F39/1000/'Tipo de cambio'!#REF!</f>
        <v>#REF!</v>
      </c>
      <c r="G39" s="1896" t="e">
        <f>'Cta explotacion OVS'!G39/1000/'Tipo de cambio'!#REF!</f>
        <v>#REF!</v>
      </c>
      <c r="H39" s="1896" t="e">
        <f>'Cta explotacion OVS'!H39/1000/'Tipo de cambio'!#REF!</f>
        <v>#REF!</v>
      </c>
      <c r="I39" s="1896" t="e">
        <f>'Cta explotacion OVS'!I39/1000/'Tipo de cambio'!#REF!</f>
        <v>#REF!</v>
      </c>
      <c r="J39" s="35"/>
      <c r="K39" s="208" t="s">
        <v>481</v>
      </c>
      <c r="L39" s="862"/>
      <c r="M39" s="1216" t="s">
        <v>738</v>
      </c>
      <c r="T39" s="1708"/>
      <c r="U39" s="1713"/>
    </row>
    <row r="40" spans="1:21">
      <c r="A40" s="17" t="str">
        <f t="shared" si="0"/>
        <v>OVS</v>
      </c>
      <c r="B40" s="2379" t="str">
        <f>IF('Mode Opératoire'!$I$1="Français",+'Cpte exploitation 1+2+3'!K40,'Cpte exploitation 1+2+3'!M40)</f>
        <v xml:space="preserve">Entretien et réparation </v>
      </c>
      <c r="C40" s="862" t="s">
        <v>491</v>
      </c>
      <c r="D40" s="1895" t="e">
        <f>'Cta explotacion OVS'!D40/1000/'Tipo de cambio'!#REF!</f>
        <v>#REF!</v>
      </c>
      <c r="E40" s="1897" t="e">
        <f>'Cta explotacion OVS'!E40/1000/'Tipo de cambio'!#REF!</f>
        <v>#REF!</v>
      </c>
      <c r="F40" s="1895" t="e">
        <f>'Cta explotacion OVS'!F40/1000/'Tipo de cambio'!#REF!</f>
        <v>#REF!</v>
      </c>
      <c r="G40" s="1895" t="e">
        <f>'Cta explotacion OVS'!G40/1000/'Tipo de cambio'!#REF!</f>
        <v>#REF!</v>
      </c>
      <c r="H40" s="1895" t="e">
        <f>'Cta explotacion OVS'!H40/1000/'Tipo de cambio'!#REF!</f>
        <v>#REF!</v>
      </c>
      <c r="I40" s="1895" t="e">
        <f>'Cta explotacion OVS'!I40/1000/'Tipo de cambio'!#REF!</f>
        <v>#REF!</v>
      </c>
      <c r="J40" s="35"/>
      <c r="K40" s="208" t="s">
        <v>49</v>
      </c>
      <c r="L40" s="222"/>
      <c r="M40" s="219" t="s">
        <v>107</v>
      </c>
      <c r="T40" s="1708"/>
      <c r="U40" s="1713"/>
    </row>
    <row r="41" spans="1:21">
      <c r="A41" s="17" t="str">
        <f t="shared" si="0"/>
        <v>OVS</v>
      </c>
      <c r="B41" s="2379" t="str">
        <f>IF('Mode Opératoire'!$I$1="Français",+'Cpte exploitation 1+2+3'!K41,'Cpte exploitation 1+2+3'!M41)</f>
        <v>Autres frais d'exploitation</v>
      </c>
      <c r="C41" s="862" t="s">
        <v>491</v>
      </c>
      <c r="D41" s="1898" t="e">
        <f>'Cta explotacion OVS'!D41/1000/'Tipo de cambio'!#REF!</f>
        <v>#REF!</v>
      </c>
      <c r="E41" s="1897" t="e">
        <f>'Cta explotacion OVS'!E41/1000/'Tipo de cambio'!#REF!</f>
        <v>#REF!</v>
      </c>
      <c r="F41" s="1895" t="e">
        <f>'Cta explotacion OVS'!F41/1000/'Tipo de cambio'!#REF!</f>
        <v>#REF!</v>
      </c>
      <c r="G41" s="1895" t="e">
        <f>'Cta explotacion OVS'!G41/1000/'Tipo de cambio'!#REF!</f>
        <v>#REF!</v>
      </c>
      <c r="H41" s="1895" t="e">
        <f>'Cta explotacion OVS'!H41/1000/'Tipo de cambio'!#REF!</f>
        <v>#REF!</v>
      </c>
      <c r="I41" s="1895" t="e">
        <f>'Cta explotacion OVS'!I41/1000/'Tipo de cambio'!#REF!</f>
        <v>#REF!</v>
      </c>
      <c r="K41" s="208" t="s">
        <v>50</v>
      </c>
      <c r="L41" s="222"/>
      <c r="M41" s="219" t="s">
        <v>108</v>
      </c>
      <c r="T41" s="1708"/>
      <c r="U41" s="1713"/>
    </row>
    <row r="42" spans="1:21">
      <c r="A42" s="17" t="str">
        <f t="shared" si="0"/>
        <v>OVS</v>
      </c>
      <c r="B42" s="2385" t="str">
        <f>IF('Mode Opératoire'!$I$1="Français",+'Cpte exploitation 1+2+3'!K42,'Cpte exploitation 1+2+3'!M42)</f>
        <v>Autres frais d'exploitation</v>
      </c>
      <c r="C42" s="2386"/>
      <c r="D42" s="1068" t="e">
        <f t="shared" ref="D42:I42" si="8">SUM(D35:D41)</f>
        <v>#REF!</v>
      </c>
      <c r="E42" s="1069" t="e">
        <f t="shared" si="8"/>
        <v>#REF!</v>
      </c>
      <c r="F42" s="1068" t="e">
        <f t="shared" si="8"/>
        <v>#REF!</v>
      </c>
      <c r="G42" s="1068" t="e">
        <f t="shared" si="8"/>
        <v>#REF!</v>
      </c>
      <c r="H42" s="1068" t="e">
        <f t="shared" si="8"/>
        <v>#REF!</v>
      </c>
      <c r="I42" s="1068" t="e">
        <f t="shared" si="8"/>
        <v>#REF!</v>
      </c>
      <c r="K42" s="233" t="s">
        <v>50</v>
      </c>
      <c r="L42" s="234"/>
      <c r="M42" s="235" t="s">
        <v>90</v>
      </c>
      <c r="T42" s="1708"/>
      <c r="U42" s="1713"/>
    </row>
    <row r="43" spans="1:21">
      <c r="A43" s="17" t="str">
        <f t="shared" si="0"/>
        <v>OVS</v>
      </c>
      <c r="B43" s="2379" t="str">
        <f>IF('Mode Opératoire'!$I$1="Français",+'Cpte exploitation 1+2+3'!K43,'Cpte exploitation 1+2+3'!M43)</f>
        <v>Amortissements agence</v>
      </c>
      <c r="C43" s="862" t="s">
        <v>491</v>
      </c>
      <c r="D43" s="1895" t="e">
        <f>'Cta explotacion OVS'!D43/1000/'Tipo de cambio'!#REF!</f>
        <v>#REF!</v>
      </c>
      <c r="E43" s="1897" t="e">
        <f>'Cta explotacion OVS'!E43/1000/'Tipo de cambio'!#REF!</f>
        <v>#REF!</v>
      </c>
      <c r="F43" s="1895" t="e">
        <f>'Cta explotacion OVS'!F43/1000/'Tipo de cambio'!#REF!</f>
        <v>#REF!</v>
      </c>
      <c r="G43" s="1895" t="e">
        <f>'Cta explotacion OVS'!G43/1000/'Tipo de cambio'!#REF!</f>
        <v>#REF!</v>
      </c>
      <c r="H43" s="1895" t="e">
        <f>'Cta explotacion OVS'!H43/1000/'Tipo de cambio'!#REF!</f>
        <v>#REF!</v>
      </c>
      <c r="I43" s="1895" t="e">
        <f>'Cta explotacion OVS'!I43/1000/'Tipo de cambio'!#REF!</f>
        <v>#REF!</v>
      </c>
      <c r="J43" s="35"/>
      <c r="K43" s="208" t="s">
        <v>129</v>
      </c>
      <c r="L43" s="222"/>
      <c r="M43" s="219" t="s">
        <v>109</v>
      </c>
      <c r="T43" s="1708"/>
      <c r="U43" s="1713"/>
    </row>
    <row r="44" spans="1:21">
      <c r="A44" s="17" t="str">
        <f t="shared" si="0"/>
        <v>OVS</v>
      </c>
      <c r="B44" s="2379" t="str">
        <f>IF('Mode Opératoire'!$I$1="Français",+'Cpte exploitation 1+2+3'!K44,'Cpte exploitation 1+2+3'!M44)</f>
        <v>Entretien Batiments</v>
      </c>
      <c r="C44" s="862" t="s">
        <v>491</v>
      </c>
      <c r="D44" s="1895" t="e">
        <f>'Cta explotacion OVS'!D44/1000/'Tipo de cambio'!#REF!</f>
        <v>#REF!</v>
      </c>
      <c r="E44" s="1897" t="e">
        <f>'Cta explotacion OVS'!E44/1000/'Tipo de cambio'!#REF!</f>
        <v>#REF!</v>
      </c>
      <c r="F44" s="1895" t="e">
        <f>'Cta explotacion OVS'!F44/1000/'Tipo de cambio'!#REF!</f>
        <v>#REF!</v>
      </c>
      <c r="G44" s="1895" t="e">
        <f>'Cta explotacion OVS'!G44/1000/'Tipo de cambio'!#REF!</f>
        <v>#REF!</v>
      </c>
      <c r="H44" s="1895" t="e">
        <f>'Cta explotacion OVS'!H44/1000/'Tipo de cambio'!#REF!</f>
        <v>#REF!</v>
      </c>
      <c r="I44" s="1895" t="e">
        <f>'Cta explotacion OVS'!I44/1000/'Tipo de cambio'!#REF!</f>
        <v>#REF!</v>
      </c>
      <c r="K44" s="208" t="s">
        <v>51</v>
      </c>
      <c r="L44" s="222"/>
      <c r="M44" s="219" t="s">
        <v>110</v>
      </c>
      <c r="T44" s="1708"/>
      <c r="U44" s="1713"/>
    </row>
    <row r="45" spans="1:21">
      <c r="A45" s="17" t="str">
        <f t="shared" si="0"/>
        <v>OVS</v>
      </c>
      <c r="B45" s="2379" t="str">
        <f>IF('Mode Opératoire'!$I$1="Français",+'Cpte exploitation 1+2+3'!K45,'Cpte exploitation 1+2+3'!M45)</f>
        <v>Loyer</v>
      </c>
      <c r="C45" s="862" t="s">
        <v>491</v>
      </c>
      <c r="D45" s="1895" t="e">
        <f>'Cta explotacion OVS'!D45/1000/'Tipo de cambio'!#REF!</f>
        <v>#REF!</v>
      </c>
      <c r="E45" s="1897" t="e">
        <f>'Cta explotacion OVS'!E45/1000/'Tipo de cambio'!#REF!</f>
        <v>#REF!</v>
      </c>
      <c r="F45" s="1895" t="e">
        <f>'Cta explotacion OVS'!F45/1000/'Tipo de cambio'!#REF!</f>
        <v>#REF!</v>
      </c>
      <c r="G45" s="1895" t="e">
        <f>'Cta explotacion OVS'!G45/1000/'Tipo de cambio'!#REF!</f>
        <v>#REF!</v>
      </c>
      <c r="H45" s="1895" t="e">
        <f>'Cta explotacion OVS'!H45/1000/'Tipo de cambio'!#REF!</f>
        <v>#REF!</v>
      </c>
      <c r="I45" s="1895" t="e">
        <f>'Cta explotacion OVS'!I45/1000/'Tipo de cambio'!#REF!</f>
        <v>#REF!</v>
      </c>
      <c r="K45" s="208" t="s">
        <v>23</v>
      </c>
      <c r="L45" s="222"/>
      <c r="M45" s="219" t="s">
        <v>111</v>
      </c>
      <c r="T45" s="1708"/>
      <c r="U45" s="1713"/>
    </row>
    <row r="46" spans="1:21">
      <c r="A46" s="17" t="str">
        <f t="shared" si="0"/>
        <v>OVS</v>
      </c>
      <c r="B46" s="2379" t="str">
        <f>IF('Mode Opératoire'!$I$1="Français",+'Cpte exploitation 1+2+3'!K46,'Cpte exploitation 1+2+3'!M46)</f>
        <v>Coût de transfert</v>
      </c>
      <c r="C46" s="862" t="s">
        <v>491</v>
      </c>
      <c r="D46" s="1895" t="e">
        <f>'Cta explotacion OVS'!D46/1000/'Tipo de cambio'!#REF!</f>
        <v>#REF!</v>
      </c>
      <c r="E46" s="1897" t="e">
        <f>'Cta explotacion OVS'!E46/1000/'Tipo de cambio'!#REF!</f>
        <v>#REF!</v>
      </c>
      <c r="F46" s="1895" t="e">
        <f>'Cta explotacion OVS'!F46/1000/'Tipo de cambio'!#REF!</f>
        <v>#REF!</v>
      </c>
      <c r="G46" s="1895" t="e">
        <f>'Cta explotacion OVS'!G46/1000/'Tipo de cambio'!#REF!</f>
        <v>#REF!</v>
      </c>
      <c r="H46" s="1895" t="e">
        <f>'Cta explotacion OVS'!H46/1000/'Tipo de cambio'!#REF!</f>
        <v>#REF!</v>
      </c>
      <c r="I46" s="1895" t="e">
        <f>'Cta explotacion OVS'!I46/1000/'Tipo de cambio'!#REF!</f>
        <v>#REF!</v>
      </c>
      <c r="K46" s="208" t="s">
        <v>652</v>
      </c>
      <c r="L46" s="222"/>
      <c r="M46" s="219" t="s">
        <v>735</v>
      </c>
      <c r="T46" s="1708"/>
      <c r="U46" s="1713"/>
    </row>
    <row r="47" spans="1:21">
      <c r="A47" s="17" t="str">
        <f t="shared" si="0"/>
        <v>OVS</v>
      </c>
      <c r="B47" s="2379" t="str">
        <f>IF('Mode Opératoire'!$I$1="Français",+'Cpte exploitation 1+2+3'!K47,'Cpte exploitation 1+2+3'!M47)</f>
        <v>Locations diverses (hors immobilière)</v>
      </c>
      <c r="C47" s="862" t="s">
        <v>491</v>
      </c>
      <c r="D47" s="1895" t="e">
        <f>'Cta explotacion OVS'!D47/1000/'Tipo de cambio'!#REF!</f>
        <v>#REF!</v>
      </c>
      <c r="E47" s="1897" t="e">
        <f>'Cta explotacion OVS'!E47/1000/'Tipo de cambio'!#REF!</f>
        <v>#REF!</v>
      </c>
      <c r="F47" s="1895" t="e">
        <f>'Cta explotacion OVS'!F47/1000/'Tipo de cambio'!#REF!</f>
        <v>#REF!</v>
      </c>
      <c r="G47" s="1895" t="e">
        <f>'Cta explotacion OVS'!G47/1000/'Tipo de cambio'!#REF!</f>
        <v>#REF!</v>
      </c>
      <c r="H47" s="1895" t="e">
        <f>'Cta explotacion OVS'!H47/1000/'Tipo de cambio'!#REF!</f>
        <v>#REF!</v>
      </c>
      <c r="I47" s="1895" t="e">
        <f>'Cta explotacion OVS'!I47/1000/'Tipo de cambio'!#REF!</f>
        <v>#REF!</v>
      </c>
      <c r="K47" s="208" t="s">
        <v>641</v>
      </c>
      <c r="L47" s="222"/>
      <c r="M47" s="219" t="s">
        <v>736</v>
      </c>
      <c r="T47" s="1708"/>
      <c r="U47" s="1713"/>
    </row>
    <row r="48" spans="1:21">
      <c r="A48" s="17" t="str">
        <f t="shared" si="0"/>
        <v>OVS</v>
      </c>
      <c r="B48" s="2379" t="str">
        <f>IF('Mode Opératoire'!$I$1="Français",+'Cpte exploitation 1+2+3'!K48,'Cpte exploitation 1+2+3'!M48)</f>
        <v>Honoraires</v>
      </c>
      <c r="C48" s="862" t="s">
        <v>491</v>
      </c>
      <c r="D48" s="1895" t="e">
        <f>'Cta explotacion OVS'!D48/1000/'Tipo de cambio'!#REF!</f>
        <v>#REF!</v>
      </c>
      <c r="E48" s="1897" t="e">
        <f>'Cta explotacion OVS'!E48/1000/'Tipo de cambio'!#REF!</f>
        <v>#REF!</v>
      </c>
      <c r="F48" s="1895" t="e">
        <f>'Cta explotacion OVS'!F48/1000/'Tipo de cambio'!#REF!</f>
        <v>#REF!</v>
      </c>
      <c r="G48" s="1895" t="e">
        <f>'Cta explotacion OVS'!G48/1000/'Tipo de cambio'!#REF!</f>
        <v>#REF!</v>
      </c>
      <c r="H48" s="1895" t="e">
        <f>'Cta explotacion OVS'!H48/1000/'Tipo de cambio'!#REF!</f>
        <v>#REF!</v>
      </c>
      <c r="I48" s="1895" t="e">
        <f>'Cta explotacion OVS'!I48/1000/'Tipo de cambio'!#REF!</f>
        <v>#REF!</v>
      </c>
      <c r="K48" s="208" t="s">
        <v>77</v>
      </c>
      <c r="L48" s="222"/>
      <c r="M48" s="219" t="s">
        <v>112</v>
      </c>
      <c r="T48" s="1708"/>
      <c r="U48" s="1713"/>
    </row>
    <row r="49" spans="1:21">
      <c r="A49" s="17" t="str">
        <f t="shared" si="0"/>
        <v>OVS</v>
      </c>
      <c r="B49" s="2379" t="str">
        <f>IF('Mode Opératoire'!$I$1="Français",+'Cpte exploitation 1+2+3'!K49,'Cpte exploitation 1+2+3'!M49)</f>
        <v>Autres frais de structure</v>
      </c>
      <c r="C49" s="862" t="s">
        <v>491</v>
      </c>
      <c r="D49" s="1895" t="e">
        <f>'Cta explotacion OVS'!D49/1000/'Tipo de cambio'!#REF!</f>
        <v>#REF!</v>
      </c>
      <c r="E49" s="1897" t="e">
        <f>'Cta explotacion OVS'!E49/1000/'Tipo de cambio'!#REF!</f>
        <v>#REF!</v>
      </c>
      <c r="F49" s="1895" t="e">
        <f>'Cta explotacion OVS'!F49/1000/'Tipo de cambio'!#REF!</f>
        <v>#REF!</v>
      </c>
      <c r="G49" s="1895" t="e">
        <f>'Cta explotacion OVS'!G49/1000/'Tipo de cambio'!#REF!</f>
        <v>#REF!</v>
      </c>
      <c r="H49" s="1895" t="e">
        <f>'Cta explotacion OVS'!H49/1000/'Tipo de cambio'!#REF!</f>
        <v>#REF!</v>
      </c>
      <c r="I49" s="1895" t="e">
        <f>'Cta explotacion OVS'!I49/1000/'Tipo de cambio'!#REF!</f>
        <v>#REF!</v>
      </c>
      <c r="K49" s="208" t="s">
        <v>52</v>
      </c>
      <c r="L49" s="222"/>
      <c r="M49" s="219" t="s">
        <v>91</v>
      </c>
      <c r="T49" s="1708"/>
      <c r="U49" s="1713"/>
    </row>
    <row r="50" spans="1:21">
      <c r="A50" s="17" t="str">
        <f t="shared" si="0"/>
        <v>OVS</v>
      </c>
      <c r="B50" s="2385" t="str">
        <f>IF('Mode Opératoire'!$I$1="Français",+'Cpte exploitation 1+2+3'!K50,'Cpte exploitation 1+2+3'!M50)</f>
        <v>Frais d'agence</v>
      </c>
      <c r="C50" s="2386"/>
      <c r="D50" s="1063" t="e">
        <f t="shared" ref="D50:I50" si="9">SUM(D43:D49)</f>
        <v>#REF!</v>
      </c>
      <c r="E50" s="1063" t="e">
        <f t="shared" si="9"/>
        <v>#REF!</v>
      </c>
      <c r="F50" s="1063" t="e">
        <f t="shared" si="9"/>
        <v>#REF!</v>
      </c>
      <c r="G50" s="1063" t="e">
        <f t="shared" si="9"/>
        <v>#REF!</v>
      </c>
      <c r="H50" s="1063" t="e">
        <f t="shared" si="9"/>
        <v>#REF!</v>
      </c>
      <c r="I50" s="1063" t="e">
        <f t="shared" si="9"/>
        <v>#REF!</v>
      </c>
      <c r="K50" s="233" t="s">
        <v>119</v>
      </c>
      <c r="L50" s="234"/>
      <c r="M50" s="235" t="s">
        <v>92</v>
      </c>
      <c r="T50" s="1708"/>
      <c r="U50" s="1713"/>
    </row>
    <row r="51" spans="1:21">
      <c r="A51" s="17" t="str">
        <f t="shared" si="0"/>
        <v>OVS</v>
      </c>
      <c r="B51" s="209" t="str">
        <f>IF('Mode Opératoire'!$I$1="Français",+'Cpte exploitation 1+2+3'!K51,'Cpte exploitation 1+2+3'!M51)</f>
        <v>Dépréciation de créances douteuses</v>
      </c>
      <c r="C51" s="1075"/>
      <c r="D51" s="1074"/>
      <c r="E51" s="1074"/>
      <c r="F51" s="1074"/>
      <c r="G51" s="1074"/>
      <c r="H51" s="1074"/>
      <c r="I51" s="1074"/>
      <c r="K51" s="209" t="s">
        <v>188</v>
      </c>
      <c r="L51" s="223"/>
      <c r="M51" s="232" t="s">
        <v>198</v>
      </c>
      <c r="T51" s="1708"/>
      <c r="U51" s="1713"/>
    </row>
    <row r="52" spans="1:21">
      <c r="A52" s="17" t="str">
        <f t="shared" si="0"/>
        <v>OVS</v>
      </c>
      <c r="B52" s="2388" t="str">
        <f>IF('Mode Opératoire'!$I$1="Français",+'Cpte exploitation 1+2+3'!K52,'Cpte exploitation 1+2+3'!M52)</f>
        <v xml:space="preserve">Frais opérationnels </v>
      </c>
      <c r="C52" s="2389"/>
      <c r="D52" s="1072" t="e">
        <f>+D50+D42+D34+D51</f>
        <v>#REF!</v>
      </c>
      <c r="E52" s="1072" t="e">
        <f t="shared" ref="E52:I52" si="10">+E50+E42+E34+E51</f>
        <v>#REF!</v>
      </c>
      <c r="F52" s="1072" t="e">
        <f t="shared" si="10"/>
        <v>#REF!</v>
      </c>
      <c r="G52" s="1072" t="e">
        <f t="shared" si="10"/>
        <v>#REF!</v>
      </c>
      <c r="H52" s="1072" t="e">
        <f t="shared" si="10"/>
        <v>#REF!</v>
      </c>
      <c r="I52" s="1072" t="e">
        <f t="shared" si="10"/>
        <v>#REF!</v>
      </c>
      <c r="J52" s="451"/>
      <c r="K52" s="210" t="s">
        <v>135</v>
      </c>
      <c r="L52" s="211"/>
      <c r="M52" s="230" t="s">
        <v>93</v>
      </c>
      <c r="T52" s="1708"/>
      <c r="U52" s="1713"/>
    </row>
    <row r="53" spans="1:21">
      <c r="A53" s="17" t="str">
        <f t="shared" si="0"/>
        <v>OVS</v>
      </c>
      <c r="B53" s="2390" t="str">
        <f>IF('Mode Opératoire'!$I$1="Français",+'Cpte exploitation 1+2+3'!K53,'Cpte exploitation 1+2+3'!M53)</f>
        <v>% des ventes</v>
      </c>
      <c r="C53" s="2391"/>
      <c r="D53" s="1073" t="e">
        <f t="shared" ref="D53:I53" si="11">IF(D19&lt;&gt;0,D52/D$19,0)</f>
        <v>#REF!</v>
      </c>
      <c r="E53" s="1073" t="e">
        <f t="shared" si="11"/>
        <v>#REF!</v>
      </c>
      <c r="F53" s="1073" t="e">
        <f t="shared" si="11"/>
        <v>#REF!</v>
      </c>
      <c r="G53" s="1073" t="e">
        <f t="shared" si="11"/>
        <v>#REF!</v>
      </c>
      <c r="H53" s="1073" t="e">
        <f t="shared" si="11"/>
        <v>#REF!</v>
      </c>
      <c r="I53" s="1073" t="e">
        <f t="shared" si="11"/>
        <v>#REF!</v>
      </c>
      <c r="K53" s="212" t="s">
        <v>68</v>
      </c>
      <c r="L53" s="213"/>
      <c r="M53" s="231" t="s">
        <v>84</v>
      </c>
      <c r="T53" s="1708"/>
      <c r="U53" s="1713"/>
    </row>
    <row r="54" spans="1:21">
      <c r="A54" s="17" t="str">
        <f t="shared" si="0"/>
        <v>OVS</v>
      </c>
      <c r="B54" s="190" t="str">
        <f>IF('Mode Opératoire'!$I$1="Français",+'Cpte exploitation 1+2+3'!K54,'Cpte exploitation 1+2+3'!M54)</f>
        <v>Marge sur Coûts Directs</v>
      </c>
      <c r="C54" s="198"/>
      <c r="D54" s="226" t="e">
        <f>+D25+D52</f>
        <v>#REF!</v>
      </c>
      <c r="E54" s="226" t="e">
        <f t="shared" ref="E54:I54" si="12">+E25+E52</f>
        <v>#REF!</v>
      </c>
      <c r="F54" s="226" t="e">
        <f t="shared" si="12"/>
        <v>#REF!</v>
      </c>
      <c r="G54" s="226" t="e">
        <f t="shared" si="12"/>
        <v>#REF!</v>
      </c>
      <c r="H54" s="226" t="e">
        <f t="shared" si="12"/>
        <v>#REF!</v>
      </c>
      <c r="I54" s="226" t="e">
        <f t="shared" si="12"/>
        <v>#REF!</v>
      </c>
      <c r="K54" s="190" t="s">
        <v>953</v>
      </c>
      <c r="L54" s="198"/>
      <c r="M54" s="218" t="s">
        <v>954</v>
      </c>
      <c r="T54" s="1708"/>
      <c r="U54" s="1713"/>
    </row>
    <row r="55" spans="1:21">
      <c r="A55" s="17" t="str">
        <f t="shared" si="0"/>
        <v>OVS</v>
      </c>
      <c r="B55" s="214" t="str">
        <f>IF('Mode Opératoire'!$I$1="Français",+'Cpte exploitation 1+2+3'!K55,'Cpte exploitation 1+2+3'!M55)</f>
        <v>% des ventes</v>
      </c>
      <c r="C55" s="224"/>
      <c r="D55" s="221" t="e">
        <f t="shared" ref="D55:I55" si="13">IF(D$19&lt;&gt;0,D54/D$19,0)</f>
        <v>#REF!</v>
      </c>
      <c r="E55" s="221" t="e">
        <f t="shared" si="13"/>
        <v>#REF!</v>
      </c>
      <c r="F55" s="221" t="e">
        <f t="shared" si="13"/>
        <v>#REF!</v>
      </c>
      <c r="G55" s="221" t="e">
        <f t="shared" si="13"/>
        <v>#REF!</v>
      </c>
      <c r="H55" s="221" t="e">
        <f t="shared" si="13"/>
        <v>#REF!</v>
      </c>
      <c r="I55" s="221" t="e">
        <f t="shared" si="13"/>
        <v>#REF!</v>
      </c>
      <c r="K55" s="214" t="s">
        <v>68</v>
      </c>
      <c r="L55" s="224"/>
      <c r="M55" s="220" t="s">
        <v>84</v>
      </c>
      <c r="T55" s="1708"/>
      <c r="U55" s="1713"/>
    </row>
    <row r="56" spans="1:21">
      <c r="A56" s="17" t="str">
        <f>+$H$6&amp;"opé"</f>
        <v>OVSopé</v>
      </c>
      <c r="B56" s="215" t="str">
        <f>IF('Mode Opératoire'!$I$1="Français",+'Cpte exploitation 1+2+3'!K56,'Cpte exploitation 1+2+3'!M56)</f>
        <v>Frais de Siège opérationnel</v>
      </c>
      <c r="C56" s="1893">
        <f>VLOOKUP(A56,'Quote part frais'!L5:M95,2,FALSE)</f>
        <v>-3.2724790020568356E-2</v>
      </c>
      <c r="D56" s="1064" t="e">
        <f>ROUND($C$56*D19,0)</f>
        <v>#REF!</v>
      </c>
      <c r="E56" s="1064" t="e">
        <f t="shared" ref="E56:I56" si="14">ROUND($C$56*E19,0)</f>
        <v>#REF!</v>
      </c>
      <c r="F56" s="1064" t="e">
        <f t="shared" si="14"/>
        <v>#REF!</v>
      </c>
      <c r="G56" s="1064" t="e">
        <f t="shared" si="14"/>
        <v>#REF!</v>
      </c>
      <c r="H56" s="1064" t="e">
        <f t="shared" si="14"/>
        <v>#REF!</v>
      </c>
      <c r="I56" s="1064" t="e">
        <f t="shared" si="14"/>
        <v>#REF!</v>
      </c>
      <c r="K56" s="215" t="s">
        <v>955</v>
      </c>
      <c r="L56" s="237" t="str">
        <f>IF(SUM(M15:R15)=0,"-",AVERAGE((SUM(M56:R56)/SUM(M15:R15))))</f>
        <v>-</v>
      </c>
      <c r="M56" s="1697" t="s">
        <v>957</v>
      </c>
      <c r="T56" s="1708" t="s">
        <v>983</v>
      </c>
      <c r="U56" s="1713" t="s">
        <v>992</v>
      </c>
    </row>
    <row r="57" spans="1:21">
      <c r="A57" s="17" t="str">
        <f t="shared" si="0"/>
        <v>OVS</v>
      </c>
      <c r="B57" s="216" t="str">
        <f>IF('Mode Opératoire'!$I$1="Français",+'Cpte exploitation 1+2+3'!K57,'Cpte exploitation 1+2+3'!M57)</f>
        <v>% des ventes</v>
      </c>
      <c r="C57" s="217"/>
      <c r="D57" s="1066" t="e">
        <f>IF(D19&lt;&gt;0,D56/D$19,0)</f>
        <v>#REF!</v>
      </c>
      <c r="E57" s="1066" t="e">
        <f t="shared" ref="E57:I57" si="15">IF(E19&lt;&gt;0,E56/E$19,0)</f>
        <v>#REF!</v>
      </c>
      <c r="F57" s="1066" t="e">
        <f t="shared" si="15"/>
        <v>#REF!</v>
      </c>
      <c r="G57" s="1066" t="e">
        <f t="shared" si="15"/>
        <v>#REF!</v>
      </c>
      <c r="H57" s="1066" t="e">
        <f t="shared" si="15"/>
        <v>#REF!</v>
      </c>
      <c r="I57" s="1066" t="e">
        <f t="shared" si="15"/>
        <v>#REF!</v>
      </c>
      <c r="K57" s="216" t="s">
        <v>68</v>
      </c>
      <c r="L57" s="217"/>
      <c r="M57" s="1697"/>
      <c r="T57" s="1708"/>
      <c r="U57" s="1713"/>
    </row>
    <row r="58" spans="1:21">
      <c r="A58" s="17" t="str">
        <f t="shared" si="0"/>
        <v>OVS</v>
      </c>
      <c r="B58" s="190" t="str">
        <f>IF('Mode Opératoire'!$I$1="Français",+'Cpte exploitation 1+2+3'!K58,'Cpte exploitation 1+2+3'!M58)</f>
        <v>Résultat d'activité</v>
      </c>
      <c r="C58" s="198"/>
      <c r="D58" s="226" t="e">
        <f>+D54+D56</f>
        <v>#REF!</v>
      </c>
      <c r="E58" s="226" t="e">
        <f t="shared" ref="E58:I58" si="16">+E54+E56</f>
        <v>#REF!</v>
      </c>
      <c r="F58" s="226" t="e">
        <f t="shared" si="16"/>
        <v>#REF!</v>
      </c>
      <c r="G58" s="226" t="e">
        <f t="shared" si="16"/>
        <v>#REF!</v>
      </c>
      <c r="H58" s="226" t="e">
        <f t="shared" si="16"/>
        <v>#REF!</v>
      </c>
      <c r="I58" s="226" t="e">
        <f t="shared" si="16"/>
        <v>#REF!</v>
      </c>
      <c r="K58" s="190" t="s">
        <v>187</v>
      </c>
      <c r="L58" s="198"/>
      <c r="M58" s="218" t="s">
        <v>195</v>
      </c>
      <c r="T58" s="1708"/>
      <c r="U58" s="1713"/>
    </row>
    <row r="59" spans="1:21">
      <c r="A59" s="17" t="str">
        <f t="shared" si="0"/>
        <v>OVS</v>
      </c>
      <c r="B59" s="214" t="str">
        <f>IF('Mode Opératoire'!$I$1="Français",+'Cpte exploitation 1+2+3'!K59,'Cpte exploitation 1+2+3'!M59)</f>
        <v>% des ventes</v>
      </c>
      <c r="C59" s="224"/>
      <c r="D59" s="221" t="e">
        <f t="shared" ref="D59:I59" si="17">IF(D$19&lt;&gt;0,D58/D$19,0)</f>
        <v>#REF!</v>
      </c>
      <c r="E59" s="221" t="e">
        <f t="shared" si="17"/>
        <v>#REF!</v>
      </c>
      <c r="F59" s="221" t="e">
        <f t="shared" si="17"/>
        <v>#REF!</v>
      </c>
      <c r="G59" s="221" t="e">
        <f t="shared" si="17"/>
        <v>#REF!</v>
      </c>
      <c r="H59" s="221" t="e">
        <f t="shared" si="17"/>
        <v>#REF!</v>
      </c>
      <c r="I59" s="221" t="e">
        <f t="shared" si="17"/>
        <v>#REF!</v>
      </c>
      <c r="K59" s="214" t="s">
        <v>68</v>
      </c>
      <c r="L59" s="224"/>
      <c r="M59" s="220" t="s">
        <v>84</v>
      </c>
      <c r="T59" s="1708"/>
      <c r="U59" s="1713"/>
    </row>
    <row r="60" spans="1:21" s="20" customFormat="1">
      <c r="A60" s="17" t="str">
        <f>+$H$6&amp;"HQ"</f>
        <v>OVSHQ</v>
      </c>
      <c r="B60" s="215" t="str">
        <f>IF('Mode Opératoire'!$I$1="Français",+'Cpte exploitation 1+2+3'!K60,'Cpte exploitation 1+2+3'!M60)</f>
        <v>Frais Groupe</v>
      </c>
      <c r="C60" s="237">
        <f>VLOOKUP(A60,'Quote part frais'!L6:M95,2,FALSE)</f>
        <v>-5.6217988072336238E-2</v>
      </c>
      <c r="D60" s="1064" t="e">
        <f>ROUND($C$60*D19,0)</f>
        <v>#REF!</v>
      </c>
      <c r="E60" s="1064" t="e">
        <f t="shared" ref="E60:I60" si="18">ROUND($C$60*E19,0)</f>
        <v>#REF!</v>
      </c>
      <c r="F60" s="1064" t="e">
        <f t="shared" si="18"/>
        <v>#REF!</v>
      </c>
      <c r="G60" s="1064" t="e">
        <f t="shared" si="18"/>
        <v>#REF!</v>
      </c>
      <c r="H60" s="1064" t="e">
        <f t="shared" si="18"/>
        <v>#REF!</v>
      </c>
      <c r="I60" s="1064" t="e">
        <f t="shared" si="18"/>
        <v>#REF!</v>
      </c>
      <c r="K60" s="215" t="s">
        <v>956</v>
      </c>
      <c r="L60" s="237" t="str">
        <f>IF(SUM(M19:R19)=0,"-",AVERAGE((SUM(M60:R60)/SUM(M19:R19))))</f>
        <v>-</v>
      </c>
      <c r="M60" s="228" t="s">
        <v>958</v>
      </c>
      <c r="T60" s="1708" t="s">
        <v>984</v>
      </c>
      <c r="U60" s="1713" t="s">
        <v>993</v>
      </c>
    </row>
    <row r="61" spans="1:21" s="20" customFormat="1">
      <c r="A61" s="17" t="str">
        <f t="shared" si="0"/>
        <v>OVS</v>
      </c>
      <c r="B61" s="216" t="str">
        <f>IF('Mode Opératoire'!$I$1="Français",+'Cpte exploitation 1+2+3'!K61,'Cpte exploitation 1+2+3'!M61)</f>
        <v>% des ventes</v>
      </c>
      <c r="C61" s="217"/>
      <c r="D61" s="1066" t="e">
        <f t="shared" ref="D61:I61" si="19">IF(D19&lt;&gt;0,D60/D$19,0)</f>
        <v>#REF!</v>
      </c>
      <c r="E61" s="1066" t="e">
        <f t="shared" si="19"/>
        <v>#REF!</v>
      </c>
      <c r="F61" s="1066" t="e">
        <f t="shared" si="19"/>
        <v>#REF!</v>
      </c>
      <c r="G61" s="1066" t="e">
        <f t="shared" si="19"/>
        <v>#REF!</v>
      </c>
      <c r="H61" s="1066" t="e">
        <f t="shared" si="19"/>
        <v>#REF!</v>
      </c>
      <c r="I61" s="1066" t="e">
        <f t="shared" si="19"/>
        <v>#REF!</v>
      </c>
      <c r="K61" s="216" t="s">
        <v>68</v>
      </c>
      <c r="L61" s="217"/>
      <c r="M61" s="229" t="s">
        <v>84</v>
      </c>
      <c r="T61" s="1708"/>
      <c r="U61" s="1713"/>
    </row>
    <row r="62" spans="1:21" s="20" customFormat="1">
      <c r="A62" s="17" t="str">
        <f>+$H$6&amp;"HQ"</f>
        <v>OVSHQ</v>
      </c>
      <c r="B62" s="215" t="s">
        <v>1388</v>
      </c>
      <c r="C62" s="237"/>
      <c r="D62" s="1064" t="e">
        <f>-1.25%*SUM(D15:D18)-1.75%*D14</f>
        <v>#REF!</v>
      </c>
      <c r="E62" s="1064" t="e">
        <f t="shared" ref="E62:I62" si="20">-1.25%*SUM(E15:E18)-1.75%*E14</f>
        <v>#REF!</v>
      </c>
      <c r="F62" s="1064" t="e">
        <f t="shared" si="20"/>
        <v>#REF!</v>
      </c>
      <c r="G62" s="1064" t="e">
        <f t="shared" si="20"/>
        <v>#REF!</v>
      </c>
      <c r="H62" s="1064" t="e">
        <f t="shared" si="20"/>
        <v>#REF!</v>
      </c>
      <c r="I62" s="1064" t="e">
        <f t="shared" si="20"/>
        <v>#REF!</v>
      </c>
      <c r="K62" s="215" t="s">
        <v>956</v>
      </c>
      <c r="L62" s="237" t="str">
        <f>IF(SUM(M21:R21)=0,"-",AVERAGE((SUM(M62:R62)/SUM(M21:R21))))</f>
        <v>-</v>
      </c>
      <c r="M62" s="228" t="s">
        <v>958</v>
      </c>
      <c r="T62" s="1708" t="s">
        <v>984</v>
      </c>
      <c r="U62" s="1713" t="s">
        <v>993</v>
      </c>
    </row>
    <row r="63" spans="1:21" s="20" customFormat="1">
      <c r="A63" s="17" t="str">
        <f t="shared" si="0"/>
        <v>OVS</v>
      </c>
      <c r="B63" s="216" t="str">
        <f>IF('Mode Opératoire'!$I$1="Français",+'Cpte exploitation 1+2+3'!K63,'Cpte exploitation 1+2+3'!M63)</f>
        <v>% des ventes</v>
      </c>
      <c r="C63" s="217"/>
      <c r="D63" s="1066" t="e">
        <f t="shared" ref="D63:I63" si="21">IF(D21&lt;&gt;0,D62/D$19,0)</f>
        <v>#REF!</v>
      </c>
      <c r="E63" s="1066" t="e">
        <f t="shared" si="21"/>
        <v>#REF!</v>
      </c>
      <c r="F63" s="1066" t="e">
        <f t="shared" si="21"/>
        <v>#REF!</v>
      </c>
      <c r="G63" s="1066" t="e">
        <f t="shared" si="21"/>
        <v>#REF!</v>
      </c>
      <c r="H63" s="1066" t="e">
        <f t="shared" si="21"/>
        <v>#REF!</v>
      </c>
      <c r="I63" s="1066" t="e">
        <f t="shared" si="21"/>
        <v>#REF!</v>
      </c>
      <c r="K63" s="216" t="s">
        <v>68</v>
      </c>
      <c r="L63" s="217"/>
      <c r="M63" s="229" t="s">
        <v>84</v>
      </c>
      <c r="T63" s="1708"/>
      <c r="U63" s="1713"/>
    </row>
    <row r="64" spans="1:21">
      <c r="A64" s="17" t="str">
        <f t="shared" si="0"/>
        <v>OVS</v>
      </c>
      <c r="B64" s="190" t="str">
        <f>IF('Mode Opératoire'!$I$1="Français",+'Cpte exploitation 1+2+3'!K64,'Cpte exploitation 1+2+3'!M64)</f>
        <v>Résultat Opérationnel Courant</v>
      </c>
      <c r="C64" s="198"/>
      <c r="D64" s="226" t="e">
        <f>+D58+D60+D62</f>
        <v>#REF!</v>
      </c>
      <c r="E64" s="226" t="e">
        <f t="shared" ref="E64:I64" si="22">+E58+E60+E62</f>
        <v>#REF!</v>
      </c>
      <c r="F64" s="226" t="e">
        <f t="shared" si="22"/>
        <v>#REF!</v>
      </c>
      <c r="G64" s="226" t="e">
        <f t="shared" si="22"/>
        <v>#REF!</v>
      </c>
      <c r="H64" s="226" t="e">
        <f t="shared" si="22"/>
        <v>#REF!</v>
      </c>
      <c r="I64" s="226" t="e">
        <f t="shared" si="22"/>
        <v>#REF!</v>
      </c>
      <c r="K64" s="190" t="s">
        <v>148</v>
      </c>
      <c r="L64" s="198"/>
      <c r="M64" s="218" t="s">
        <v>94</v>
      </c>
      <c r="T64" s="1708"/>
      <c r="U64" s="1713"/>
    </row>
    <row r="65" spans="1:21">
      <c r="A65" s="17" t="str">
        <f t="shared" si="0"/>
        <v>OVS</v>
      </c>
      <c r="B65" s="214" t="str">
        <f>IF('Mode Opératoire'!$I$1="Français",+'Cpte exploitation 1+2+3'!K65,'Cpte exploitation 1+2+3'!M65)</f>
        <v>% des ventes</v>
      </c>
      <c r="C65" s="224"/>
      <c r="D65" s="221" t="e">
        <f t="shared" ref="D65:I65" si="23">IF(D$19&lt;&gt;0,D64/D$19,0)</f>
        <v>#REF!</v>
      </c>
      <c r="E65" s="221" t="e">
        <f t="shared" si="23"/>
        <v>#REF!</v>
      </c>
      <c r="F65" s="221" t="e">
        <f t="shared" si="23"/>
        <v>#REF!</v>
      </c>
      <c r="G65" s="221" t="e">
        <f t="shared" si="23"/>
        <v>#REF!</v>
      </c>
      <c r="H65" s="221" t="e">
        <f t="shared" si="23"/>
        <v>#REF!</v>
      </c>
      <c r="I65" s="221" t="e">
        <f t="shared" si="23"/>
        <v>#REF!</v>
      </c>
      <c r="K65" s="214" t="s">
        <v>68</v>
      </c>
      <c r="L65" s="224"/>
      <c r="M65" s="220" t="s">
        <v>84</v>
      </c>
      <c r="T65" s="1708"/>
      <c r="U65" s="1713"/>
    </row>
    <row r="66" spans="1:21">
      <c r="B66" s="75"/>
      <c r="C66" s="75"/>
      <c r="D66" s="76"/>
      <c r="E66" s="76"/>
      <c r="F66" s="76"/>
      <c r="G66" s="76"/>
      <c r="H66" s="76"/>
      <c r="I66" s="76"/>
      <c r="K66" s="75"/>
      <c r="L66" s="75"/>
      <c r="M66" s="75"/>
      <c r="T66" s="1708"/>
      <c r="U66" s="1713"/>
    </row>
    <row r="67" spans="1:21">
      <c r="B67" s="830"/>
      <c r="C67" s="830"/>
      <c r="D67" s="892"/>
      <c r="E67" s="892"/>
      <c r="F67" s="892"/>
      <c r="G67" s="892"/>
      <c r="H67" s="892"/>
      <c r="I67" s="892"/>
      <c r="K67" s="21"/>
      <c r="L67" s="21"/>
      <c r="M67" s="21"/>
      <c r="T67" s="1708"/>
      <c r="U67" s="1713"/>
    </row>
    <row r="68" spans="1:21">
      <c r="B68" s="45" t="str">
        <f>IF('Mode Opératoire'!$I$1="Français",+'Cpte exploitation 1+2+3'!K68,'Cpte exploitation 1+2+3'!M68)</f>
        <v>Effectifs opérationnels fin d'année</v>
      </c>
      <c r="C68" s="140"/>
      <c r="D68" s="44"/>
      <c r="E68" s="44"/>
      <c r="F68" s="44"/>
      <c r="G68" s="44"/>
      <c r="H68" s="44"/>
      <c r="I68" s="44"/>
      <c r="K68" s="45" t="s">
        <v>121</v>
      </c>
      <c r="L68" s="140"/>
      <c r="M68" s="49"/>
      <c r="T68" s="1708"/>
      <c r="U68" s="1713"/>
    </row>
    <row r="69" spans="1:21">
      <c r="A69" s="17" t="str">
        <f>+$H$6</f>
        <v>OVS</v>
      </c>
      <c r="B69" s="2378" t="str">
        <f>IF('Mode Opératoire'!$I$1="Français",+'Cpte exploitation 1+2+3'!K69,'Cpte exploitation 1+2+3'!M69)</f>
        <v>Inscrits (ETP)</v>
      </c>
      <c r="C69" s="1076"/>
      <c r="D69" s="1899">
        <f>(VLOOKUP($A$27,'cost calculateur'!$E$44:$EA$65,12,FALSE))</f>
        <v>0</v>
      </c>
      <c r="E69" s="1899">
        <f>(VLOOKUP($A$27,'cost calculateur'!$E$44:$EA$65,13,FALSE))</f>
        <v>0</v>
      </c>
      <c r="F69" s="1899">
        <f>(VLOOKUP($A$27,'cost calculateur'!$E$44:$EA$65,14,FALSE))</f>
        <v>0</v>
      </c>
      <c r="G69" s="1899">
        <f>(VLOOKUP($A$27,'cost calculateur'!$E$44:$EA$65,15,FALSE))</f>
        <v>0</v>
      </c>
      <c r="H69" s="1899">
        <f>(VLOOKUP($A$27,'cost calculateur'!$E$44:$EA$65,16,FALSE))</f>
        <v>0</v>
      </c>
      <c r="I69" s="1900">
        <f>(VLOOKUP($A$27,'cost calculateur'!$E$44:$EA$65,16,FALSE))</f>
        <v>0</v>
      </c>
      <c r="J69" s="452"/>
      <c r="K69" s="207" t="s">
        <v>122</v>
      </c>
      <c r="L69" s="828"/>
      <c r="M69" s="245" t="s">
        <v>102</v>
      </c>
      <c r="T69" s="1708"/>
      <c r="U69" s="1713" t="s">
        <v>973</v>
      </c>
    </row>
    <row r="70" spans="1:21">
      <c r="A70" s="17" t="str">
        <f>+$H$6</f>
        <v>OVS</v>
      </c>
      <c r="B70" s="2395" t="str">
        <f>IF('Mode Opératoire'!$I$1="Français",+'Cpte exploitation 1+2+3'!K70,'Cpte exploitation 1+2+3'!M70)</f>
        <v xml:space="preserve"> Intérimaires</v>
      </c>
      <c r="C70" s="1077"/>
      <c r="D70" s="1901">
        <f>(VLOOKUP($A$27,'cost calculateur'!$E$68:$EA$90,12,FALSE))</f>
        <v>0</v>
      </c>
      <c r="E70" s="1901">
        <f>(VLOOKUP($A$27,'cost calculateur'!$E$68:$EA$90,13,FALSE))</f>
        <v>0</v>
      </c>
      <c r="F70" s="1901">
        <f>(VLOOKUP($A$27,'cost calculateur'!$E$68:$EA$90,14,FALSE))</f>
        <v>0</v>
      </c>
      <c r="G70" s="1901">
        <f>(VLOOKUP($A$27,'cost calculateur'!$E$68:$EA$90,15,FALSE))</f>
        <v>0</v>
      </c>
      <c r="H70" s="1901">
        <f>(VLOOKUP($A$27,'cost calculateur'!$E$68:$EA$90,16,FALSE))</f>
        <v>0</v>
      </c>
      <c r="I70" s="1902">
        <f>(VLOOKUP($A$27,'cost calculateur'!$E$68:$EA$90,16,FALSE))</f>
        <v>0</v>
      </c>
      <c r="K70" s="244" t="s">
        <v>53</v>
      </c>
      <c r="L70" s="829"/>
      <c r="M70" s="246" t="s">
        <v>95</v>
      </c>
      <c r="T70" s="1708" t="s">
        <v>975</v>
      </c>
      <c r="U70" s="1713"/>
    </row>
    <row r="71" spans="1:21">
      <c r="B71" s="239" t="str">
        <f>IF('Mode Opératoire'!$I$1="Français",+'Cpte exploitation 1+2+3'!K71,'Cpte exploitation 1+2+3'!M71)</f>
        <v>Effectifs Opérationnels</v>
      </c>
      <c r="C71" s="240"/>
      <c r="D71" s="241">
        <f t="shared" ref="D71:I71" si="24">SUM(D69:D70)</f>
        <v>0</v>
      </c>
      <c r="E71" s="241">
        <f t="shared" si="24"/>
        <v>0</v>
      </c>
      <c r="F71" s="241">
        <f t="shared" si="24"/>
        <v>0</v>
      </c>
      <c r="G71" s="241">
        <f t="shared" si="24"/>
        <v>0</v>
      </c>
      <c r="H71" s="241">
        <f t="shared" si="24"/>
        <v>0</v>
      </c>
      <c r="I71" s="242">
        <f t="shared" si="24"/>
        <v>0</v>
      </c>
      <c r="K71" s="239" t="s">
        <v>120</v>
      </c>
      <c r="L71" s="240"/>
      <c r="M71" s="243" t="s">
        <v>96</v>
      </c>
      <c r="T71" s="1708"/>
      <c r="U71" s="1713"/>
    </row>
    <row r="72" spans="1:21">
      <c r="B72" s="17">
        <f>IF('Mode Opératoire'!$I$1="Français",+'Cpte exploitation 1+2+3'!K72,'Cpte exploitation 1+2+3'!M72)</f>
        <v>0</v>
      </c>
      <c r="T72" s="1708"/>
      <c r="U72" s="1713"/>
    </row>
    <row r="73" spans="1:21" ht="18" customHeight="1">
      <c r="B73" s="247" t="str">
        <f>IF('Mode Opératoire'!$I$1="Français",+'Cpte exploitation 1+2+3'!K73,'Cpte exploitation 1+2+3'!M73)</f>
        <v xml:space="preserve">cout moyen/effectifs </v>
      </c>
      <c r="C73" s="248"/>
      <c r="D73" s="249" t="str">
        <f>IF(D71=0,"-",D34/D71)</f>
        <v>-</v>
      </c>
      <c r="E73" s="249" t="str">
        <f t="shared" ref="E73:I73" si="25">IF(E71=0,"-",E34/E71)</f>
        <v>-</v>
      </c>
      <c r="F73" s="249" t="str">
        <f t="shared" si="25"/>
        <v>-</v>
      </c>
      <c r="G73" s="249" t="str">
        <f t="shared" si="25"/>
        <v>-</v>
      </c>
      <c r="H73" s="249" t="str">
        <f t="shared" si="25"/>
        <v>-</v>
      </c>
      <c r="I73" s="250" t="str">
        <f t="shared" si="25"/>
        <v>-</v>
      </c>
      <c r="K73" s="247" t="s">
        <v>839</v>
      </c>
      <c r="L73" s="248"/>
      <c r="M73" s="1579" t="s">
        <v>840</v>
      </c>
      <c r="T73" s="1708"/>
      <c r="U73" s="1713"/>
    </row>
    <row r="74" spans="1:21" ht="18" customHeight="1">
      <c r="B74" s="251" t="str">
        <f>IF('Mode Opératoire'!$I$1="Français",+'Cpte exploitation 1+2+3'!K74,'Cpte exploitation 1+2+3'!M74)</f>
        <v>RAC/effectifs</v>
      </c>
      <c r="C74" s="252"/>
      <c r="D74" s="253" t="str">
        <f>IF(D71=0,"-",D58/D71)</f>
        <v>-</v>
      </c>
      <c r="E74" s="253" t="str">
        <f t="shared" ref="E74:I74" si="26">IF(E71=0,"-",E58/E71)</f>
        <v>-</v>
      </c>
      <c r="F74" s="253" t="str">
        <f t="shared" si="26"/>
        <v>-</v>
      </c>
      <c r="G74" s="253" t="str">
        <f t="shared" si="26"/>
        <v>-</v>
      </c>
      <c r="H74" s="253" t="str">
        <f t="shared" si="26"/>
        <v>-</v>
      </c>
      <c r="I74" s="253" t="str">
        <f t="shared" si="26"/>
        <v>-</v>
      </c>
      <c r="K74" s="251" t="s">
        <v>959</v>
      </c>
      <c r="L74" s="252"/>
      <c r="M74" s="1580" t="s">
        <v>961</v>
      </c>
      <c r="T74" s="1708"/>
      <c r="U74" s="1713"/>
    </row>
    <row r="75" spans="1:21" ht="18" customHeight="1">
      <c r="B75" s="251" t="str">
        <f>IF('Mode Opératoire'!$I$1="Français",+'Cpte exploitation 1+2+3'!K75,'Cpte exploitation 1+2+3'!M75)</f>
        <v>MCO/effectifs</v>
      </c>
      <c r="C75" s="1698"/>
      <c r="D75" s="253" t="str">
        <f>IF(D71=0,"-",D22/D71)</f>
        <v>-</v>
      </c>
      <c r="E75" s="1699" t="str">
        <f t="shared" ref="E75:I75" si="27">IF(E71=0,"-",E22/E71)</f>
        <v>-</v>
      </c>
      <c r="F75" s="1699" t="str">
        <f t="shared" si="27"/>
        <v>-</v>
      </c>
      <c r="G75" s="1699" t="str">
        <f t="shared" si="27"/>
        <v>-</v>
      </c>
      <c r="H75" s="1699" t="str">
        <f t="shared" si="27"/>
        <v>-</v>
      </c>
      <c r="I75" s="1699" t="str">
        <f t="shared" si="27"/>
        <v>-</v>
      </c>
      <c r="K75" s="251" t="s">
        <v>960</v>
      </c>
      <c r="L75" s="1698"/>
      <c r="M75" s="1700" t="s">
        <v>962</v>
      </c>
      <c r="T75" s="1708"/>
      <c r="U75" s="1713"/>
    </row>
    <row r="76" spans="1:21" ht="18" customHeight="1">
      <c r="B76" s="254" t="str">
        <f>IF('Mode Opératoire'!$I$1="Français",+'Cpte exploitation 1+2+3'!K76,'Cpte exploitation 1+2+3'!M76)</f>
        <v>Total Frais Indirect</v>
      </c>
      <c r="C76" s="255"/>
      <c r="D76" s="256" t="str">
        <f>IF(D71=0,"-",(D56+D60)/D71)</f>
        <v>-</v>
      </c>
      <c r="E76" s="256" t="str">
        <f t="shared" ref="E76:I76" si="28">IF(E71=0,"-",(E56+E60)/E71)</f>
        <v>-</v>
      </c>
      <c r="F76" s="256" t="str">
        <f t="shared" si="28"/>
        <v>-</v>
      </c>
      <c r="G76" s="256" t="str">
        <f t="shared" si="28"/>
        <v>-</v>
      </c>
      <c r="H76" s="256" t="str">
        <f t="shared" si="28"/>
        <v>-</v>
      </c>
      <c r="I76" s="256" t="str">
        <f t="shared" si="28"/>
        <v>-</v>
      </c>
      <c r="K76" s="254" t="s">
        <v>963</v>
      </c>
      <c r="L76" s="255"/>
      <c r="M76" s="1581" t="s">
        <v>964</v>
      </c>
      <c r="T76" s="1708"/>
      <c r="U76" s="1713"/>
    </row>
  </sheetData>
  <mergeCells count="2">
    <mergeCell ref="C27:C33"/>
    <mergeCell ref="L27:L33"/>
  </mergeCells>
  <conditionalFormatting sqref="H6">
    <cfRule type="cellIs" dxfId="77" priority="5" operator="equal">
      <formula>"XXXXX"</formula>
    </cfRule>
  </conditionalFormatting>
  <conditionalFormatting sqref="H6">
    <cfRule type="cellIs" dxfId="76" priority="4" operator="equal">
      <formula>"XXXXX"</formula>
    </cfRule>
  </conditionalFormatting>
  <conditionalFormatting sqref="D14:I18 D20:I20 D35:I38 D40:I41 D43:I49">
    <cfRule type="cellIs" dxfId="75" priority="3" operator="equal">
      <formula>0</formula>
    </cfRule>
  </conditionalFormatting>
  <conditionalFormatting sqref="D27:I33 D39:I39">
    <cfRule type="cellIs" dxfId="74" priority="2" operator="equal">
      <formula>#N/A</formula>
    </cfRule>
  </conditionalFormatting>
  <conditionalFormatting sqref="D24:I24">
    <cfRule type="cellIs" dxfId="73" priority="1" operator="equal">
      <formula>0</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drawing r:id="rId2"/>
  <legacyDrawing r:id="rId3"/>
</worksheet>
</file>

<file path=xl/worksheets/sheet29.xml><?xml version="1.0" encoding="utf-8"?>
<worksheet xmlns="http://schemas.openxmlformats.org/spreadsheetml/2006/main" xmlns:r="http://schemas.openxmlformats.org/officeDocument/2006/relationships">
  <sheetPr codeName="Feuil13">
    <tabColor rgb="FF00B050"/>
    <pageSetUpPr fitToPage="1"/>
  </sheetPr>
  <dimension ref="A1:L66"/>
  <sheetViews>
    <sheetView workbookViewId="0"/>
  </sheetViews>
  <sheetFormatPr baseColWidth="10" defaultColWidth="11.42578125" defaultRowHeight="12.75"/>
  <cols>
    <col min="1" max="1" width="11.42578125" style="830" customWidth="1"/>
    <col min="2" max="2" width="29.7109375" style="830" customWidth="1"/>
    <col min="3" max="3" width="6.5703125" style="830" bestFit="1" customWidth="1"/>
    <col min="4" max="9" width="15" style="830" customWidth="1"/>
    <col min="10" max="10" width="25.5703125" style="858" customWidth="1"/>
    <col min="11" max="11" width="11.42578125" style="830" collapsed="1"/>
    <col min="12" max="16384" width="11.42578125" style="830"/>
  </cols>
  <sheetData>
    <row r="1" spans="2:11" s="622" customFormat="1" ht="26.25">
      <c r="D1" s="830"/>
      <c r="E1" s="831"/>
      <c r="F1" s="830"/>
      <c r="J1" s="832"/>
    </row>
    <row r="2" spans="2:11" s="622" customFormat="1">
      <c r="J2" s="832"/>
    </row>
    <row r="3" spans="2:11" s="622" customFormat="1">
      <c r="J3" s="832"/>
      <c r="K3" s="833"/>
    </row>
    <row r="4" spans="2:11" ht="26.25">
      <c r="B4" s="834"/>
      <c r="C4" s="834"/>
      <c r="D4" s="834"/>
      <c r="E4" s="835"/>
      <c r="F4" s="835"/>
      <c r="G4" s="835"/>
      <c r="H4" s="835"/>
      <c r="I4" s="835"/>
      <c r="J4" s="836"/>
    </row>
    <row r="5" spans="2:11" s="837" customFormat="1" ht="6" customHeight="1">
      <c r="B5" s="838"/>
      <c r="C5" s="838"/>
      <c r="D5" s="839"/>
      <c r="E5" s="839"/>
      <c r="F5" s="839"/>
      <c r="G5" s="839"/>
      <c r="H5" s="839"/>
      <c r="I5" s="839"/>
      <c r="J5" s="840"/>
    </row>
    <row r="6" spans="2:11" s="841" customFormat="1" ht="23.25">
      <c r="B6" s="842"/>
      <c r="C6" s="842"/>
      <c r="D6" s="842"/>
      <c r="E6" s="843"/>
      <c r="F6" s="844"/>
      <c r="G6" s="845"/>
      <c r="H6" s="846"/>
      <c r="K6" s="847"/>
    </row>
    <row r="7" spans="2:11" s="841" customFormat="1" ht="15.75">
      <c r="B7" s="848"/>
      <c r="C7" s="848"/>
      <c r="D7" s="848"/>
      <c r="E7" s="849"/>
      <c r="F7" s="850"/>
      <c r="G7" s="850"/>
      <c r="H7" s="850"/>
      <c r="I7" s="850"/>
      <c r="J7" s="851"/>
      <c r="K7" s="847"/>
    </row>
    <row r="8" spans="2:11" s="837" customFormat="1" ht="26.25" customHeight="1">
      <c r="B8" s="852"/>
      <c r="C8" s="852"/>
      <c r="D8" s="853"/>
      <c r="E8" s="854"/>
      <c r="F8" s="854"/>
      <c r="G8" s="854"/>
      <c r="H8" s="854"/>
      <c r="I8" s="854"/>
      <c r="J8" s="840"/>
    </row>
    <row r="9" spans="2:11" s="837" customFormat="1" ht="15">
      <c r="B9" s="852"/>
      <c r="C9" s="852"/>
      <c r="E9" s="855"/>
      <c r="G9" s="855"/>
      <c r="I9" s="855"/>
      <c r="J9" s="840"/>
    </row>
    <row r="10" spans="2:11" s="837" customFormat="1" ht="15">
      <c r="B10" s="852"/>
      <c r="C10" s="852"/>
      <c r="J10" s="840"/>
    </row>
    <row r="11" spans="2:11" ht="6" customHeight="1">
      <c r="B11" s="856"/>
      <c r="C11" s="856"/>
      <c r="D11" s="857"/>
      <c r="E11" s="857"/>
      <c r="F11" s="857"/>
      <c r="G11" s="857"/>
      <c r="H11" s="857"/>
      <c r="I11" s="857"/>
    </row>
    <row r="12" spans="2:11">
      <c r="B12" s="859"/>
      <c r="C12" s="859"/>
      <c r="D12" s="860"/>
      <c r="E12" s="860"/>
      <c r="F12" s="860"/>
      <c r="G12" s="860"/>
      <c r="H12" s="860"/>
      <c r="I12" s="860"/>
    </row>
    <row r="13" spans="2:11">
      <c r="B13" s="861"/>
      <c r="C13" s="861"/>
      <c r="D13" s="860"/>
      <c r="E13" s="860"/>
      <c r="F13" s="860"/>
      <c r="G13" s="860"/>
      <c r="H13" s="860"/>
      <c r="I13" s="860"/>
    </row>
    <row r="14" spans="2:11">
      <c r="B14" s="862"/>
      <c r="C14" s="862"/>
      <c r="D14" s="863"/>
      <c r="E14" s="863"/>
      <c r="F14" s="863"/>
      <c r="G14" s="863"/>
      <c r="H14" s="863"/>
      <c r="I14" s="863"/>
      <c r="J14" s="864"/>
    </row>
    <row r="15" spans="2:11">
      <c r="B15" s="862"/>
      <c r="C15" s="862"/>
      <c r="D15" s="863"/>
      <c r="E15" s="863"/>
      <c r="F15" s="863"/>
      <c r="G15" s="863"/>
      <c r="H15" s="863"/>
      <c r="I15" s="863"/>
      <c r="J15" s="864"/>
      <c r="K15" s="865"/>
    </row>
    <row r="16" spans="2:11">
      <c r="B16" s="862"/>
      <c r="C16" s="862"/>
      <c r="D16" s="863"/>
      <c r="E16" s="863"/>
      <c r="F16" s="863"/>
      <c r="G16" s="863"/>
      <c r="H16" s="863"/>
      <c r="I16" s="863"/>
      <c r="J16" s="864"/>
      <c r="K16" s="865"/>
    </row>
    <row r="17" spans="1:10">
      <c r="B17" s="866"/>
      <c r="C17" s="866"/>
      <c r="D17" s="867"/>
      <c r="E17" s="867"/>
      <c r="F17" s="867"/>
      <c r="G17" s="867"/>
      <c r="H17" s="867"/>
      <c r="I17" s="867"/>
      <c r="J17" s="868"/>
    </row>
    <row r="18" spans="1:10">
      <c r="B18" s="862"/>
      <c r="C18" s="862"/>
      <c r="D18" s="863"/>
      <c r="E18" s="863"/>
      <c r="F18" s="863"/>
      <c r="G18" s="863"/>
      <c r="H18" s="863"/>
      <c r="I18" s="863"/>
      <c r="J18" s="864"/>
    </row>
    <row r="19" spans="1:10">
      <c r="B19" s="866"/>
      <c r="C19" s="866"/>
      <c r="D19" s="867"/>
      <c r="E19" s="867"/>
      <c r="F19" s="867"/>
      <c r="G19" s="867"/>
      <c r="H19" s="867"/>
      <c r="I19" s="867"/>
      <c r="J19" s="868"/>
    </row>
    <row r="20" spans="1:10">
      <c r="B20" s="869"/>
      <c r="C20" s="869"/>
      <c r="D20" s="870"/>
      <c r="E20" s="870"/>
      <c r="F20" s="870"/>
      <c r="G20" s="870"/>
      <c r="H20" s="870"/>
      <c r="I20" s="870"/>
      <c r="J20" s="871"/>
    </row>
    <row r="21" spans="1:10" s="875" customFormat="1" ht="13.5">
      <c r="A21" s="830"/>
      <c r="B21" s="872"/>
      <c r="C21" s="872"/>
      <c r="D21" s="873"/>
      <c r="E21" s="873"/>
      <c r="F21" s="873"/>
      <c r="G21" s="873"/>
      <c r="H21" s="873"/>
      <c r="I21" s="873"/>
      <c r="J21" s="874"/>
    </row>
    <row r="22" spans="1:10">
      <c r="B22" s="862"/>
      <c r="C22" s="862"/>
      <c r="D22" s="863"/>
      <c r="E22" s="863"/>
      <c r="F22" s="863"/>
      <c r="G22" s="863"/>
      <c r="H22" s="863"/>
      <c r="I22" s="863"/>
      <c r="J22" s="864"/>
    </row>
    <row r="23" spans="1:10">
      <c r="B23" s="869"/>
      <c r="C23" s="869"/>
      <c r="D23" s="870"/>
      <c r="E23" s="870"/>
      <c r="F23" s="870"/>
      <c r="G23" s="870"/>
      <c r="H23" s="870"/>
      <c r="I23" s="870"/>
      <c r="J23" s="871"/>
    </row>
    <row r="24" spans="1:10" s="875" customFormat="1" ht="13.5">
      <c r="A24" s="830"/>
      <c r="B24" s="872"/>
      <c r="C24" s="872"/>
      <c r="D24" s="873"/>
      <c r="E24" s="873"/>
      <c r="F24" s="873"/>
      <c r="G24" s="873"/>
      <c r="H24" s="873"/>
      <c r="I24" s="873"/>
      <c r="J24" s="874"/>
    </row>
    <row r="25" spans="1:10">
      <c r="B25" s="862"/>
      <c r="C25" s="2875"/>
      <c r="D25" s="863"/>
      <c r="E25" s="863"/>
      <c r="F25" s="863"/>
      <c r="G25" s="863"/>
      <c r="H25" s="863"/>
      <c r="I25" s="863"/>
      <c r="J25" s="864"/>
    </row>
    <row r="26" spans="1:10">
      <c r="B26" s="862"/>
      <c r="C26" s="2875"/>
      <c r="D26" s="863"/>
      <c r="E26" s="863"/>
      <c r="F26" s="863"/>
      <c r="G26" s="863"/>
      <c r="H26" s="863"/>
      <c r="I26" s="863"/>
      <c r="J26" s="864"/>
    </row>
    <row r="27" spans="1:10">
      <c r="B27" s="862"/>
      <c r="C27" s="2875"/>
      <c r="D27" s="863"/>
      <c r="E27" s="863"/>
      <c r="F27" s="863"/>
      <c r="G27" s="863"/>
      <c r="H27" s="863"/>
      <c r="I27" s="863"/>
      <c r="J27" s="864"/>
    </row>
    <row r="28" spans="1:10">
      <c r="B28" s="862"/>
      <c r="C28" s="2875"/>
      <c r="D28" s="863"/>
      <c r="E28" s="863"/>
      <c r="F28" s="863"/>
      <c r="G28" s="863"/>
      <c r="H28" s="863"/>
      <c r="I28" s="863"/>
      <c r="J28" s="864"/>
    </row>
    <row r="29" spans="1:10">
      <c r="B29" s="862"/>
      <c r="C29" s="2875"/>
      <c r="D29" s="863"/>
      <c r="E29" s="863"/>
      <c r="F29" s="863"/>
      <c r="G29" s="863"/>
      <c r="H29" s="863"/>
      <c r="I29" s="863"/>
      <c r="J29" s="864"/>
    </row>
    <row r="30" spans="1:10">
      <c r="B30" s="862"/>
      <c r="C30" s="2875"/>
      <c r="D30" s="863"/>
      <c r="E30" s="863"/>
      <c r="F30" s="863"/>
      <c r="G30" s="863"/>
      <c r="H30" s="863"/>
      <c r="I30" s="863"/>
      <c r="J30" s="864"/>
    </row>
    <row r="31" spans="1:10">
      <c r="B31" s="862"/>
      <c r="C31" s="2875"/>
      <c r="D31" s="863"/>
      <c r="E31" s="863"/>
      <c r="F31" s="863"/>
      <c r="G31" s="863"/>
      <c r="H31" s="863"/>
      <c r="I31" s="863"/>
      <c r="J31" s="864"/>
    </row>
    <row r="32" spans="1:10">
      <c r="B32" s="866"/>
      <c r="C32" s="866"/>
      <c r="D32" s="867"/>
      <c r="E32" s="867"/>
      <c r="F32" s="867"/>
      <c r="G32" s="867"/>
      <c r="H32" s="867"/>
      <c r="I32" s="867"/>
      <c r="J32" s="868"/>
    </row>
    <row r="33" spans="1:10">
      <c r="B33" s="862"/>
      <c r="C33" s="862"/>
      <c r="D33" s="863"/>
      <c r="E33" s="863"/>
      <c r="F33" s="863"/>
      <c r="G33" s="863"/>
      <c r="H33" s="863"/>
      <c r="I33" s="863"/>
      <c r="J33" s="864"/>
    </row>
    <row r="34" spans="1:10" s="876" customFormat="1">
      <c r="A34" s="830"/>
      <c r="B34" s="862"/>
      <c r="C34" s="862"/>
      <c r="D34" s="863"/>
      <c r="E34" s="863"/>
      <c r="F34" s="863"/>
      <c r="G34" s="863"/>
      <c r="H34" s="863"/>
      <c r="I34" s="863"/>
      <c r="J34" s="864"/>
    </row>
    <row r="35" spans="1:10">
      <c r="B35" s="862"/>
      <c r="C35" s="862"/>
      <c r="D35" s="863"/>
      <c r="E35" s="863"/>
      <c r="F35" s="863"/>
      <c r="G35" s="863"/>
      <c r="H35" s="863"/>
      <c r="I35" s="863"/>
      <c r="J35" s="864"/>
    </row>
    <row r="36" spans="1:10">
      <c r="B36" s="862"/>
      <c r="C36" s="862"/>
      <c r="D36" s="863"/>
      <c r="E36" s="863"/>
      <c r="F36" s="863"/>
      <c r="G36" s="863"/>
      <c r="H36" s="863"/>
      <c r="I36" s="863"/>
      <c r="J36" s="864"/>
    </row>
    <row r="37" spans="1:10">
      <c r="B37" s="862"/>
      <c r="C37" s="862"/>
      <c r="D37" s="863"/>
      <c r="E37" s="863"/>
      <c r="F37" s="863"/>
      <c r="G37" s="863"/>
      <c r="H37" s="863"/>
      <c r="I37" s="863"/>
      <c r="J37" s="864"/>
    </row>
    <row r="38" spans="1:10">
      <c r="B38" s="862"/>
      <c r="C38" s="862"/>
      <c r="D38" s="863"/>
      <c r="E38" s="863"/>
      <c r="F38" s="863"/>
      <c r="G38" s="863"/>
      <c r="H38" s="863"/>
      <c r="I38" s="863"/>
      <c r="J38" s="864"/>
    </row>
    <row r="39" spans="1:10">
      <c r="B39" s="862"/>
      <c r="C39" s="862"/>
      <c r="D39" s="877"/>
      <c r="E39" s="863"/>
      <c r="F39" s="863"/>
      <c r="G39" s="863"/>
      <c r="H39" s="863"/>
      <c r="I39" s="863"/>
      <c r="J39" s="864"/>
    </row>
    <row r="40" spans="1:10">
      <c r="B40" s="866"/>
      <c r="C40" s="866"/>
      <c r="D40" s="867"/>
      <c r="E40" s="867"/>
      <c r="F40" s="867"/>
      <c r="G40" s="867"/>
      <c r="H40" s="867"/>
      <c r="I40" s="867"/>
      <c r="J40" s="868"/>
    </row>
    <row r="41" spans="1:10">
      <c r="B41" s="862"/>
      <c r="C41" s="862"/>
      <c r="D41" s="863"/>
      <c r="E41" s="863"/>
      <c r="F41" s="863"/>
      <c r="G41" s="863"/>
      <c r="H41" s="863"/>
      <c r="I41" s="863"/>
      <c r="J41" s="864"/>
    </row>
    <row r="42" spans="1:10">
      <c r="B42" s="862"/>
      <c r="C42" s="862"/>
      <c r="D42" s="863"/>
      <c r="E42" s="863"/>
      <c r="F42" s="863"/>
      <c r="G42" s="863"/>
      <c r="H42" s="863"/>
      <c r="I42" s="863"/>
      <c r="J42" s="864"/>
    </row>
    <row r="43" spans="1:10">
      <c r="B43" s="862"/>
      <c r="C43" s="862"/>
      <c r="D43" s="863"/>
      <c r="E43" s="863"/>
      <c r="F43" s="863"/>
      <c r="G43" s="863"/>
      <c r="H43" s="863"/>
      <c r="I43" s="863"/>
      <c r="J43" s="864"/>
    </row>
    <row r="44" spans="1:10">
      <c r="B44" s="862"/>
      <c r="C44" s="862"/>
      <c r="D44" s="863"/>
      <c r="E44" s="863"/>
      <c r="F44" s="863"/>
      <c r="G44" s="863"/>
      <c r="H44" s="863"/>
      <c r="I44" s="863"/>
      <c r="J44" s="864"/>
    </row>
    <row r="45" spans="1:10">
      <c r="B45" s="862"/>
      <c r="C45" s="862"/>
      <c r="D45" s="863"/>
      <c r="E45" s="863"/>
      <c r="F45" s="863"/>
      <c r="G45" s="863"/>
      <c r="H45" s="863"/>
      <c r="I45" s="863"/>
      <c r="J45" s="864"/>
    </row>
    <row r="46" spans="1:10">
      <c r="B46" s="862"/>
      <c r="C46" s="862"/>
      <c r="D46" s="877"/>
      <c r="E46" s="863"/>
      <c r="F46" s="863"/>
      <c r="G46" s="863"/>
      <c r="H46" s="863"/>
      <c r="I46" s="863"/>
      <c r="J46" s="864"/>
    </row>
    <row r="47" spans="1:10">
      <c r="B47" s="866"/>
      <c r="C47" s="866"/>
      <c r="D47" s="867"/>
      <c r="E47" s="867"/>
      <c r="F47" s="867"/>
      <c r="G47" s="867"/>
      <c r="H47" s="867"/>
      <c r="I47" s="867"/>
      <c r="J47" s="868"/>
    </row>
    <row r="48" spans="1:10">
      <c r="B48" s="866"/>
      <c r="C48" s="866"/>
      <c r="D48" s="867"/>
      <c r="E48" s="867"/>
      <c r="F48" s="867"/>
      <c r="G48" s="867"/>
      <c r="H48" s="867"/>
      <c r="I48" s="867"/>
      <c r="J48" s="868"/>
    </row>
    <row r="49" spans="2:12">
      <c r="B49" s="878"/>
      <c r="C49" s="878"/>
      <c r="D49" s="879"/>
      <c r="E49" s="879"/>
      <c r="F49" s="879"/>
      <c r="G49" s="879"/>
      <c r="H49" s="879"/>
      <c r="I49" s="879"/>
      <c r="J49" s="880"/>
      <c r="K49" s="865"/>
    </row>
    <row r="50" spans="2:12">
      <c r="B50" s="881"/>
      <c r="C50" s="881"/>
      <c r="D50" s="882"/>
      <c r="E50" s="882"/>
      <c r="F50" s="882"/>
      <c r="G50" s="882"/>
      <c r="H50" s="882"/>
      <c r="I50" s="882"/>
      <c r="J50" s="883"/>
    </row>
    <row r="51" spans="2:12">
      <c r="B51" s="869"/>
      <c r="C51" s="869"/>
      <c r="D51" s="879"/>
      <c r="E51" s="879"/>
      <c r="F51" s="879"/>
      <c r="G51" s="879"/>
      <c r="H51" s="879"/>
      <c r="I51" s="879"/>
      <c r="J51" s="871"/>
    </row>
    <row r="52" spans="2:12">
      <c r="B52" s="884"/>
      <c r="C52" s="884"/>
      <c r="D52" s="882"/>
      <c r="E52" s="882"/>
      <c r="F52" s="882"/>
      <c r="G52" s="882"/>
      <c r="H52" s="882"/>
      <c r="I52" s="882"/>
      <c r="J52" s="885"/>
    </row>
    <row r="53" spans="2:12">
      <c r="B53" s="886"/>
      <c r="C53" s="887"/>
      <c r="D53" s="879"/>
      <c r="E53" s="879"/>
      <c r="F53" s="879"/>
      <c r="G53" s="879"/>
      <c r="H53" s="879"/>
      <c r="I53" s="879"/>
      <c r="J53" s="888"/>
    </row>
    <row r="54" spans="2:12">
      <c r="B54" s="881"/>
      <c r="C54" s="881"/>
      <c r="D54" s="882"/>
      <c r="E54" s="882"/>
      <c r="F54" s="882"/>
      <c r="G54" s="882"/>
      <c r="H54" s="882"/>
      <c r="I54" s="882"/>
      <c r="J54" s="889"/>
    </row>
    <row r="55" spans="2:12">
      <c r="B55" s="869"/>
      <c r="C55" s="869"/>
      <c r="D55" s="879"/>
      <c r="E55" s="879"/>
      <c r="F55" s="879"/>
      <c r="G55" s="879"/>
      <c r="H55" s="879"/>
      <c r="I55" s="879"/>
      <c r="J55" s="871"/>
    </row>
    <row r="56" spans="2:12">
      <c r="B56" s="884"/>
      <c r="C56" s="884"/>
      <c r="D56" s="882"/>
      <c r="E56" s="882"/>
      <c r="F56" s="882"/>
      <c r="G56" s="882"/>
      <c r="H56" s="882"/>
      <c r="I56" s="882"/>
      <c r="J56" s="885"/>
    </row>
    <row r="57" spans="2:12">
      <c r="B57" s="890"/>
      <c r="C57" s="890"/>
      <c r="D57" s="891"/>
      <c r="E57" s="891"/>
      <c r="F57" s="891"/>
      <c r="G57" s="891"/>
      <c r="H57" s="891"/>
      <c r="I57" s="891"/>
      <c r="J57" s="890"/>
    </row>
    <row r="58" spans="2:12">
      <c r="D58" s="892"/>
      <c r="E58" s="892"/>
      <c r="F58" s="892"/>
      <c r="G58" s="892"/>
      <c r="H58" s="892"/>
      <c r="I58" s="892"/>
      <c r="J58" s="830"/>
    </row>
    <row r="59" spans="2:12">
      <c r="B59" s="893"/>
      <c r="C59" s="893"/>
      <c r="D59" s="858"/>
      <c r="E59" s="858"/>
      <c r="F59" s="858"/>
      <c r="G59" s="858"/>
      <c r="H59" s="858"/>
      <c r="I59" s="858"/>
      <c r="J59" s="868"/>
    </row>
    <row r="60" spans="2:12">
      <c r="B60" s="862"/>
      <c r="C60" s="862"/>
      <c r="D60" s="894"/>
      <c r="E60" s="894"/>
      <c r="F60" s="894"/>
      <c r="G60" s="894"/>
      <c r="H60" s="894"/>
      <c r="I60" s="895"/>
      <c r="J60" s="864"/>
      <c r="K60" s="896"/>
      <c r="L60" s="897"/>
    </row>
    <row r="61" spans="2:12">
      <c r="B61" s="862"/>
      <c r="C61" s="862"/>
      <c r="D61" s="863"/>
      <c r="E61" s="863"/>
      <c r="F61" s="863"/>
      <c r="G61" s="863"/>
      <c r="H61" s="863"/>
      <c r="I61" s="895"/>
      <c r="J61" s="864"/>
    </row>
    <row r="62" spans="2:12">
      <c r="B62" s="898"/>
      <c r="C62" s="898"/>
      <c r="D62" s="899"/>
      <c r="E62" s="899"/>
      <c r="F62" s="899"/>
      <c r="G62" s="899"/>
      <c r="H62" s="899"/>
      <c r="I62" s="899"/>
      <c r="J62" s="898"/>
    </row>
    <row r="64" spans="2:12" ht="18" customHeight="1">
      <c r="B64" s="900"/>
      <c r="C64" s="900"/>
      <c r="D64" s="901"/>
      <c r="E64" s="901"/>
      <c r="F64" s="901"/>
      <c r="G64" s="901"/>
      <c r="H64" s="901"/>
      <c r="I64" s="901"/>
      <c r="J64" s="900"/>
    </row>
    <row r="65" spans="2:10" ht="18" customHeight="1">
      <c r="B65" s="900"/>
      <c r="C65" s="900"/>
      <c r="D65" s="901"/>
      <c r="E65" s="901"/>
      <c r="F65" s="901"/>
      <c r="G65" s="901"/>
      <c r="H65" s="901"/>
      <c r="I65" s="901"/>
      <c r="J65" s="900"/>
    </row>
    <row r="66" spans="2:10" ht="18" customHeight="1">
      <c r="B66" s="900"/>
      <c r="C66" s="900"/>
      <c r="D66" s="901"/>
      <c r="E66" s="901"/>
      <c r="F66" s="901"/>
      <c r="G66" s="901"/>
      <c r="H66" s="901"/>
      <c r="I66" s="901"/>
      <c r="J66" s="900"/>
    </row>
  </sheetData>
  <mergeCells count="1">
    <mergeCell ref="C25:C31"/>
  </mergeCells>
  <dataValidations count="1">
    <dataValidation type="list" showInputMessage="1" showErrorMessage="1" sqref="H6">
      <formula1>"TLA,TLI,CTP,DIV,GMO,TLM,ACTIVITE,OVL,OVS,ILI,GSM"</formula1>
    </dataValidation>
  </dataValidations>
  <pageMargins left="0.45" right="0.26" top="0.51" bottom="0.82" header="0.27" footer="0.4921259845"/>
  <pageSetup paperSize="9" scale="64" orientation="portrait" r:id="rId1"/>
  <headerFooter alignWithMargins="0">
    <oddFooter>&amp;R6/9</oddFooter>
  </headerFooter>
</worksheet>
</file>

<file path=xl/worksheets/sheet3.xml><?xml version="1.0" encoding="utf-8"?>
<worksheet xmlns="http://schemas.openxmlformats.org/spreadsheetml/2006/main" xmlns:r="http://schemas.openxmlformats.org/officeDocument/2006/relationships">
  <sheetPr>
    <tabColor rgb="FF00B050"/>
    <pageSetUpPr fitToPage="1"/>
  </sheetPr>
  <dimension ref="A1:U76"/>
  <sheetViews>
    <sheetView topLeftCell="B43" workbookViewId="0">
      <selection activeCell="F65" sqref="F65"/>
    </sheetView>
  </sheetViews>
  <sheetFormatPr baseColWidth="10" defaultColWidth="11.42578125" defaultRowHeight="12.75"/>
  <cols>
    <col min="1" max="1" width="4.5703125" style="17" hidden="1" customWidth="1"/>
    <col min="2" max="2" width="29.7109375" style="17" customWidth="1"/>
    <col min="3" max="3" width="6.5703125" style="17" bestFit="1" customWidth="1"/>
    <col min="4" max="9" width="15" style="17" customWidth="1"/>
    <col min="10" max="10" width="11.42578125" style="17"/>
    <col min="11" max="11" width="29.7109375" style="17" hidden="1" customWidth="1"/>
    <col min="12" max="12" width="6.5703125" style="17" hidden="1" customWidth="1"/>
    <col min="13" max="13" width="25.5703125" style="48" hidden="1" customWidth="1"/>
    <col min="14" max="19" width="11.42578125" style="17" hidden="1" customWidth="1"/>
    <col min="20" max="20" width="82.140625" style="17" bestFit="1" customWidth="1"/>
    <col min="21" max="21" width="93.28515625" style="17" bestFit="1" customWidth="1"/>
    <col min="22" max="16384" width="11.42578125" style="17"/>
  </cols>
  <sheetData>
    <row r="1" spans="1:21" customFormat="1" ht="26.25">
      <c r="B1" s="621"/>
      <c r="C1" s="621"/>
      <c r="D1" s="2393"/>
      <c r="E1" s="2394" t="str">
        <f>IF('Mode Opératoire'!$I$1="Français",+'Cpte exploitation ARG'!K1,'Cpte exploitation ARG'!M1)</f>
        <v>Compte d'Exploitation Total</v>
      </c>
      <c r="F1" s="2393"/>
      <c r="G1" s="621"/>
      <c r="H1" s="621"/>
      <c r="I1" s="621"/>
      <c r="J1" s="2464" t="s">
        <v>151</v>
      </c>
      <c r="K1" s="73" t="s">
        <v>190</v>
      </c>
      <c r="M1" s="73" t="s">
        <v>740</v>
      </c>
    </row>
    <row r="2" spans="1:21" customFormat="1" ht="16.5">
      <c r="B2" s="621"/>
      <c r="C2" s="621"/>
      <c r="D2" s="621"/>
      <c r="E2" s="621"/>
      <c r="F2" s="621"/>
      <c r="G2" s="621"/>
      <c r="H2" s="621"/>
      <c r="I2" s="621"/>
      <c r="J2" s="2462" t="s">
        <v>151</v>
      </c>
      <c r="M2" s="46"/>
    </row>
    <row r="3" spans="1:21" customFormat="1" ht="16.5">
      <c r="B3" s="621"/>
      <c r="C3" s="621"/>
      <c r="D3" s="621"/>
      <c r="E3" s="621"/>
      <c r="F3" s="621"/>
      <c r="G3" s="621"/>
      <c r="H3" s="621"/>
      <c r="I3" s="621"/>
      <c r="J3" s="2465" t="s">
        <v>152</v>
      </c>
      <c r="M3" s="46"/>
    </row>
    <row r="4" spans="1:21" ht="26.25">
      <c r="B4" s="78" t="str">
        <f>+'Synthèse projet'!A3</f>
        <v>Nom projet / Project Name :</v>
      </c>
      <c r="C4" s="953"/>
      <c r="D4" s="953" t="str">
        <f>'Cpte exploitation ARG'!E4</f>
        <v>xxxxxx</v>
      </c>
      <c r="E4" s="16"/>
      <c r="F4" s="16"/>
      <c r="G4" s="16"/>
      <c r="H4" s="16"/>
      <c r="I4" s="16"/>
      <c r="K4" s="1217"/>
      <c r="L4" s="834"/>
      <c r="M4" s="1218"/>
      <c r="T4" s="1706" t="s">
        <v>988</v>
      </c>
      <c r="U4" s="1711" t="s">
        <v>989</v>
      </c>
    </row>
    <row r="5" spans="1:21" s="15" customFormat="1" ht="6" customHeight="1">
      <c r="B5" s="838"/>
      <c r="C5" s="838"/>
      <c r="D5" s="839"/>
      <c r="E5" s="839"/>
      <c r="F5" s="839"/>
      <c r="G5" s="839"/>
      <c r="H5" s="839"/>
      <c r="I5" s="839"/>
      <c r="K5" s="838"/>
      <c r="L5" s="838"/>
      <c r="M5" s="904"/>
      <c r="T5" s="1707"/>
      <c r="U5" s="1712"/>
    </row>
    <row r="6" spans="1:21" s="28" customFormat="1" ht="23.25">
      <c r="B6" s="146" t="str">
        <f>+'Synthèse projet'!A5</f>
        <v>Rédacteur / Writer  :</v>
      </c>
      <c r="C6" s="146"/>
      <c r="D6" s="146"/>
      <c r="E6" s="148" t="str">
        <f>'Cpte exploitation ARG'!E6</f>
        <v>xxxxx</v>
      </c>
      <c r="F6" s="924"/>
      <c r="G6" s="154" t="s">
        <v>98</v>
      </c>
      <c r="H6" s="149" t="s">
        <v>202</v>
      </c>
      <c r="I6" s="1219"/>
      <c r="J6" s="27"/>
      <c r="K6" s="842"/>
      <c r="L6" s="842"/>
      <c r="M6" s="1219"/>
      <c r="T6" s="1708" t="s">
        <v>985</v>
      </c>
      <c r="U6" s="1713" t="s">
        <v>991</v>
      </c>
    </row>
    <row r="7" spans="1:21" s="29" customFormat="1" ht="15.75">
      <c r="B7" s="147" t="str">
        <f>+'Synthèse projet'!A6</f>
        <v>Version / Date :</v>
      </c>
      <c r="C7" s="147"/>
      <c r="D7" s="147"/>
      <c r="E7" s="921" t="str">
        <f>'Cpte exploitation ARG'!E7</f>
        <v>xxxxx</v>
      </c>
      <c r="F7" s="2392"/>
      <c r="G7" s="2392"/>
      <c r="H7" s="2392"/>
      <c r="I7" s="2392"/>
      <c r="J7" s="27"/>
      <c r="K7" s="1220"/>
      <c r="L7" s="1220"/>
      <c r="M7" s="1221"/>
      <c r="T7" s="1708"/>
      <c r="U7" s="1713"/>
    </row>
    <row r="8" spans="1:21" s="15" customFormat="1" ht="26.25" customHeight="1">
      <c r="B8" s="935"/>
      <c r="C8" s="935"/>
      <c r="D8" s="936"/>
      <c r="E8" s="937"/>
      <c r="F8" s="937"/>
      <c r="G8" s="937"/>
      <c r="H8" s="937"/>
      <c r="I8" s="937"/>
      <c r="K8" s="19"/>
      <c r="L8" s="19"/>
      <c r="M8" s="47"/>
      <c r="T8" s="1707"/>
      <c r="U8" s="1712"/>
    </row>
    <row r="9" spans="1:21" s="15" customFormat="1" ht="15">
      <c r="B9" s="935"/>
      <c r="C9" s="935"/>
      <c r="D9" s="902"/>
      <c r="E9" s="903"/>
      <c r="F9" s="902"/>
      <c r="G9" s="902"/>
      <c r="H9" s="902"/>
      <c r="I9" s="902"/>
      <c r="K9" s="19"/>
      <c r="L9" s="19"/>
      <c r="M9" s="904"/>
      <c r="T9" s="1707"/>
      <c r="U9" s="1712"/>
    </row>
    <row r="10" spans="1:21" s="15" customFormat="1" ht="15">
      <c r="B10" s="935"/>
      <c r="C10" s="935"/>
      <c r="D10" s="902"/>
      <c r="E10" s="902"/>
      <c r="F10" s="902"/>
      <c r="G10" s="902"/>
      <c r="H10" s="902"/>
      <c r="I10" s="902"/>
      <c r="K10" s="19"/>
      <c r="L10" s="19"/>
      <c r="M10" s="47"/>
      <c r="N10" s="174" t="s">
        <v>38</v>
      </c>
      <c r="O10" s="174" t="s">
        <v>39</v>
      </c>
      <c r="P10" s="174" t="s">
        <v>40</v>
      </c>
      <c r="Q10" s="174" t="s">
        <v>41</v>
      </c>
      <c r="R10" s="174" t="s">
        <v>42</v>
      </c>
      <c r="S10" s="177" t="s">
        <v>78</v>
      </c>
      <c r="T10" s="1707"/>
      <c r="U10" s="1712"/>
    </row>
    <row r="11" spans="1:21" ht="6" customHeight="1">
      <c r="B11" s="167"/>
      <c r="C11" s="170"/>
      <c r="D11" s="173"/>
      <c r="E11" s="173"/>
      <c r="F11" s="173"/>
      <c r="G11" s="173"/>
      <c r="H11" s="173"/>
      <c r="I11" s="176"/>
      <c r="K11" s="167"/>
      <c r="L11" s="170"/>
      <c r="T11" s="1708"/>
      <c r="U11" s="1713"/>
    </row>
    <row r="12" spans="1:21" s="20" customFormat="1">
      <c r="B12" s="2379" t="s">
        <v>1387</v>
      </c>
      <c r="C12" s="859"/>
      <c r="D12" s="174" t="str">
        <f>IF('Mode Opératoire'!$I$1="Français",+'Cpte exploitation ARG'!N10,'Cpte exploitation ARG'!N13)</f>
        <v>Année 1</v>
      </c>
      <c r="E12" s="174" t="str">
        <f>IF('Mode Opératoire'!$I$1="Français",+'Cpte exploitation ARG'!O10,'Cpte exploitation ARG'!O13)</f>
        <v>Année 2</v>
      </c>
      <c r="F12" s="174" t="str">
        <f>IF('Mode Opératoire'!$I$1="Français",+'Cpte exploitation ARG'!P10,'Cpte exploitation ARG'!P13)</f>
        <v>Année 3</v>
      </c>
      <c r="G12" s="174" t="str">
        <f>IF('Mode Opératoire'!$I$1="Français",+'Cpte exploitation ARG'!Q10,'Cpte exploitation ARG'!Q13)</f>
        <v>Année 4</v>
      </c>
      <c r="H12" s="174" t="str">
        <f>IF('Mode Opératoire'!$I$1="Français",+'Cpte exploitation ARG'!R10,'Cpte exploitation ARG'!R13)</f>
        <v>Année 5</v>
      </c>
      <c r="I12" s="174" t="str">
        <f>IF('Mode Opératoire'!$I$1="Français",+'Cpte exploitation ARG'!S10,'Cpte exploitation ARG'!S13)</f>
        <v>Année 6</v>
      </c>
      <c r="K12" s="168" t="s">
        <v>137</v>
      </c>
      <c r="L12" s="171"/>
      <c r="M12" s="168" t="s">
        <v>137</v>
      </c>
      <c r="T12" s="1708"/>
      <c r="U12" s="1713"/>
    </row>
    <row r="13" spans="1:21">
      <c r="B13" s="169"/>
      <c r="C13" s="172"/>
      <c r="D13" s="175">
        <f>+'Cpte exploitation ARG'!D13</f>
        <v>2014</v>
      </c>
      <c r="E13" s="175">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T13" s="1708" t="s">
        <v>990</v>
      </c>
      <c r="U13" s="1713" t="s">
        <v>974</v>
      </c>
    </row>
    <row r="14" spans="1:21">
      <c r="A14" s="17" t="str">
        <f>+$H$6</f>
        <v>OVL</v>
      </c>
      <c r="B14" s="2378" t="str">
        <f>IF('Mode Opératoire'!$I$1="Français",+'Cpte exploitation ARG'!K14,'Cpte exploitation ARG'!M14)</f>
        <v>Ventes PSA</v>
      </c>
      <c r="C14" s="862" t="s">
        <v>491</v>
      </c>
      <c r="D14" s="1894"/>
      <c r="E14" s="1894"/>
      <c r="F14" s="1894"/>
      <c r="G14" s="1894"/>
      <c r="H14" s="1894"/>
      <c r="I14" s="1894"/>
      <c r="K14" s="179" t="s">
        <v>17</v>
      </c>
      <c r="L14" s="182"/>
      <c r="M14" s="185" t="s">
        <v>79</v>
      </c>
      <c r="T14" s="1708"/>
      <c r="U14" s="1713"/>
    </row>
    <row r="15" spans="1:21">
      <c r="A15" s="17" t="str">
        <f t="shared" ref="A15:A65" si="0">+$H$6</f>
        <v>OVL</v>
      </c>
      <c r="B15" s="2379" t="str">
        <f>IF('Mode Opératoire'!$I$1="Français",+'Cpte exploitation ARG'!K15,'Cpte exploitation ARG'!M15)</f>
        <v>Ventes Hors Groupe</v>
      </c>
      <c r="C15" s="862" t="s">
        <v>491</v>
      </c>
      <c r="D15" s="1895"/>
      <c r="E15" s="1895"/>
      <c r="F15" s="1895"/>
      <c r="G15" s="1895"/>
      <c r="H15" s="1895"/>
      <c r="I15" s="1895"/>
      <c r="J15" s="451"/>
      <c r="K15" s="180" t="s">
        <v>19</v>
      </c>
      <c r="L15" s="183"/>
      <c r="M15" s="186" t="s">
        <v>80</v>
      </c>
      <c r="T15" s="1708"/>
      <c r="U15" s="1713"/>
    </row>
    <row r="16" spans="1:21">
      <c r="B16" s="2379" t="str">
        <f>IF('Mode Opératoire'!$I$1="Français",+'Cpte exploitation ARG'!K16,'Cpte exploitation ARG'!M16)</f>
        <v>Ventes GM</v>
      </c>
      <c r="C16" s="862" t="s">
        <v>491</v>
      </c>
      <c r="D16" s="1895"/>
      <c r="E16" s="1895"/>
      <c r="F16" s="1895"/>
      <c r="G16" s="1895"/>
      <c r="H16" s="1895"/>
      <c r="I16" s="1895"/>
      <c r="J16" s="451"/>
      <c r="K16" s="180" t="s">
        <v>948</v>
      </c>
      <c r="L16" s="183"/>
      <c r="M16" s="186" t="s">
        <v>949</v>
      </c>
      <c r="T16" s="1708"/>
      <c r="U16" s="1713"/>
    </row>
    <row r="17" spans="1:21">
      <c r="B17" s="2379" t="str">
        <f>IF('Mode Opératoire'!$I$1="Français",+'Cpte exploitation ARG'!K17,'Cpte exploitation ARG'!M17)</f>
        <v>Ventes RZD</v>
      </c>
      <c r="C17" s="862" t="s">
        <v>491</v>
      </c>
      <c r="D17" s="1895"/>
      <c r="E17" s="1895"/>
      <c r="F17" s="1895"/>
      <c r="G17" s="1895"/>
      <c r="H17" s="1895"/>
      <c r="I17" s="1895"/>
      <c r="J17" s="451"/>
      <c r="K17" s="180" t="s">
        <v>950</v>
      </c>
      <c r="L17" s="183"/>
      <c r="M17" s="186" t="s">
        <v>951</v>
      </c>
      <c r="T17" s="1708"/>
      <c r="U17" s="1713"/>
    </row>
    <row r="18" spans="1:21">
      <c r="A18" s="17" t="str">
        <f t="shared" si="0"/>
        <v>OVL</v>
      </c>
      <c r="B18" s="2379" t="str">
        <f>IF('Mode Opératoire'!$I$1="Français",+'Cpte exploitation ARG'!K18,'Cpte exploitation ARG'!M18)</f>
        <v>Ventes Gefco</v>
      </c>
      <c r="C18" s="862" t="s">
        <v>491</v>
      </c>
      <c r="D18" s="1895"/>
      <c r="E18" s="1895"/>
      <c r="F18" s="1895"/>
      <c r="G18" s="1895"/>
      <c r="H18" s="1895"/>
      <c r="I18" s="1895"/>
      <c r="J18" s="451"/>
      <c r="K18" s="180" t="s">
        <v>45</v>
      </c>
      <c r="L18" s="183"/>
      <c r="M18" s="186" t="s">
        <v>81</v>
      </c>
      <c r="T18" s="1708"/>
      <c r="U18" s="1713"/>
    </row>
    <row r="19" spans="1:21">
      <c r="A19" s="17" t="str">
        <f t="shared" si="0"/>
        <v>OVL</v>
      </c>
      <c r="B19" s="2380" t="str">
        <f>IF('Mode Opératoire'!$I$1="Français",+'Cpte exploitation ARG'!K19,'Cpte exploitation ARG'!M19)</f>
        <v>Total ventes externes</v>
      </c>
      <c r="C19" s="2381"/>
      <c r="D19" s="1062">
        <f t="shared" ref="D19:I19" si="1">SUM(D14:D18)</f>
        <v>0</v>
      </c>
      <c r="E19" s="1062">
        <f t="shared" si="1"/>
        <v>0</v>
      </c>
      <c r="F19" s="1062">
        <f t="shared" si="1"/>
        <v>0</v>
      </c>
      <c r="G19" s="1062">
        <f t="shared" si="1"/>
        <v>0</v>
      </c>
      <c r="H19" s="1062">
        <f t="shared" si="1"/>
        <v>0</v>
      </c>
      <c r="I19" s="1062">
        <f t="shared" si="1"/>
        <v>0</v>
      </c>
      <c r="K19" s="181" t="s">
        <v>149</v>
      </c>
      <c r="L19" s="184"/>
      <c r="M19" s="187" t="s">
        <v>150</v>
      </c>
      <c r="T19" s="1708"/>
      <c r="U19" s="1713"/>
    </row>
    <row r="20" spans="1:21">
      <c r="A20" s="17" t="str">
        <f t="shared" si="0"/>
        <v>OVL</v>
      </c>
      <c r="B20" s="2378" t="str">
        <f>IF('Mode Opératoire'!$I$1="Français",+'Cpte exploitation ARG'!K20,'Cpte exploitation ARG'!M20)</f>
        <v xml:space="preserve">Achats </v>
      </c>
      <c r="C20" s="2382" t="s">
        <v>491</v>
      </c>
      <c r="D20" s="1894"/>
      <c r="E20" s="1894"/>
      <c r="F20" s="1894"/>
      <c r="G20" s="1894"/>
      <c r="H20" s="1894"/>
      <c r="I20" s="1894"/>
      <c r="K20" s="179" t="s">
        <v>44</v>
      </c>
      <c r="L20" s="182"/>
      <c r="M20" s="188" t="s">
        <v>82</v>
      </c>
      <c r="T20" s="1708"/>
      <c r="U20" s="1713"/>
    </row>
    <row r="21" spans="1:21">
      <c r="A21" s="17" t="str">
        <f t="shared" si="0"/>
        <v>OVL</v>
      </c>
      <c r="B21" s="2380" t="str">
        <f>IF('Mode Opératoire'!$I$1="Français",+'Cpte exploitation ARG'!K21,'Cpte exploitation ARG'!M21)</f>
        <v xml:space="preserve">Total achats </v>
      </c>
      <c r="C21" s="2381"/>
      <c r="D21" s="1062">
        <f t="shared" ref="D21:I21" si="2">SUM(D20:D20)</f>
        <v>0</v>
      </c>
      <c r="E21" s="1062">
        <f t="shared" si="2"/>
        <v>0</v>
      </c>
      <c r="F21" s="1062">
        <f t="shared" si="2"/>
        <v>0</v>
      </c>
      <c r="G21" s="1062">
        <f t="shared" si="2"/>
        <v>0</v>
      </c>
      <c r="H21" s="1062">
        <f t="shared" si="2"/>
        <v>0</v>
      </c>
      <c r="I21" s="1062">
        <f t="shared" si="2"/>
        <v>0</v>
      </c>
      <c r="K21" s="181" t="s">
        <v>118</v>
      </c>
      <c r="L21" s="184"/>
      <c r="M21" s="189" t="s">
        <v>82</v>
      </c>
      <c r="T21" s="1708"/>
      <c r="U21" s="1713"/>
    </row>
    <row r="22" spans="1:21">
      <c r="A22" s="17" t="str">
        <f t="shared" si="0"/>
        <v>OVL</v>
      </c>
      <c r="B22" s="190" t="str">
        <f>IF('Mode Opératoire'!$I$1="Français",+'Cpte exploitation ARG'!K22,'Cpte exploitation ARG'!M22)</f>
        <v>Marge commerciale</v>
      </c>
      <c r="C22" s="198"/>
      <c r="D22" s="193">
        <f t="shared" ref="D22:I22" si="3">+D19+D21</f>
        <v>0</v>
      </c>
      <c r="E22" s="193">
        <f t="shared" si="3"/>
        <v>0</v>
      </c>
      <c r="F22" s="193">
        <f t="shared" si="3"/>
        <v>0</v>
      </c>
      <c r="G22" s="193">
        <f t="shared" si="3"/>
        <v>0</v>
      </c>
      <c r="H22" s="195">
        <f t="shared" si="3"/>
        <v>0</v>
      </c>
      <c r="I22" s="193">
        <f t="shared" si="3"/>
        <v>0</v>
      </c>
      <c r="K22" s="190" t="s">
        <v>21</v>
      </c>
      <c r="L22" s="198"/>
      <c r="M22" s="192" t="s">
        <v>83</v>
      </c>
      <c r="T22" s="1708"/>
      <c r="U22" s="1713"/>
    </row>
    <row r="23" spans="1:21" s="124" customFormat="1" ht="13.5">
      <c r="A23" s="17" t="str">
        <f t="shared" si="0"/>
        <v>OVL</v>
      </c>
      <c r="B23" s="200" t="str">
        <f>IF('Mode Opératoire'!$I$1="Français",+'Cpte exploitation ARG'!K23,'Cpte exploitation ARG'!M23)</f>
        <v>% des ventes</v>
      </c>
      <c r="C23" s="201"/>
      <c r="D23" s="197">
        <f t="shared" ref="D23:I23" si="4">IF(D$19&lt;&gt;0,D22/D$19,0)</f>
        <v>0</v>
      </c>
      <c r="E23" s="197">
        <f t="shared" si="4"/>
        <v>0</v>
      </c>
      <c r="F23" s="197">
        <f t="shared" si="4"/>
        <v>0</v>
      </c>
      <c r="G23" s="197">
        <f t="shared" si="4"/>
        <v>0</v>
      </c>
      <c r="H23" s="202">
        <f t="shared" si="4"/>
        <v>0</v>
      </c>
      <c r="I23" s="197">
        <f t="shared" si="4"/>
        <v>0</v>
      </c>
      <c r="K23" s="200" t="s">
        <v>68</v>
      </c>
      <c r="L23" s="201"/>
      <c r="M23" s="203" t="s">
        <v>84</v>
      </c>
      <c r="T23" s="1709"/>
      <c r="U23" s="1714"/>
    </row>
    <row r="24" spans="1:21">
      <c r="A24" s="17" t="str">
        <f t="shared" si="0"/>
        <v>OVL</v>
      </c>
      <c r="B24" s="2383" t="str">
        <f>IF('Mode Opératoire'!$I$1="Français",+'Cpte exploitation ARG'!K24,'Cpte exploitation ARG'!M24)</f>
        <v xml:space="preserve">Différence de change </v>
      </c>
      <c r="C24" s="2384" t="s">
        <v>491</v>
      </c>
      <c r="D24" s="1894"/>
      <c r="E24" s="1894"/>
      <c r="F24" s="1894"/>
      <c r="G24" s="1894"/>
      <c r="H24" s="1894"/>
      <c r="I24" s="1894"/>
      <c r="K24" s="204" t="s">
        <v>189</v>
      </c>
      <c r="L24" s="206"/>
      <c r="M24" s="205" t="s">
        <v>193</v>
      </c>
      <c r="T24" s="1708"/>
      <c r="U24" s="1713"/>
    </row>
    <row r="25" spans="1:21">
      <c r="A25" s="17" t="str">
        <f t="shared" si="0"/>
        <v>OVL</v>
      </c>
      <c r="B25" s="190" t="str">
        <f>IF('Mode Opératoire'!$I$1="Français",+'Cpte exploitation ARG'!K25,'Cpte exploitation ARG'!M25)</f>
        <v>Résultat brut Commercial</v>
      </c>
      <c r="C25" s="198"/>
      <c r="D25" s="193">
        <f t="shared" ref="D25:I25" si="5">+D22+D24</f>
        <v>0</v>
      </c>
      <c r="E25" s="195">
        <f t="shared" si="5"/>
        <v>0</v>
      </c>
      <c r="F25" s="193">
        <f t="shared" si="5"/>
        <v>0</v>
      </c>
      <c r="G25" s="193">
        <f t="shared" si="5"/>
        <v>0</v>
      </c>
      <c r="H25" s="193">
        <f t="shared" si="5"/>
        <v>0</v>
      </c>
      <c r="I25" s="193">
        <f t="shared" si="5"/>
        <v>0</v>
      </c>
      <c r="K25" s="190" t="s">
        <v>186</v>
      </c>
      <c r="L25" s="198"/>
      <c r="M25" s="218" t="s">
        <v>194</v>
      </c>
      <c r="T25" s="1708"/>
      <c r="U25" s="1713"/>
    </row>
    <row r="26" spans="1:21" s="124" customFormat="1" ht="13.5">
      <c r="A26" s="17" t="str">
        <f t="shared" si="0"/>
        <v>OVL</v>
      </c>
      <c r="B26" s="191" t="str">
        <f>IF('Mode Opératoire'!$I$1="Français",+'Cpte exploitation ARG'!K26,'Cpte exploitation ARG'!M26)</f>
        <v>% des ventes</v>
      </c>
      <c r="C26" s="199"/>
      <c r="D26" s="194">
        <f t="shared" ref="D26:I26" si="6">IF(D$19&lt;&gt;0,D25/D$19,0)</f>
        <v>0</v>
      </c>
      <c r="E26" s="196">
        <f t="shared" si="6"/>
        <v>0</v>
      </c>
      <c r="F26" s="194">
        <f t="shared" si="6"/>
        <v>0</v>
      </c>
      <c r="G26" s="194">
        <f t="shared" si="6"/>
        <v>0</v>
      </c>
      <c r="H26" s="194">
        <f t="shared" si="6"/>
        <v>0</v>
      </c>
      <c r="I26" s="194">
        <f t="shared" si="6"/>
        <v>0</v>
      </c>
      <c r="K26" s="191" t="s">
        <v>68</v>
      </c>
      <c r="L26" s="199"/>
      <c r="M26" s="236" t="s">
        <v>84</v>
      </c>
      <c r="T26" s="1709"/>
      <c r="U26" s="1714"/>
    </row>
    <row r="27" spans="1:21" ht="12.75" customHeight="1">
      <c r="A27" s="17" t="str">
        <f t="shared" si="0"/>
        <v>OVL</v>
      </c>
      <c r="B27" s="2379" t="str">
        <f>IF('Mode Opératoire'!$I$1="Français",+'Cpte exploitation ARG'!K27,'Cpte exploitation ARG'!M27)</f>
        <v>Salaires et Charges</v>
      </c>
      <c r="C27" s="2828" t="s">
        <v>547</v>
      </c>
      <c r="D27" s="1896"/>
      <c r="E27" s="1896"/>
      <c r="F27" s="1896"/>
      <c r="G27" s="1896"/>
      <c r="H27" s="1896"/>
      <c r="I27" s="1896"/>
      <c r="K27" s="208" t="s">
        <v>43</v>
      </c>
      <c r="L27" s="2825"/>
      <c r="M27" s="219" t="s">
        <v>85</v>
      </c>
      <c r="T27" s="1708"/>
      <c r="U27" s="1713"/>
    </row>
    <row r="28" spans="1:21">
      <c r="A28" s="17" t="str">
        <f t="shared" si="0"/>
        <v>OVL</v>
      </c>
      <c r="B28" s="2379" t="str">
        <f>IF('Mode Opératoire'!$I$1="Français",+'Cpte exploitation ARG'!K28,'Cpte exploitation ARG'!M28)</f>
        <v>Provisions pour primes</v>
      </c>
      <c r="C28" s="2829"/>
      <c r="D28" s="1896"/>
      <c r="E28" s="1896"/>
      <c r="F28" s="1896"/>
      <c r="G28" s="1896"/>
      <c r="H28" s="1896"/>
      <c r="I28" s="1896"/>
      <c r="K28" s="208" t="s">
        <v>480</v>
      </c>
      <c r="L28" s="2826"/>
      <c r="M28" s="219" t="s">
        <v>739</v>
      </c>
      <c r="T28" s="1708"/>
      <c r="U28" s="1713"/>
    </row>
    <row r="29" spans="1:21">
      <c r="A29" s="17" t="str">
        <f t="shared" si="0"/>
        <v>OVL</v>
      </c>
      <c r="B29" s="2379" t="str">
        <f>IF('Mode Opératoire'!$I$1="Français",+'Cpte exploitation ARG'!K29,'Cpte exploitation ARG'!M29)</f>
        <v>Frais d'embauche</v>
      </c>
      <c r="C29" s="2829"/>
      <c r="D29" s="1896"/>
      <c r="E29" s="1896"/>
      <c r="F29" s="1896"/>
      <c r="G29" s="1896"/>
      <c r="H29" s="1896"/>
      <c r="I29" s="1896"/>
      <c r="K29" s="208" t="s">
        <v>423</v>
      </c>
      <c r="L29" s="2826"/>
      <c r="M29" s="219" t="s">
        <v>227</v>
      </c>
      <c r="T29" s="1708"/>
      <c r="U29" s="1713"/>
    </row>
    <row r="30" spans="1:21">
      <c r="A30" s="17" t="str">
        <f t="shared" si="0"/>
        <v>OVL</v>
      </c>
      <c r="B30" s="2379" t="str">
        <f>IF('Mode Opératoire'!$I$1="Français",+'Cpte exploitation ARG'!K30,'Cpte exploitation ARG'!M30)</f>
        <v>Intérim</v>
      </c>
      <c r="C30" s="2829"/>
      <c r="D30" s="1896"/>
      <c r="E30" s="1896"/>
      <c r="F30" s="1896"/>
      <c r="G30" s="1896"/>
      <c r="H30" s="1896"/>
      <c r="I30" s="1896"/>
      <c r="K30" s="208" t="s">
        <v>76</v>
      </c>
      <c r="L30" s="2826"/>
      <c r="M30" s="219" t="s">
        <v>87</v>
      </c>
      <c r="T30" s="1708"/>
      <c r="U30" s="1713"/>
    </row>
    <row r="31" spans="1:21">
      <c r="A31" s="17" t="str">
        <f t="shared" si="0"/>
        <v>OVL</v>
      </c>
      <c r="B31" s="2379" t="str">
        <f>IF('Mode Opératoire'!$I$1="Français",+'Cpte exploitation ARG'!K31,'Cpte exploitation ARG'!M31)</f>
        <v xml:space="preserve">Formation </v>
      </c>
      <c r="C31" s="2829"/>
      <c r="D31" s="1896">
        <f t="shared" ref="D31:I31" si="7">(D27+D30)*1%</f>
        <v>0</v>
      </c>
      <c r="E31" s="1896">
        <f t="shared" si="7"/>
        <v>0</v>
      </c>
      <c r="F31" s="1896">
        <f t="shared" si="7"/>
        <v>0</v>
      </c>
      <c r="G31" s="1896">
        <f t="shared" si="7"/>
        <v>0</v>
      </c>
      <c r="H31" s="1896">
        <f t="shared" si="7"/>
        <v>0</v>
      </c>
      <c r="I31" s="1896">
        <f t="shared" si="7"/>
        <v>0</v>
      </c>
      <c r="K31" s="208" t="s">
        <v>86</v>
      </c>
      <c r="L31" s="2826"/>
      <c r="M31" s="219" t="s">
        <v>88</v>
      </c>
      <c r="T31" s="1708"/>
      <c r="U31" s="1713"/>
    </row>
    <row r="32" spans="1:21">
      <c r="A32" s="17" t="str">
        <f t="shared" si="0"/>
        <v>OVL</v>
      </c>
      <c r="B32" s="2379" t="str">
        <f>IF('Mode Opératoire'!$I$1="Français",+'Cpte exploitation ARG'!K32,'Cpte exploitation ARG'!M32)</f>
        <v>Cantine</v>
      </c>
      <c r="C32" s="2829"/>
      <c r="D32" s="1896"/>
      <c r="E32" s="1896"/>
      <c r="F32" s="1896"/>
      <c r="G32" s="1896"/>
      <c r="H32" s="1896"/>
      <c r="I32" s="1896"/>
      <c r="K32" s="208" t="s">
        <v>376</v>
      </c>
      <c r="L32" s="2826"/>
      <c r="M32" s="219" t="s">
        <v>376</v>
      </c>
      <c r="T32" s="1708"/>
      <c r="U32" s="1713"/>
    </row>
    <row r="33" spans="1:21">
      <c r="A33" s="17" t="str">
        <f t="shared" si="0"/>
        <v>OVL</v>
      </c>
      <c r="B33" s="2379" t="str">
        <f>IF('Mode Opératoire'!$I$1="Français",+'Cpte exploitation ARG'!K33,'Cpte exploitation ARG'!M33)</f>
        <v>Autres frais de personnel</v>
      </c>
      <c r="C33" s="2830"/>
      <c r="D33" s="1896"/>
      <c r="E33" s="1896"/>
      <c r="F33" s="1896"/>
      <c r="G33" s="1896"/>
      <c r="H33" s="1896"/>
      <c r="I33" s="1896"/>
      <c r="K33" s="208" t="s">
        <v>46</v>
      </c>
      <c r="L33" s="2827"/>
      <c r="M33" s="219" t="s">
        <v>103</v>
      </c>
      <c r="T33" s="1708"/>
      <c r="U33" s="1713"/>
    </row>
    <row r="34" spans="1:21">
      <c r="A34" s="17" t="str">
        <f t="shared" si="0"/>
        <v>OVL</v>
      </c>
      <c r="B34" s="2385" t="str">
        <f>IF('Mode Opératoire'!$I$1="Français",+'Cpte exploitation ARG'!K34,'Cpte exploitation ARG'!M34)</f>
        <v>Frais de personnel</v>
      </c>
      <c r="C34" s="234"/>
      <c r="D34" s="1068">
        <f t="shared" ref="D34:I34" si="8">SUM(D27:D33)</f>
        <v>0</v>
      </c>
      <c r="E34" s="1069">
        <f t="shared" si="8"/>
        <v>0</v>
      </c>
      <c r="F34" s="1068">
        <f t="shared" si="8"/>
        <v>0</v>
      </c>
      <c r="G34" s="1068">
        <f t="shared" si="8"/>
        <v>0</v>
      </c>
      <c r="H34" s="1068">
        <f t="shared" si="8"/>
        <v>0</v>
      </c>
      <c r="I34" s="1068">
        <f t="shared" si="8"/>
        <v>0</v>
      </c>
      <c r="K34" s="233" t="s">
        <v>117</v>
      </c>
      <c r="L34" s="234"/>
      <c r="M34" s="235" t="s">
        <v>89</v>
      </c>
      <c r="T34" s="1708"/>
      <c r="U34" s="1713"/>
    </row>
    <row r="35" spans="1:21">
      <c r="A35" s="17" t="str">
        <f t="shared" si="0"/>
        <v>OVL</v>
      </c>
      <c r="B35" s="2379" t="str">
        <f>IF('Mode Opératoire'!$I$1="Français",+'Cpte exploitation ARG'!K35,'Cpte exploitation ARG'!M35)</f>
        <v>Amortissements d'exploitation</v>
      </c>
      <c r="C35" s="862" t="s">
        <v>491</v>
      </c>
      <c r="D35" s="1894"/>
      <c r="E35" s="1894"/>
      <c r="F35" s="1894"/>
      <c r="G35" s="1894"/>
      <c r="H35" s="1894"/>
      <c r="I35" s="1894"/>
      <c r="K35" s="208" t="s">
        <v>128</v>
      </c>
      <c r="L35" s="222"/>
      <c r="M35" s="219" t="s">
        <v>104</v>
      </c>
      <c r="T35" s="1708"/>
      <c r="U35" s="1713"/>
    </row>
    <row r="36" spans="1:21" s="23" customFormat="1">
      <c r="A36" s="17" t="str">
        <f t="shared" si="0"/>
        <v>OVL</v>
      </c>
      <c r="B36" s="2379" t="str">
        <f>IF('Mode Opératoire'!$I$1="Français",+'Cpte exploitation ARG'!K36,'Cpte exploitation ARG'!M36)</f>
        <v>Location d'engins</v>
      </c>
      <c r="C36" s="862" t="s">
        <v>491</v>
      </c>
      <c r="D36" s="1895"/>
      <c r="E36" s="1897"/>
      <c r="F36" s="1895"/>
      <c r="G36" s="1895"/>
      <c r="H36" s="1895"/>
      <c r="I36" s="1895"/>
      <c r="K36" s="208" t="s">
        <v>47</v>
      </c>
      <c r="L36" s="222"/>
      <c r="M36" s="219" t="s">
        <v>105</v>
      </c>
      <c r="T36" s="1710"/>
      <c r="U36" s="1715"/>
    </row>
    <row r="37" spans="1:21">
      <c r="A37" s="17" t="str">
        <f t="shared" si="0"/>
        <v>OVL</v>
      </c>
      <c r="B37" s="2379" t="str">
        <f>IF('Mode Opératoire'!$I$1="Français",+'Cpte exploitation ARG'!K37,'Cpte exploitation ARG'!M37)</f>
        <v>Achat de petits matériels</v>
      </c>
      <c r="C37" s="862" t="s">
        <v>491</v>
      </c>
      <c r="D37" s="1895"/>
      <c r="E37" s="1897"/>
      <c r="F37" s="1895"/>
      <c r="G37" s="1895"/>
      <c r="H37" s="1895"/>
      <c r="I37" s="1895"/>
      <c r="J37" s="35"/>
      <c r="K37" s="208" t="s">
        <v>48</v>
      </c>
      <c r="L37" s="222"/>
      <c r="M37" s="219" t="s">
        <v>106</v>
      </c>
      <c r="T37" s="1708"/>
      <c r="U37" s="1713"/>
    </row>
    <row r="38" spans="1:21">
      <c r="A38" s="17" t="str">
        <f t="shared" si="0"/>
        <v>OVL</v>
      </c>
      <c r="B38" s="2379" t="str">
        <f>IF('Mode Opératoire'!$I$1="Français",+'Cpte exploitation ARG'!K38,'Cpte exploitation ARG'!M38)</f>
        <v>Eau / EDF</v>
      </c>
      <c r="C38" s="862" t="s">
        <v>491</v>
      </c>
      <c r="D38" s="1895"/>
      <c r="E38" s="1897"/>
      <c r="F38" s="1897"/>
      <c r="G38" s="1897"/>
      <c r="H38" s="1897"/>
      <c r="I38" s="1897"/>
      <c r="J38" s="35"/>
      <c r="K38" s="208" t="s">
        <v>364</v>
      </c>
      <c r="L38" s="222"/>
      <c r="M38" s="219" t="s">
        <v>737</v>
      </c>
      <c r="T38" s="1708"/>
      <c r="U38" s="1713"/>
    </row>
    <row r="39" spans="1:21">
      <c r="A39" s="17" t="str">
        <f t="shared" si="0"/>
        <v>OVL</v>
      </c>
      <c r="B39" s="2379" t="str">
        <f>IF('Mode Opératoire'!$I$1="Français",+'Cpte exploitation ARG'!K39,'Cpte exploitation ARG'!M39)</f>
        <v>Frais déplacement + frais annexes</v>
      </c>
      <c r="C39" s="862"/>
      <c r="D39" s="1896">
        <f>(VLOOKUP($A$27,'cost calculateur'!$E$44:$EA$65,86,FALSE)+VLOOKUP($A$27,'cost calculateur'!$E$44:$EA$65,92,FALSE)+VLOOKUP($A$27,'cost calculateur'!$E$44:$EA$65,110,FALSE))/1000</f>
        <v>0</v>
      </c>
      <c r="E39" s="1896">
        <f>(VLOOKUP($A$27,'cost calculateur'!$E$44:$EA$65,87,FALSE)+VLOOKUP($A$27,'cost calculateur'!$E$44:$EA$65,93,FALSE)+VLOOKUP($A$27,'cost calculateur'!$E$44:$EA$65,111,FALSE))/1000</f>
        <v>0</v>
      </c>
      <c r="F39" s="1896">
        <f>(VLOOKUP($A$27,'cost calculateur'!$E$44:$EA$65,88,FALSE)+VLOOKUP($A$27,'cost calculateur'!$E$44:$EA$65,94,FALSE)+VLOOKUP($A$27,'cost calculateur'!$E$44:$EA$65,112,FALSE))/1000</f>
        <v>0</v>
      </c>
      <c r="G39" s="1896">
        <f>(VLOOKUP($A$27,'cost calculateur'!$E$44:$EA$65,89,FALSE)+VLOOKUP($A$27,'cost calculateur'!$E$44:$EA$65,95,FALSE)+VLOOKUP($A$27,'cost calculateur'!$E$44:$EA$65,113,FALSE))/1000</f>
        <v>0</v>
      </c>
      <c r="H39" s="1896">
        <f>(VLOOKUP($A$27,'cost calculateur'!$E$44:$EA$65,90,FALSE)+VLOOKUP($A$27,'cost calculateur'!$E$44:$EA$65,96,FALSE)+VLOOKUP($A$27,'cost calculateur'!$E$44:$EA$65,114,FALSE))/1000</f>
        <v>0</v>
      </c>
      <c r="I39" s="1896">
        <f>(VLOOKUP($A$27,'cost calculateur'!$E$44:$EA$65,91,FALSE)+VLOOKUP($A$27,'cost calculateur'!$E$44:$EA$65,97,FALSE)+VLOOKUP($A$27,'cost calculateur'!$E$44:$EA$65,115,FALSE))/1000</f>
        <v>0</v>
      </c>
      <c r="J39" s="35"/>
      <c r="K39" s="208" t="s">
        <v>481</v>
      </c>
      <c r="L39" s="862"/>
      <c r="M39" s="1216" t="s">
        <v>738</v>
      </c>
      <c r="T39" s="1708"/>
      <c r="U39" s="1713"/>
    </row>
    <row r="40" spans="1:21">
      <c r="A40" s="17" t="str">
        <f t="shared" si="0"/>
        <v>OVL</v>
      </c>
      <c r="B40" s="2379" t="str">
        <f>IF('Mode Opératoire'!$I$1="Français",+'Cpte exploitation ARG'!K40,'Cpte exploitation ARG'!M40)</f>
        <v xml:space="preserve">Entretien et réparation </v>
      </c>
      <c r="C40" s="862" t="s">
        <v>491</v>
      </c>
      <c r="D40" s="1895"/>
      <c r="E40" s="1897"/>
      <c r="F40" s="1895"/>
      <c r="G40" s="1895"/>
      <c r="H40" s="1895"/>
      <c r="I40" s="1895"/>
      <c r="J40" s="35"/>
      <c r="K40" s="208" t="s">
        <v>49</v>
      </c>
      <c r="L40" s="222"/>
      <c r="M40" s="219" t="s">
        <v>107</v>
      </c>
      <c r="T40" s="1708"/>
      <c r="U40" s="1713"/>
    </row>
    <row r="41" spans="1:21">
      <c r="A41" s="17" t="str">
        <f t="shared" si="0"/>
        <v>OVL</v>
      </c>
      <c r="B41" s="2379" t="str">
        <f>IF('Mode Opératoire'!$I$1="Français",+'Cpte exploitation ARG'!K41,'Cpte exploitation ARG'!M41)</f>
        <v>Autres frais d'exploitation</v>
      </c>
      <c r="C41" s="862" t="s">
        <v>491</v>
      </c>
      <c r="D41" s="1898"/>
      <c r="E41" s="1897"/>
      <c r="F41" s="1895"/>
      <c r="G41" s="1895"/>
      <c r="H41" s="1895"/>
      <c r="I41" s="1895"/>
      <c r="K41" s="208" t="s">
        <v>50</v>
      </c>
      <c r="L41" s="222"/>
      <c r="M41" s="219" t="s">
        <v>108</v>
      </c>
      <c r="T41" s="1708"/>
      <c r="U41" s="1713"/>
    </row>
    <row r="42" spans="1:21">
      <c r="A42" s="17" t="str">
        <f t="shared" si="0"/>
        <v>OVL</v>
      </c>
      <c r="B42" s="233" t="str">
        <f>IF('Mode Opératoire'!$I$1="Français",+'Cpte exploitation ARG'!K42,'Cpte exploitation ARG'!M42)</f>
        <v>Autres frais d'exploitation</v>
      </c>
      <c r="C42" s="234"/>
      <c r="D42" s="1068">
        <f t="shared" ref="D42:I42" si="9">SUM(D35:D41)</f>
        <v>0</v>
      </c>
      <c r="E42" s="1069">
        <f t="shared" si="9"/>
        <v>0</v>
      </c>
      <c r="F42" s="1068">
        <f t="shared" si="9"/>
        <v>0</v>
      </c>
      <c r="G42" s="1068">
        <f t="shared" si="9"/>
        <v>0</v>
      </c>
      <c r="H42" s="1068">
        <f t="shared" si="9"/>
        <v>0</v>
      </c>
      <c r="I42" s="1068">
        <f t="shared" si="9"/>
        <v>0</v>
      </c>
      <c r="K42" s="233" t="s">
        <v>50</v>
      </c>
      <c r="L42" s="234"/>
      <c r="M42" s="235" t="s">
        <v>90</v>
      </c>
      <c r="T42" s="1708"/>
      <c r="U42" s="1713"/>
    </row>
    <row r="43" spans="1:21">
      <c r="A43" s="17" t="str">
        <f t="shared" si="0"/>
        <v>OVL</v>
      </c>
      <c r="B43" s="2379" t="str">
        <f>IF('Mode Opératoire'!$I$1="Français",+'Cpte exploitation ARG'!K43,'Cpte exploitation ARG'!M43)</f>
        <v>Amortissements agence</v>
      </c>
      <c r="C43" s="862" t="s">
        <v>491</v>
      </c>
      <c r="D43" s="1895"/>
      <c r="E43" s="1897"/>
      <c r="F43" s="1895"/>
      <c r="G43" s="1895"/>
      <c r="H43" s="1895"/>
      <c r="I43" s="1895"/>
      <c r="J43" s="35"/>
      <c r="K43" s="208" t="s">
        <v>129</v>
      </c>
      <c r="L43" s="222"/>
      <c r="M43" s="219" t="s">
        <v>109</v>
      </c>
      <c r="T43" s="1708"/>
      <c r="U43" s="1713"/>
    </row>
    <row r="44" spans="1:21">
      <c r="A44" s="17" t="str">
        <f t="shared" si="0"/>
        <v>OVL</v>
      </c>
      <c r="B44" s="2379" t="str">
        <f>IF('Mode Opératoire'!$I$1="Français",+'Cpte exploitation ARG'!K44,'Cpte exploitation ARG'!M44)</f>
        <v>Entretien Batiments</v>
      </c>
      <c r="C44" s="862" t="s">
        <v>491</v>
      </c>
      <c r="D44" s="1895"/>
      <c r="E44" s="1897"/>
      <c r="F44" s="1895"/>
      <c r="G44" s="1895"/>
      <c r="H44" s="1895"/>
      <c r="I44" s="1895"/>
      <c r="K44" s="208" t="s">
        <v>51</v>
      </c>
      <c r="L44" s="222"/>
      <c r="M44" s="219" t="s">
        <v>110</v>
      </c>
      <c r="T44" s="1708"/>
      <c r="U44" s="1713"/>
    </row>
    <row r="45" spans="1:21">
      <c r="A45" s="17" t="str">
        <f t="shared" si="0"/>
        <v>OVL</v>
      </c>
      <c r="B45" s="2379" t="str">
        <f>IF('Mode Opératoire'!$I$1="Français",+'Cpte exploitation ARG'!K45,'Cpte exploitation ARG'!M45)</f>
        <v>Loyer</v>
      </c>
      <c r="C45" s="862" t="s">
        <v>491</v>
      </c>
      <c r="D45" s="1895"/>
      <c r="E45" s="1897"/>
      <c r="F45" s="1895"/>
      <c r="G45" s="1895"/>
      <c r="H45" s="1895"/>
      <c r="I45" s="1895"/>
      <c r="K45" s="208" t="s">
        <v>23</v>
      </c>
      <c r="L45" s="222"/>
      <c r="M45" s="219" t="s">
        <v>111</v>
      </c>
      <c r="T45" s="1708"/>
      <c r="U45" s="1713"/>
    </row>
    <row r="46" spans="1:21">
      <c r="A46" s="17" t="str">
        <f t="shared" si="0"/>
        <v>OVL</v>
      </c>
      <c r="B46" s="2379" t="str">
        <f>IF('Mode Opératoire'!$I$1="Français",+'Cpte exploitation ARG'!K46,'Cpte exploitation ARG'!M46)</f>
        <v>Coût de transfert</v>
      </c>
      <c r="C46" s="862" t="s">
        <v>491</v>
      </c>
      <c r="D46" s="1895"/>
      <c r="E46" s="1897"/>
      <c r="F46" s="1895"/>
      <c r="G46" s="1895"/>
      <c r="H46" s="1895"/>
      <c r="I46" s="1895"/>
      <c r="K46" s="208" t="s">
        <v>652</v>
      </c>
      <c r="L46" s="222"/>
      <c r="M46" s="219" t="s">
        <v>735</v>
      </c>
      <c r="T46" s="1708"/>
      <c r="U46" s="1713"/>
    </row>
    <row r="47" spans="1:21">
      <c r="A47" s="17" t="str">
        <f t="shared" si="0"/>
        <v>OVL</v>
      </c>
      <c r="B47" s="2379" t="str">
        <f>IF('Mode Opératoire'!$I$1="Français",+'Cpte exploitation ARG'!K47,'Cpte exploitation ARG'!M47)</f>
        <v>Locations diverses (hors immobilière)</v>
      </c>
      <c r="C47" s="862" t="s">
        <v>491</v>
      </c>
      <c r="D47" s="1895"/>
      <c r="E47" s="1897"/>
      <c r="F47" s="1895"/>
      <c r="G47" s="1895"/>
      <c r="H47" s="1895"/>
      <c r="I47" s="1895"/>
      <c r="K47" s="208" t="s">
        <v>641</v>
      </c>
      <c r="L47" s="222"/>
      <c r="M47" s="219" t="s">
        <v>736</v>
      </c>
      <c r="T47" s="1708"/>
      <c r="U47" s="1713"/>
    </row>
    <row r="48" spans="1:21">
      <c r="A48" s="17" t="str">
        <f t="shared" si="0"/>
        <v>OVL</v>
      </c>
      <c r="B48" s="2379" t="str">
        <f>IF('Mode Opératoire'!$I$1="Français",+'Cpte exploitation ARG'!K48,'Cpte exploitation ARG'!M48)</f>
        <v>Honoraires</v>
      </c>
      <c r="C48" s="862" t="s">
        <v>491</v>
      </c>
      <c r="D48" s="1895"/>
      <c r="E48" s="1897"/>
      <c r="F48" s="1895"/>
      <c r="G48" s="1895"/>
      <c r="H48" s="1895"/>
      <c r="I48" s="1895"/>
      <c r="J48" s="1020" t="s">
        <v>1337</v>
      </c>
      <c r="K48" s="208" t="s">
        <v>77</v>
      </c>
      <c r="L48" s="222"/>
      <c r="M48" s="219" t="s">
        <v>112</v>
      </c>
      <c r="T48" s="1708"/>
      <c r="U48" s="1713"/>
    </row>
    <row r="49" spans="1:21">
      <c r="A49" s="17" t="str">
        <f t="shared" si="0"/>
        <v>OVL</v>
      </c>
      <c r="B49" s="2379" t="str">
        <f>IF('Mode Opératoire'!$I$1="Français",+'Cpte exploitation ARG'!K49,'Cpte exploitation ARG'!M49)</f>
        <v>Autres frais de structure</v>
      </c>
      <c r="C49" s="862" t="s">
        <v>491</v>
      </c>
      <c r="D49" s="1895"/>
      <c r="E49" s="1897"/>
      <c r="F49" s="1895"/>
      <c r="G49" s="1895"/>
      <c r="H49" s="1895"/>
      <c r="I49" s="1895"/>
      <c r="K49" s="208" t="s">
        <v>52</v>
      </c>
      <c r="L49" s="222"/>
      <c r="M49" s="219" t="s">
        <v>91</v>
      </c>
      <c r="T49" s="1708"/>
      <c r="U49" s="1713"/>
    </row>
    <row r="50" spans="1:21">
      <c r="A50" s="17" t="str">
        <f t="shared" si="0"/>
        <v>OVL</v>
      </c>
      <c r="B50" s="2385" t="str">
        <f>IF('Mode Opératoire'!$I$1="Français",+'Cpte exploitation ARG'!K50,'Cpte exploitation ARG'!M50)</f>
        <v>Frais d'agence</v>
      </c>
      <c r="C50" s="2386"/>
      <c r="D50" s="1063">
        <f t="shared" ref="D50:I50" si="10">SUM(D43:D49)</f>
        <v>0</v>
      </c>
      <c r="E50" s="1063">
        <f t="shared" si="10"/>
        <v>0</v>
      </c>
      <c r="F50" s="1063">
        <f t="shared" si="10"/>
        <v>0</v>
      </c>
      <c r="G50" s="1063">
        <f t="shared" si="10"/>
        <v>0</v>
      </c>
      <c r="H50" s="1063">
        <f t="shared" si="10"/>
        <v>0</v>
      </c>
      <c r="I50" s="1063">
        <f t="shared" si="10"/>
        <v>0</v>
      </c>
      <c r="K50" s="233" t="s">
        <v>119</v>
      </c>
      <c r="L50" s="234"/>
      <c r="M50" s="235" t="s">
        <v>92</v>
      </c>
      <c r="T50" s="1708"/>
      <c r="U50" s="1713"/>
    </row>
    <row r="51" spans="1:21">
      <c r="A51" s="17" t="str">
        <f t="shared" si="0"/>
        <v>OVL</v>
      </c>
      <c r="B51" s="2387" t="str">
        <f>IF('Mode Opératoire'!$I$1="Français",+'Cpte exploitation ARG'!K51,'Cpte exploitation ARG'!M51)</f>
        <v>Dépréciation de créances douteuses</v>
      </c>
      <c r="C51" s="1075"/>
      <c r="D51" s="1074"/>
      <c r="E51" s="1074"/>
      <c r="F51" s="1074"/>
      <c r="G51" s="1074"/>
      <c r="H51" s="1074"/>
      <c r="I51" s="1074"/>
      <c r="K51" s="209" t="s">
        <v>188</v>
      </c>
      <c r="L51" s="223"/>
      <c r="M51" s="232" t="s">
        <v>198</v>
      </c>
      <c r="T51" s="1708"/>
      <c r="U51" s="1713"/>
    </row>
    <row r="52" spans="1:21">
      <c r="A52" s="17" t="str">
        <f t="shared" si="0"/>
        <v>OVL</v>
      </c>
      <c r="B52" s="2388" t="str">
        <f>IF('Mode Opératoire'!$I$1="Français",+'Cpte exploitation ARG'!K52,'Cpte exploitation ARG'!M52)</f>
        <v xml:space="preserve">Frais opérationnels </v>
      </c>
      <c r="C52" s="2389"/>
      <c r="D52" s="1072">
        <f>+D50+D42+D34+D51</f>
        <v>0</v>
      </c>
      <c r="E52" s="1072">
        <f t="shared" ref="E52:I52" si="11">+E50+E42+E34+E51</f>
        <v>0</v>
      </c>
      <c r="F52" s="1072">
        <f t="shared" si="11"/>
        <v>0</v>
      </c>
      <c r="G52" s="1072">
        <f t="shared" si="11"/>
        <v>0</v>
      </c>
      <c r="H52" s="1072">
        <f t="shared" si="11"/>
        <v>0</v>
      </c>
      <c r="I52" s="1072">
        <f t="shared" si="11"/>
        <v>0</v>
      </c>
      <c r="J52" s="451"/>
      <c r="K52" s="210" t="s">
        <v>135</v>
      </c>
      <c r="L52" s="211"/>
      <c r="M52" s="230" t="s">
        <v>93</v>
      </c>
      <c r="T52" s="1708"/>
      <c r="U52" s="1713"/>
    </row>
    <row r="53" spans="1:21">
      <c r="A53" s="17" t="str">
        <f t="shared" si="0"/>
        <v>OVL</v>
      </c>
      <c r="B53" s="2390" t="str">
        <f>IF('Mode Opératoire'!$I$1="Français",+'Cpte exploitation ARG'!K53,'Cpte exploitation ARG'!M53)</f>
        <v>% des ventes</v>
      </c>
      <c r="C53" s="2391"/>
      <c r="D53" s="1073">
        <f t="shared" ref="D53:I53" si="12">IF(D19&lt;&gt;0,D52/D$19,0)</f>
        <v>0</v>
      </c>
      <c r="E53" s="1073">
        <f t="shared" si="12"/>
        <v>0</v>
      </c>
      <c r="F53" s="1073">
        <f t="shared" si="12"/>
        <v>0</v>
      </c>
      <c r="G53" s="1073">
        <f t="shared" si="12"/>
        <v>0</v>
      </c>
      <c r="H53" s="1073">
        <f t="shared" si="12"/>
        <v>0</v>
      </c>
      <c r="I53" s="1073">
        <f t="shared" si="12"/>
        <v>0</v>
      </c>
      <c r="K53" s="212" t="s">
        <v>68</v>
      </c>
      <c r="L53" s="213"/>
      <c r="M53" s="231" t="s">
        <v>84</v>
      </c>
      <c r="T53" s="1708"/>
      <c r="U53" s="1713"/>
    </row>
    <row r="54" spans="1:21">
      <c r="A54" s="17" t="str">
        <f t="shared" si="0"/>
        <v>OVL</v>
      </c>
      <c r="B54" s="190" t="str">
        <f>IF('Mode Opératoire'!$I$1="Français",+'Cpte exploitation ARG'!K54,'Cpte exploitation ARG'!M54)</f>
        <v>Marge sur Coûts Directs</v>
      </c>
      <c r="C54" s="198"/>
      <c r="D54" s="226">
        <f>+D25+D52</f>
        <v>0</v>
      </c>
      <c r="E54" s="226">
        <f t="shared" ref="E54:I54" si="13">+E25+E52</f>
        <v>0</v>
      </c>
      <c r="F54" s="226">
        <f t="shared" si="13"/>
        <v>0</v>
      </c>
      <c r="G54" s="226">
        <f t="shared" si="13"/>
        <v>0</v>
      </c>
      <c r="H54" s="226">
        <f t="shared" si="13"/>
        <v>0</v>
      </c>
      <c r="I54" s="226">
        <f t="shared" si="13"/>
        <v>0</v>
      </c>
      <c r="K54" s="190" t="s">
        <v>953</v>
      </c>
      <c r="L54" s="198"/>
      <c r="M54" s="218" t="s">
        <v>954</v>
      </c>
      <c r="T54" s="1708"/>
      <c r="U54" s="1713"/>
    </row>
    <row r="55" spans="1:21">
      <c r="A55" s="17" t="str">
        <f t="shared" si="0"/>
        <v>OVL</v>
      </c>
      <c r="B55" s="214" t="str">
        <f>IF('Mode Opératoire'!$I$1="Français",+'Cpte exploitation ARG'!K55,'Cpte exploitation ARG'!M55)</f>
        <v>% des ventes</v>
      </c>
      <c r="C55" s="224"/>
      <c r="D55" s="221">
        <f t="shared" ref="D55:I55" si="14">IF(D$19&lt;&gt;0,D54/D$19,0)</f>
        <v>0</v>
      </c>
      <c r="E55" s="221">
        <f t="shared" si="14"/>
        <v>0</v>
      </c>
      <c r="F55" s="221">
        <f t="shared" si="14"/>
        <v>0</v>
      </c>
      <c r="G55" s="221">
        <f t="shared" si="14"/>
        <v>0</v>
      </c>
      <c r="H55" s="221">
        <f t="shared" si="14"/>
        <v>0</v>
      </c>
      <c r="I55" s="221">
        <f t="shared" si="14"/>
        <v>0</v>
      </c>
      <c r="K55" s="214" t="s">
        <v>68</v>
      </c>
      <c r="L55" s="224"/>
      <c r="M55" s="220" t="s">
        <v>84</v>
      </c>
      <c r="T55" s="1708"/>
      <c r="U55" s="1713"/>
    </row>
    <row r="56" spans="1:21">
      <c r="A56" s="17" t="str">
        <f>+$H$6&amp;"opé"</f>
        <v>OVLopé</v>
      </c>
      <c r="B56" s="215" t="str">
        <f>IF('Mode Opératoire'!$I$1="Français",+'Cpte exploitation ARG'!K56,'Cpte exploitation ARG'!M56)</f>
        <v>Frais de Siège opérationnel</v>
      </c>
      <c r="C56" s="1893">
        <f>VLOOKUP(A56,'Quote part frais'!L5:M95,2,FALSE)</f>
        <v>-3.1326589550222016E-2</v>
      </c>
      <c r="D56" s="1064">
        <f>ROUND($C$56*D19,0)</f>
        <v>0</v>
      </c>
      <c r="E56" s="1064">
        <f t="shared" ref="E56:I56" si="15">ROUND($C$56*E19,0)</f>
        <v>0</v>
      </c>
      <c r="F56" s="1064">
        <f t="shared" si="15"/>
        <v>0</v>
      </c>
      <c r="G56" s="1064">
        <f t="shared" si="15"/>
        <v>0</v>
      </c>
      <c r="H56" s="1064">
        <f t="shared" si="15"/>
        <v>0</v>
      </c>
      <c r="I56" s="1064">
        <f t="shared" si="15"/>
        <v>0</v>
      </c>
      <c r="K56" s="215" t="s">
        <v>955</v>
      </c>
      <c r="L56" s="237" t="str">
        <f>IF(SUM(M15:R15)=0,"-",AVERAGE((SUM(M56:R56)/SUM(M15:R15))))</f>
        <v>-</v>
      </c>
      <c r="M56" s="1697" t="s">
        <v>957</v>
      </c>
      <c r="T56" s="1708" t="s">
        <v>983</v>
      </c>
      <c r="U56" s="1713" t="s">
        <v>992</v>
      </c>
    </row>
    <row r="57" spans="1:21">
      <c r="A57" s="17" t="str">
        <f t="shared" si="0"/>
        <v>OVL</v>
      </c>
      <c r="B57" s="216" t="str">
        <f>IF('Mode Opératoire'!$I$1="Français",+'Cpte exploitation ARG'!K57,'Cpte exploitation ARG'!M57)</f>
        <v>% des ventes</v>
      </c>
      <c r="C57" s="217"/>
      <c r="D57" s="1066">
        <f>IF(D19&lt;&gt;0,D56/D$19,0)</f>
        <v>0</v>
      </c>
      <c r="E57" s="1066">
        <f t="shared" ref="E57:I57" si="16">IF(E19&lt;&gt;0,E56/E$19,0)</f>
        <v>0</v>
      </c>
      <c r="F57" s="1066">
        <f t="shared" si="16"/>
        <v>0</v>
      </c>
      <c r="G57" s="1066">
        <f t="shared" si="16"/>
        <v>0</v>
      </c>
      <c r="H57" s="1066">
        <f t="shared" si="16"/>
        <v>0</v>
      </c>
      <c r="I57" s="1066">
        <f t="shared" si="16"/>
        <v>0</v>
      </c>
      <c r="K57" s="216" t="s">
        <v>68</v>
      </c>
      <c r="L57" s="217"/>
      <c r="M57" s="1697"/>
      <c r="T57" s="1708"/>
      <c r="U57" s="1713"/>
    </row>
    <row r="58" spans="1:21">
      <c r="A58" s="17" t="str">
        <f t="shared" si="0"/>
        <v>OVL</v>
      </c>
      <c r="B58" s="190" t="str">
        <f>IF('Mode Opératoire'!$I$1="Français",+'Cpte exploitation ARG'!K58,'Cpte exploitation ARG'!M58)</f>
        <v>Résultat d'activité</v>
      </c>
      <c r="C58" s="198"/>
      <c r="D58" s="226">
        <f>+D54+D56</f>
        <v>0</v>
      </c>
      <c r="E58" s="226">
        <f t="shared" ref="E58:I58" si="17">+E54+E56</f>
        <v>0</v>
      </c>
      <c r="F58" s="226">
        <f t="shared" si="17"/>
        <v>0</v>
      </c>
      <c r="G58" s="226">
        <f t="shared" si="17"/>
        <v>0</v>
      </c>
      <c r="H58" s="226">
        <f t="shared" si="17"/>
        <v>0</v>
      </c>
      <c r="I58" s="226">
        <f t="shared" si="17"/>
        <v>0</v>
      </c>
      <c r="K58" s="190" t="s">
        <v>187</v>
      </c>
      <c r="L58" s="198"/>
      <c r="M58" s="218" t="s">
        <v>195</v>
      </c>
      <c r="T58" s="1708"/>
      <c r="U58" s="1713"/>
    </row>
    <row r="59" spans="1:21">
      <c r="A59" s="17" t="str">
        <f t="shared" si="0"/>
        <v>OVL</v>
      </c>
      <c r="B59" s="214" t="str">
        <f>IF('Mode Opératoire'!$I$1="Français",+'Cpte exploitation ARG'!K59,'Cpte exploitation ARG'!M59)</f>
        <v>% des ventes</v>
      </c>
      <c r="C59" s="224"/>
      <c r="D59" s="221">
        <f t="shared" ref="D59:I59" si="18">IF(D$19&lt;&gt;0,D58/D$19,0)</f>
        <v>0</v>
      </c>
      <c r="E59" s="221">
        <f t="shared" si="18"/>
        <v>0</v>
      </c>
      <c r="F59" s="221">
        <f t="shared" si="18"/>
        <v>0</v>
      </c>
      <c r="G59" s="221">
        <f t="shared" si="18"/>
        <v>0</v>
      </c>
      <c r="H59" s="221">
        <f t="shared" si="18"/>
        <v>0</v>
      </c>
      <c r="I59" s="221">
        <f t="shared" si="18"/>
        <v>0</v>
      </c>
      <c r="K59" s="214" t="s">
        <v>68</v>
      </c>
      <c r="L59" s="224"/>
      <c r="M59" s="220" t="s">
        <v>84</v>
      </c>
      <c r="T59" s="1708"/>
      <c r="U59" s="1713"/>
    </row>
    <row r="60" spans="1:21" s="20" customFormat="1">
      <c r="A60" s="17" t="str">
        <f>+$H$6&amp;"HQ"</f>
        <v>OVLHQ</v>
      </c>
      <c r="B60" s="215" t="str">
        <f>IF('Mode Opératoire'!$I$1="Français",+'Cpte exploitation ARG'!K60,'Cpte exploitation ARG'!M60)</f>
        <v>Frais Groupe</v>
      </c>
      <c r="C60" s="237">
        <f>VLOOKUP(A60,'Quote part frais'!L6:M95,2,FALSE)</f>
        <v>-4.7767725370034049E-2</v>
      </c>
      <c r="D60" s="1064">
        <f>ROUND($C$60*D19,0)</f>
        <v>0</v>
      </c>
      <c r="E60" s="1064">
        <f t="shared" ref="E60:I60" si="19">ROUND($C$60*E19,0)</f>
        <v>0</v>
      </c>
      <c r="F60" s="1064">
        <f t="shared" si="19"/>
        <v>0</v>
      </c>
      <c r="G60" s="1064">
        <f t="shared" si="19"/>
        <v>0</v>
      </c>
      <c r="H60" s="1064">
        <f t="shared" si="19"/>
        <v>0</v>
      </c>
      <c r="I60" s="1064">
        <f t="shared" si="19"/>
        <v>0</v>
      </c>
      <c r="K60" s="215" t="s">
        <v>956</v>
      </c>
      <c r="L60" s="237" t="str">
        <f>IF(SUM(M19:R19)=0,"-",AVERAGE((SUM(M60:R60)/SUM(M19:R19))))</f>
        <v>-</v>
      </c>
      <c r="M60" s="228" t="s">
        <v>958</v>
      </c>
      <c r="T60" s="1708" t="s">
        <v>984</v>
      </c>
      <c r="U60" s="1713" t="s">
        <v>993</v>
      </c>
    </row>
    <row r="61" spans="1:21" s="20" customFormat="1">
      <c r="A61" s="17" t="str">
        <f t="shared" si="0"/>
        <v>OVL</v>
      </c>
      <c r="B61" s="216" t="str">
        <f>IF('Mode Opératoire'!$I$1="Français",+'Cpte exploitation ARG'!K61,'Cpte exploitation ARG'!M61)</f>
        <v>% des ventes</v>
      </c>
      <c r="C61" s="217"/>
      <c r="D61" s="1066">
        <f t="shared" ref="D61:I61" si="20">IF(D19&lt;&gt;0,D60/D$19,0)</f>
        <v>0</v>
      </c>
      <c r="E61" s="1066">
        <f t="shared" si="20"/>
        <v>0</v>
      </c>
      <c r="F61" s="1066">
        <f t="shared" si="20"/>
        <v>0</v>
      </c>
      <c r="G61" s="1066">
        <f t="shared" si="20"/>
        <v>0</v>
      </c>
      <c r="H61" s="1066">
        <f t="shared" si="20"/>
        <v>0</v>
      </c>
      <c r="I61" s="1066">
        <f t="shared" si="20"/>
        <v>0</v>
      </c>
      <c r="K61" s="216" t="s">
        <v>68</v>
      </c>
      <c r="L61" s="217"/>
      <c r="M61" s="229" t="s">
        <v>84</v>
      </c>
      <c r="T61" s="1708"/>
      <c r="U61" s="1713"/>
    </row>
    <row r="62" spans="1:21" s="20" customFormat="1">
      <c r="A62" s="17" t="str">
        <f>+$H$6&amp;"HQ"</f>
        <v>OVLHQ</v>
      </c>
      <c r="B62" s="215" t="s">
        <v>1388</v>
      </c>
      <c r="C62" s="237"/>
      <c r="D62" s="1064">
        <f>-1.25%*SUM(D15:D18)-1.75%*D14</f>
        <v>0</v>
      </c>
      <c r="E62" s="1064">
        <f t="shared" ref="E62:I62" si="21">-1.25%*SUM(E15:E18)-1.75%*E14</f>
        <v>0</v>
      </c>
      <c r="F62" s="1064">
        <f t="shared" si="21"/>
        <v>0</v>
      </c>
      <c r="G62" s="1064">
        <f t="shared" si="21"/>
        <v>0</v>
      </c>
      <c r="H62" s="1064">
        <f t="shared" si="21"/>
        <v>0</v>
      </c>
      <c r="I62" s="1064">
        <f t="shared" si="21"/>
        <v>0</v>
      </c>
      <c r="K62" s="215" t="s">
        <v>956</v>
      </c>
      <c r="L62" s="237" t="str">
        <f>IF(SUM(M21:R21)=0,"-",AVERAGE((SUM(M62:R62)/SUM(M21:R21))))</f>
        <v>-</v>
      </c>
      <c r="M62" s="228" t="s">
        <v>958</v>
      </c>
      <c r="T62" s="1708" t="s">
        <v>984</v>
      </c>
      <c r="U62" s="1713" t="s">
        <v>993</v>
      </c>
    </row>
    <row r="63" spans="1:21" s="20" customFormat="1">
      <c r="A63" s="17" t="str">
        <f t="shared" si="0"/>
        <v>OVL</v>
      </c>
      <c r="B63" s="216" t="str">
        <f>IF('Mode Opératoire'!$I$1="Français",+'Cpte exploitation ARG'!K63,'Cpte exploitation ARG'!M63)</f>
        <v>% des ventes</v>
      </c>
      <c r="C63" s="217"/>
      <c r="D63" s="1066">
        <f t="shared" ref="D63:I63" si="22">IF(D19&lt;&gt;0,D62/D$19,0)</f>
        <v>0</v>
      </c>
      <c r="E63" s="1066">
        <f t="shared" si="22"/>
        <v>0</v>
      </c>
      <c r="F63" s="1066">
        <f t="shared" si="22"/>
        <v>0</v>
      </c>
      <c r="G63" s="1066">
        <f t="shared" si="22"/>
        <v>0</v>
      </c>
      <c r="H63" s="1066">
        <f t="shared" si="22"/>
        <v>0</v>
      </c>
      <c r="I63" s="1066">
        <f t="shared" si="22"/>
        <v>0</v>
      </c>
      <c r="K63" s="216" t="s">
        <v>68</v>
      </c>
      <c r="L63" s="217"/>
      <c r="M63" s="229" t="s">
        <v>84</v>
      </c>
      <c r="T63" s="1708"/>
      <c r="U63" s="1713"/>
    </row>
    <row r="64" spans="1:21">
      <c r="A64" s="17" t="str">
        <f t="shared" si="0"/>
        <v>OVL</v>
      </c>
      <c r="B64" s="190" t="str">
        <f>IF('Mode Opératoire'!$I$1="Français",+'Cpte exploitation ARG'!K64,'Cpte exploitation ARG'!M64)</f>
        <v>Résultat Opérationnel Courant</v>
      </c>
      <c r="C64" s="198"/>
      <c r="D64" s="226">
        <f>+D58+D60+D62</f>
        <v>0</v>
      </c>
      <c r="E64" s="226">
        <f t="shared" ref="E64:I64" si="23">+E58+E60+E62</f>
        <v>0</v>
      </c>
      <c r="F64" s="226">
        <f t="shared" si="23"/>
        <v>0</v>
      </c>
      <c r="G64" s="226">
        <f t="shared" si="23"/>
        <v>0</v>
      </c>
      <c r="H64" s="226">
        <f t="shared" si="23"/>
        <v>0</v>
      </c>
      <c r="I64" s="226">
        <f t="shared" si="23"/>
        <v>0</v>
      </c>
      <c r="K64" s="190" t="s">
        <v>148</v>
      </c>
      <c r="L64" s="198"/>
      <c r="M64" s="218" t="s">
        <v>94</v>
      </c>
      <c r="T64" s="1708"/>
      <c r="U64" s="1713"/>
    </row>
    <row r="65" spans="1:21">
      <c r="A65" s="17" t="str">
        <f t="shared" si="0"/>
        <v>OVL</v>
      </c>
      <c r="B65" s="214" t="str">
        <f>IF('Mode Opératoire'!$I$1="Français",+'Cpte exploitation ARG'!K65,'Cpte exploitation ARG'!M65)</f>
        <v>% des ventes</v>
      </c>
      <c r="C65" s="224"/>
      <c r="D65" s="221">
        <f t="shared" ref="D65:I65" si="24">IF(D$19&lt;&gt;0,D64/D$19,0)</f>
        <v>0</v>
      </c>
      <c r="E65" s="221">
        <f t="shared" si="24"/>
        <v>0</v>
      </c>
      <c r="F65" s="221">
        <f t="shared" si="24"/>
        <v>0</v>
      </c>
      <c r="G65" s="221">
        <f t="shared" si="24"/>
        <v>0</v>
      </c>
      <c r="H65" s="221">
        <f t="shared" si="24"/>
        <v>0</v>
      </c>
      <c r="I65" s="221">
        <f t="shared" si="24"/>
        <v>0</v>
      </c>
      <c r="K65" s="214" t="s">
        <v>68</v>
      </c>
      <c r="L65" s="224"/>
      <c r="M65" s="220" t="s">
        <v>84</v>
      </c>
      <c r="T65" s="1708"/>
      <c r="U65" s="1713"/>
    </row>
    <row r="66" spans="1:21">
      <c r="B66" s="75"/>
      <c r="C66" s="75"/>
      <c r="D66" s="76"/>
      <c r="E66" s="76"/>
      <c r="F66" s="76"/>
      <c r="G66" s="76"/>
      <c r="H66" s="76"/>
      <c r="I66" s="76"/>
      <c r="K66" s="75"/>
      <c r="L66" s="75"/>
      <c r="M66" s="75"/>
      <c r="T66" s="1708"/>
      <c r="U66" s="1713"/>
    </row>
    <row r="67" spans="1:21">
      <c r="B67" s="830"/>
      <c r="C67" s="830"/>
      <c r="D67" s="892"/>
      <c r="E67" s="892"/>
      <c r="F67" s="892"/>
      <c r="G67" s="892"/>
      <c r="H67" s="892"/>
      <c r="I67" s="892"/>
      <c r="K67" s="21"/>
      <c r="L67" s="21"/>
      <c r="M67" s="21"/>
      <c r="T67" s="1708"/>
      <c r="U67" s="1713"/>
    </row>
    <row r="68" spans="1:21">
      <c r="B68" s="45" t="str">
        <f>IF('Mode Opératoire'!$I$1="Français",+'Cpte exploitation ARG'!K68,'Cpte exploitation ARG'!M68)</f>
        <v>Effectifs opérationnels fin d'année</v>
      </c>
      <c r="C68" s="140"/>
      <c r="D68" s="44"/>
      <c r="E68" s="44"/>
      <c r="F68" s="44"/>
      <c r="G68" s="44"/>
      <c r="H68" s="44"/>
      <c r="I68" s="44"/>
      <c r="K68" s="45" t="s">
        <v>121</v>
      </c>
      <c r="L68" s="140"/>
      <c r="M68" s="49"/>
      <c r="T68" s="1708"/>
      <c r="U68" s="1713"/>
    </row>
    <row r="69" spans="1:21">
      <c r="A69" s="17" t="str">
        <f>+$H$6</f>
        <v>OVL</v>
      </c>
      <c r="B69" s="2378" t="str">
        <f>IF('Mode Opératoire'!$I$1="Français",+'Cpte exploitation ARG'!K69,'Cpte exploitation ARG'!M69)</f>
        <v>Inscrits (ETP)</v>
      </c>
      <c r="C69" s="1076"/>
      <c r="D69" s="1899">
        <f>(VLOOKUP($A$27,'cost calculateur'!$E$44:$EA$65,12,FALSE))</f>
        <v>0</v>
      </c>
      <c r="E69" s="1899">
        <f>(VLOOKUP($A$27,'cost calculateur'!$E$44:$EA$65,13,FALSE))</f>
        <v>0</v>
      </c>
      <c r="F69" s="1899">
        <f>(VLOOKUP($A$27,'cost calculateur'!$E$44:$EA$65,14,FALSE))</f>
        <v>0</v>
      </c>
      <c r="G69" s="1899">
        <f>(VLOOKUP($A$27,'cost calculateur'!$E$44:$EA$65,15,FALSE))</f>
        <v>0</v>
      </c>
      <c r="H69" s="1899">
        <f>(VLOOKUP($A$27,'cost calculateur'!$E$44:$EA$65,16,FALSE))</f>
        <v>0</v>
      </c>
      <c r="I69" s="1900">
        <f>(VLOOKUP($A$27,'cost calculateur'!$E$44:$EA$65,16,FALSE))</f>
        <v>0</v>
      </c>
      <c r="J69" s="452"/>
      <c r="K69" s="207" t="s">
        <v>122</v>
      </c>
      <c r="L69" s="828"/>
      <c r="M69" s="245" t="s">
        <v>102</v>
      </c>
      <c r="T69" s="1708"/>
      <c r="U69" s="1713" t="s">
        <v>973</v>
      </c>
    </row>
    <row r="70" spans="1:21">
      <c r="A70" s="17" t="str">
        <f>+$H$6</f>
        <v>OVL</v>
      </c>
      <c r="B70" s="2395" t="str">
        <f>IF('Mode Opératoire'!$I$1="Français",+'Cpte exploitation ARG'!K70,'Cpte exploitation ARG'!M70)</f>
        <v xml:space="preserve"> Intérimaires</v>
      </c>
      <c r="C70" s="1077"/>
      <c r="D70" s="1901">
        <f>(VLOOKUP($A$27,'cost calculateur'!$E$68:$EA$90,12,FALSE))</f>
        <v>0</v>
      </c>
      <c r="E70" s="1901">
        <f>(VLOOKUP($A$27,'cost calculateur'!$E$68:$EA$90,13,FALSE))</f>
        <v>0</v>
      </c>
      <c r="F70" s="1901">
        <f>(VLOOKUP($A$27,'cost calculateur'!$E$68:$EA$90,14,FALSE))</f>
        <v>0</v>
      </c>
      <c r="G70" s="1901">
        <f>(VLOOKUP($A$27,'cost calculateur'!$E$68:$EA$90,15,FALSE))</f>
        <v>0</v>
      </c>
      <c r="H70" s="1901">
        <f>(VLOOKUP($A$27,'cost calculateur'!$E$68:$EA$90,16,FALSE))</f>
        <v>0</v>
      </c>
      <c r="I70" s="1902">
        <f>(VLOOKUP($A$27,'cost calculateur'!$E$68:$EA$90,16,FALSE))</f>
        <v>0</v>
      </c>
      <c r="K70" s="244" t="s">
        <v>53</v>
      </c>
      <c r="L70" s="829"/>
      <c r="M70" s="246" t="s">
        <v>95</v>
      </c>
      <c r="T70" s="1708" t="s">
        <v>975</v>
      </c>
      <c r="U70" s="1713"/>
    </row>
    <row r="71" spans="1:21">
      <c r="B71" s="239" t="str">
        <f>IF('Mode Opératoire'!$I$1="Français",+'Cpte exploitation ARG'!K71,'Cpte exploitation ARG'!M71)</f>
        <v>Effectifs Opérationnels</v>
      </c>
      <c r="C71" s="240"/>
      <c r="D71" s="241">
        <f t="shared" ref="D71:I71" si="25">SUM(D69:D70)</f>
        <v>0</v>
      </c>
      <c r="E71" s="241">
        <f t="shared" si="25"/>
        <v>0</v>
      </c>
      <c r="F71" s="241">
        <f t="shared" si="25"/>
        <v>0</v>
      </c>
      <c r="G71" s="241">
        <f t="shared" si="25"/>
        <v>0</v>
      </c>
      <c r="H71" s="241">
        <f t="shared" si="25"/>
        <v>0</v>
      </c>
      <c r="I71" s="242">
        <f t="shared" si="25"/>
        <v>0</v>
      </c>
      <c r="K71" s="239" t="s">
        <v>120</v>
      </c>
      <c r="L71" s="240"/>
      <c r="M71" s="243" t="s">
        <v>96</v>
      </c>
      <c r="T71" s="1708"/>
      <c r="U71" s="1713"/>
    </row>
    <row r="72" spans="1:21">
      <c r="B72" s="17">
        <f>IF('Mode Opératoire'!$I$1="Français",+'Cpte exploitation ARG'!K72,'Cpte exploitation ARG'!M72)</f>
        <v>0</v>
      </c>
      <c r="T72" s="1708"/>
      <c r="U72" s="1713"/>
    </row>
    <row r="73" spans="1:21" ht="18" customHeight="1">
      <c r="B73" s="247" t="str">
        <f>IF('Mode Opératoire'!$I$1="Français",+'Cpte exploitation ARG'!K73,'Cpte exploitation ARG'!M73)</f>
        <v xml:space="preserve">cout moyen/effectifs </v>
      </c>
      <c r="C73" s="248"/>
      <c r="D73" s="249" t="str">
        <f>IF(D71=0,"-",D34/D71)</f>
        <v>-</v>
      </c>
      <c r="E73" s="249" t="str">
        <f t="shared" ref="E73:I73" si="26">IF(E71=0,"-",E34/E71)</f>
        <v>-</v>
      </c>
      <c r="F73" s="249" t="str">
        <f t="shared" si="26"/>
        <v>-</v>
      </c>
      <c r="G73" s="249" t="str">
        <f t="shared" si="26"/>
        <v>-</v>
      </c>
      <c r="H73" s="249" t="str">
        <f t="shared" si="26"/>
        <v>-</v>
      </c>
      <c r="I73" s="250" t="str">
        <f t="shared" si="26"/>
        <v>-</v>
      </c>
      <c r="K73" s="247" t="s">
        <v>839</v>
      </c>
      <c r="L73" s="248"/>
      <c r="M73" s="1579" t="s">
        <v>840</v>
      </c>
      <c r="T73" s="1708"/>
      <c r="U73" s="1713"/>
    </row>
    <row r="74" spans="1:21" ht="18" customHeight="1">
      <c r="B74" s="251" t="str">
        <f>IF('Mode Opératoire'!$I$1="Français",+'Cpte exploitation ARG'!K74,'Cpte exploitation ARG'!M74)</f>
        <v>RAC/effectifs</v>
      </c>
      <c r="C74" s="252"/>
      <c r="D74" s="253" t="str">
        <f>IF(D71=0,"-",D58/D71)</f>
        <v>-</v>
      </c>
      <c r="E74" s="253" t="str">
        <f t="shared" ref="E74:I74" si="27">IF(E71=0,"-",E58/E71)</f>
        <v>-</v>
      </c>
      <c r="F74" s="253" t="str">
        <f t="shared" si="27"/>
        <v>-</v>
      </c>
      <c r="G74" s="253" t="str">
        <f t="shared" si="27"/>
        <v>-</v>
      </c>
      <c r="H74" s="253" t="str">
        <f t="shared" si="27"/>
        <v>-</v>
      </c>
      <c r="I74" s="253" t="str">
        <f t="shared" si="27"/>
        <v>-</v>
      </c>
      <c r="K74" s="251" t="s">
        <v>959</v>
      </c>
      <c r="L74" s="252"/>
      <c r="M74" s="1580" t="s">
        <v>961</v>
      </c>
      <c r="T74" s="1708"/>
      <c r="U74" s="1713"/>
    </row>
    <row r="75" spans="1:21" ht="18" customHeight="1">
      <c r="B75" s="251" t="str">
        <f>IF('Mode Opératoire'!$I$1="Français",+'Cpte exploitation ARG'!K75,'Cpte exploitation ARG'!M75)</f>
        <v>MCO/effectifs</v>
      </c>
      <c r="C75" s="1698"/>
      <c r="D75" s="253" t="str">
        <f>IF(D71=0,"-",D22/D71)</f>
        <v>-</v>
      </c>
      <c r="E75" s="1699" t="str">
        <f t="shared" ref="E75:I75" si="28">IF(E71=0,"-",E22/E71)</f>
        <v>-</v>
      </c>
      <c r="F75" s="1699" t="str">
        <f t="shared" si="28"/>
        <v>-</v>
      </c>
      <c r="G75" s="1699" t="str">
        <f t="shared" si="28"/>
        <v>-</v>
      </c>
      <c r="H75" s="1699" t="str">
        <f t="shared" si="28"/>
        <v>-</v>
      </c>
      <c r="I75" s="1699" t="str">
        <f t="shared" si="28"/>
        <v>-</v>
      </c>
      <c r="K75" s="251" t="s">
        <v>960</v>
      </c>
      <c r="L75" s="1698"/>
      <c r="M75" s="1700" t="s">
        <v>962</v>
      </c>
      <c r="T75" s="1708"/>
      <c r="U75" s="1713"/>
    </row>
    <row r="76" spans="1:21" ht="18" customHeight="1">
      <c r="B76" s="254" t="str">
        <f>IF('Mode Opératoire'!$I$1="Français",+'Cpte exploitation ARG'!K76,'Cpte exploitation ARG'!M76)</f>
        <v>Total Frais Indirect</v>
      </c>
      <c r="C76" s="255"/>
      <c r="D76" s="256" t="str">
        <f>IF(D71=0,"-",(D56+D60)/D71)</f>
        <v>-</v>
      </c>
      <c r="E76" s="256" t="str">
        <f t="shared" ref="E76:I76" si="29">IF(E71=0,"-",(E56+E60)/E71)</f>
        <v>-</v>
      </c>
      <c r="F76" s="256" t="str">
        <f t="shared" si="29"/>
        <v>-</v>
      </c>
      <c r="G76" s="256" t="str">
        <f t="shared" si="29"/>
        <v>-</v>
      </c>
      <c r="H76" s="256" t="str">
        <f t="shared" si="29"/>
        <v>-</v>
      </c>
      <c r="I76" s="256" t="str">
        <f t="shared" si="29"/>
        <v>-</v>
      </c>
      <c r="K76" s="254" t="s">
        <v>963</v>
      </c>
      <c r="L76" s="255"/>
      <c r="M76" s="1581" t="s">
        <v>964</v>
      </c>
      <c r="T76" s="1708"/>
      <c r="U76" s="1713"/>
    </row>
  </sheetData>
  <mergeCells count="2">
    <mergeCell ref="C27:C33"/>
    <mergeCell ref="L27:L33"/>
  </mergeCells>
  <conditionalFormatting sqref="H6">
    <cfRule type="cellIs" dxfId="113" priority="12" operator="equal">
      <formula>"XXXXX"</formula>
    </cfRule>
  </conditionalFormatting>
  <conditionalFormatting sqref="H6">
    <cfRule type="cellIs" dxfId="112" priority="11" operator="equal">
      <formula>"XXXXX"</formula>
    </cfRule>
  </conditionalFormatting>
  <conditionalFormatting sqref="D14:I18 D20:I20 D35:I38 D40:I41 D43:I49">
    <cfRule type="cellIs" dxfId="111" priority="10" operator="equal">
      <formula>0</formula>
    </cfRule>
  </conditionalFormatting>
  <conditionalFormatting sqref="D27:I33 D39:I39">
    <cfRule type="cellIs" dxfId="110" priority="9" operator="equal">
      <formula>#N/A</formula>
    </cfRule>
  </conditionalFormatting>
  <conditionalFormatting sqref="D24:I24">
    <cfRule type="cellIs" dxfId="109" priority="8" operator="equal">
      <formula>0</formula>
    </cfRule>
  </conditionalFormatting>
  <conditionalFormatting sqref="H6">
    <cfRule type="cellIs" dxfId="108" priority="7" operator="equal">
      <formula>"XXXXX"</formula>
    </cfRule>
  </conditionalFormatting>
  <conditionalFormatting sqref="D31">
    <cfRule type="cellIs" dxfId="107" priority="6" operator="equal">
      <formula>#N/A</formula>
    </cfRule>
  </conditionalFormatting>
  <conditionalFormatting sqref="E31">
    <cfRule type="cellIs" dxfId="106" priority="5" operator="equal">
      <formula>#N/A</formula>
    </cfRule>
  </conditionalFormatting>
  <conditionalFormatting sqref="F31">
    <cfRule type="cellIs" dxfId="105" priority="4" operator="equal">
      <formula>#N/A</formula>
    </cfRule>
  </conditionalFormatting>
  <conditionalFormatting sqref="G31">
    <cfRule type="cellIs" dxfId="104" priority="3" operator="equal">
      <formula>#N/A</formula>
    </cfRule>
  </conditionalFormatting>
  <conditionalFormatting sqref="H31">
    <cfRule type="cellIs" dxfId="103" priority="2" operator="equal">
      <formula>#N/A</formula>
    </cfRule>
  </conditionalFormatting>
  <conditionalFormatting sqref="I31">
    <cfRule type="cellIs" dxfId="102" priority="1" operator="equal">
      <formula>#N/A</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drawing r:id="rId2"/>
  <legacyDrawing r:id="rId3"/>
</worksheet>
</file>

<file path=xl/worksheets/sheet30.xml><?xml version="1.0" encoding="utf-8"?>
<worksheet xmlns="http://schemas.openxmlformats.org/spreadsheetml/2006/main" xmlns:r="http://schemas.openxmlformats.org/officeDocument/2006/relationships">
  <sheetPr codeName="Feuil15">
    <tabColor rgb="FF00B050"/>
    <pageSetUpPr fitToPage="1"/>
  </sheetPr>
  <dimension ref="A1:AA180"/>
  <sheetViews>
    <sheetView zoomScale="80" zoomScaleNormal="80" workbookViewId="0">
      <selection activeCell="E51" sqref="E51"/>
    </sheetView>
  </sheetViews>
  <sheetFormatPr baseColWidth="10" defaultColWidth="11.42578125" defaultRowHeight="12.75"/>
  <cols>
    <col min="1" max="1" width="8" style="4" customWidth="1"/>
    <col min="2" max="2" width="35.85546875" style="4" customWidth="1"/>
    <col min="3" max="3" width="12.85546875" style="4" bestFit="1" customWidth="1"/>
    <col min="4" max="14" width="18.28515625" style="4" customWidth="1"/>
    <col min="15" max="15" width="14" style="4" customWidth="1"/>
    <col min="16" max="16" width="8" style="4" hidden="1" customWidth="1"/>
    <col min="17" max="17" width="48.7109375" style="4" hidden="1" customWidth="1"/>
    <col min="18" max="18" width="9.28515625" style="4" hidden="1" customWidth="1"/>
    <col min="19" max="19" width="8" style="4" hidden="1" customWidth="1"/>
    <col min="20" max="20" width="48.7109375" style="4" hidden="1" customWidth="1"/>
    <col min="21" max="21" width="12.7109375" style="4" hidden="1" customWidth="1"/>
    <col min="22" max="25" width="0" style="4" hidden="1" customWidth="1"/>
    <col min="26" max="26" width="83.140625" style="4" bestFit="1" customWidth="1"/>
    <col min="27" max="27" width="70" style="4" bestFit="1" customWidth="1"/>
    <col min="28" max="16384" width="11.42578125" style="4"/>
  </cols>
  <sheetData>
    <row r="1" spans="1:27" customFormat="1" ht="30">
      <c r="A1" s="621"/>
      <c r="B1" s="2402"/>
      <c r="C1" s="623"/>
      <c r="D1" s="621"/>
      <c r="E1" s="621"/>
      <c r="F1" s="2403" t="s">
        <v>136</v>
      </c>
      <c r="G1" s="621"/>
      <c r="H1" s="621"/>
      <c r="I1" s="621"/>
      <c r="J1" s="621"/>
      <c r="K1" s="623"/>
      <c r="L1" s="621"/>
      <c r="M1" s="621"/>
      <c r="N1" s="119" t="s">
        <v>151</v>
      </c>
      <c r="O1" s="621"/>
      <c r="Q1" s="66" t="s">
        <v>662</v>
      </c>
      <c r="T1" s="66" t="s">
        <v>683</v>
      </c>
    </row>
    <row r="2" spans="1:27" customFormat="1" ht="26.25">
      <c r="A2" s="621"/>
      <c r="B2" s="2402"/>
      <c r="C2" s="623"/>
      <c r="D2" s="621"/>
      <c r="E2" s="621"/>
      <c r="F2" s="2394"/>
      <c r="G2" s="621"/>
      <c r="H2" s="621"/>
      <c r="I2" s="621"/>
      <c r="J2" s="621"/>
      <c r="K2" s="621"/>
      <c r="L2" s="621"/>
      <c r="M2" s="621"/>
      <c r="N2" s="1903" t="s">
        <v>152</v>
      </c>
      <c r="O2" s="621"/>
      <c r="Q2" s="66"/>
      <c r="T2" s="66"/>
    </row>
    <row r="3" spans="1:27" customFormat="1">
      <c r="A3" s="623"/>
      <c r="B3" s="621"/>
      <c r="C3" s="621"/>
      <c r="D3" s="621"/>
      <c r="E3" s="621"/>
      <c r="F3" s="621"/>
      <c r="G3" s="621"/>
      <c r="H3" s="621"/>
      <c r="I3" s="621"/>
      <c r="J3" s="621"/>
      <c r="K3" s="621"/>
      <c r="L3" s="621"/>
      <c r="M3" s="621"/>
      <c r="N3" s="621"/>
      <c r="O3" s="621"/>
      <c r="P3" s="4"/>
      <c r="S3" s="4"/>
    </row>
    <row r="4" spans="1:27" customFormat="1" ht="15.75">
      <c r="A4" s="412" t="str">
        <f>+'Synthèse projet'!A3</f>
        <v>Nom projet / Project Name :</v>
      </c>
      <c r="B4" s="1079"/>
      <c r="C4" s="164" t="str">
        <f>'UO 3'!E6</f>
        <v>xxxxx</v>
      </c>
      <c r="D4" s="622"/>
      <c r="E4" s="621"/>
      <c r="F4" s="621"/>
      <c r="G4" s="621"/>
      <c r="H4" s="1223"/>
      <c r="I4" s="621"/>
      <c r="J4" s="621"/>
      <c r="K4" s="621"/>
      <c r="L4" s="621"/>
      <c r="M4" s="621"/>
      <c r="N4" s="621"/>
      <c r="O4" s="621"/>
      <c r="P4" s="1239"/>
      <c r="Q4" s="1240"/>
      <c r="R4" s="621"/>
      <c r="S4" s="1239"/>
      <c r="T4" s="1240"/>
    </row>
    <row r="5" spans="1:27" ht="15.75">
      <c r="A5" s="413" t="str">
        <f>+'Synthèse projet'!A5</f>
        <v>Rédacteur / Writer  :</v>
      </c>
      <c r="B5" s="1080"/>
      <c r="C5" s="164" t="str">
        <f>'UO 3'!E7</f>
        <v>xxxxx</v>
      </c>
      <c r="D5" s="2404"/>
      <c r="E5" s="623"/>
      <c r="F5" s="623"/>
      <c r="G5" s="623"/>
      <c r="H5" s="623"/>
      <c r="I5" s="623"/>
      <c r="J5" s="623"/>
      <c r="K5" s="623"/>
      <c r="L5" s="623"/>
      <c r="M5" s="623"/>
      <c r="N5" s="623"/>
      <c r="O5" s="623"/>
      <c r="P5" s="1241"/>
      <c r="Q5" s="1242"/>
      <c r="R5" s="623"/>
      <c r="S5" s="1241"/>
      <c r="T5" s="1242"/>
    </row>
    <row r="6" spans="1:27" s="5" customFormat="1" ht="6.75" customHeight="1">
      <c r="A6" s="1243"/>
      <c r="B6" s="1244"/>
      <c r="C6" s="623"/>
      <c r="D6" s="623"/>
      <c r="E6" s="623"/>
      <c r="F6" s="623"/>
      <c r="G6" s="623"/>
      <c r="H6" s="623"/>
      <c r="I6" s="623"/>
      <c r="J6" s="623"/>
      <c r="K6" s="623"/>
      <c r="L6" s="623"/>
      <c r="M6" s="623"/>
      <c r="N6" s="623"/>
      <c r="O6" s="623"/>
      <c r="P6" s="1243"/>
      <c r="Q6" s="1244"/>
      <c r="R6" s="623"/>
      <c r="S6" s="1243"/>
      <c r="T6" s="1244"/>
    </row>
    <row r="7" spans="1:27" s="81" customFormat="1" ht="18">
      <c r="A7" s="94" t="s">
        <v>5</v>
      </c>
      <c r="B7" s="94" t="str">
        <f>IF('Mode Opératoire'!$I$1="Français",+Financier!Q7,Financier!T7)</f>
        <v>Année</v>
      </c>
      <c r="C7" s="78"/>
      <c r="D7" s="79">
        <f>'Cpte exploitation 1+2+3'!D13</f>
        <v>2014</v>
      </c>
      <c r="E7" s="79">
        <f t="shared" ref="E7:M7" si="0">D7+1</f>
        <v>2015</v>
      </c>
      <c r="F7" s="79">
        <f t="shared" si="0"/>
        <v>2016</v>
      </c>
      <c r="G7" s="79">
        <f t="shared" si="0"/>
        <v>2017</v>
      </c>
      <c r="H7" s="79">
        <f t="shared" si="0"/>
        <v>2018</v>
      </c>
      <c r="I7" s="79">
        <f t="shared" si="0"/>
        <v>2019</v>
      </c>
      <c r="J7" s="79">
        <f t="shared" si="0"/>
        <v>2020</v>
      </c>
      <c r="K7" s="79">
        <f t="shared" si="0"/>
        <v>2021</v>
      </c>
      <c r="L7" s="79">
        <f t="shared" si="0"/>
        <v>2022</v>
      </c>
      <c r="M7" s="79">
        <f t="shared" si="0"/>
        <v>2023</v>
      </c>
      <c r="N7" s="80">
        <f>M7+1</f>
        <v>2024</v>
      </c>
      <c r="O7" s="1246"/>
      <c r="P7" s="1245"/>
      <c r="Q7" s="1245" t="s">
        <v>936</v>
      </c>
      <c r="R7" s="1246"/>
      <c r="S7" s="1245"/>
      <c r="T7" s="1245" t="s">
        <v>226</v>
      </c>
      <c r="Z7" s="1706" t="s">
        <v>988</v>
      </c>
      <c r="AA7" s="1711" t="s">
        <v>989</v>
      </c>
    </row>
    <row r="8" spans="1:27" ht="8.25" customHeight="1">
      <c r="A8" s="95"/>
      <c r="B8" s="95"/>
      <c r="C8" s="5"/>
      <c r="D8" s="5"/>
      <c r="E8" s="5"/>
      <c r="F8" s="5"/>
      <c r="G8" s="5"/>
      <c r="H8" s="5"/>
      <c r="I8" s="5"/>
      <c r="J8" s="5"/>
      <c r="K8" s="5"/>
      <c r="L8" s="5"/>
      <c r="M8" s="5"/>
      <c r="N8" s="5"/>
      <c r="O8" s="623"/>
      <c r="P8" s="95"/>
      <c r="Q8" s="95"/>
      <c r="S8" s="95"/>
      <c r="T8" s="95"/>
      <c r="Z8" s="1716"/>
      <c r="AA8" s="1730"/>
    </row>
    <row r="9" spans="1:27" s="84" customFormat="1" ht="18" customHeight="1">
      <c r="A9" s="2831" t="str">
        <f>IF('Mode Opératoire'!$I$1="Français",+Financier!P9,Financier!S9)</f>
        <v>Investissements</v>
      </c>
      <c r="B9" s="2831"/>
      <c r="C9" s="82"/>
      <c r="D9" s="83"/>
      <c r="E9" s="83"/>
      <c r="F9" s="83"/>
      <c r="G9" s="83"/>
      <c r="H9" s="83"/>
      <c r="I9" s="83"/>
      <c r="J9" s="83"/>
      <c r="K9" s="83"/>
      <c r="L9" s="83"/>
      <c r="M9" s="83"/>
      <c r="N9" s="83"/>
      <c r="O9" s="2437"/>
      <c r="P9" s="2831" t="s">
        <v>6</v>
      </c>
      <c r="Q9" s="2831"/>
      <c r="S9" s="2831" t="s">
        <v>232</v>
      </c>
      <c r="T9" s="2831"/>
      <c r="Z9" s="1717"/>
      <c r="AA9" s="1731"/>
    </row>
    <row r="10" spans="1:27" s="84" customFormat="1" ht="15.75">
      <c r="A10" s="2405"/>
      <c r="B10" s="258" t="str">
        <f>IF(+Financier!Q10="","",IF('Mode Opératoire'!$I$1="Français",+Financier!Q10,Financier!T10))</f>
        <v>Terrain</v>
      </c>
      <c r="C10" s="261"/>
      <c r="D10" s="2454"/>
      <c r="E10" s="2456"/>
      <c r="F10" s="2456"/>
      <c r="G10" s="2456"/>
      <c r="H10" s="2456"/>
      <c r="I10" s="2457"/>
      <c r="J10" s="2457"/>
      <c r="K10" s="2457"/>
      <c r="L10" s="2457"/>
      <c r="M10" s="2457"/>
      <c r="N10" s="2458"/>
      <c r="O10" s="2437"/>
      <c r="P10" s="82"/>
      <c r="Q10" s="258" t="s">
        <v>7</v>
      </c>
      <c r="S10" s="82"/>
      <c r="T10" s="258" t="s">
        <v>764</v>
      </c>
      <c r="Z10" s="1717"/>
      <c r="AA10" s="1731"/>
    </row>
    <row r="11" spans="1:27" s="86" customFormat="1" ht="15">
      <c r="A11" s="2406"/>
      <c r="B11" s="259" t="str">
        <f>IF(+Financier!Q11="","",IF('Mode Opératoire'!$I$1="Français",+Financier!Q11,Financier!T11))</f>
        <v>Aménagement terrain</v>
      </c>
      <c r="C11" s="262"/>
      <c r="D11" s="2455"/>
      <c r="E11" s="2459"/>
      <c r="F11" s="2459"/>
      <c r="G11" s="2459"/>
      <c r="H11" s="2459"/>
      <c r="I11" s="2460"/>
      <c r="J11" s="2460"/>
      <c r="K11" s="2460"/>
      <c r="L11" s="2460"/>
      <c r="M11" s="2460"/>
      <c r="N11" s="2461"/>
      <c r="O11" s="2408"/>
      <c r="P11" s="87"/>
      <c r="Q11" s="259" t="s">
        <v>126</v>
      </c>
      <c r="S11" s="87"/>
      <c r="T11" s="259" t="s">
        <v>765</v>
      </c>
      <c r="Z11" s="1718"/>
      <c r="AA11" s="1732"/>
    </row>
    <row r="12" spans="1:27" s="86" customFormat="1" ht="15">
      <c r="A12" s="2406"/>
      <c r="B12" s="259" t="str">
        <f>IF(+Financier!Q12="","",IF('Mode Opératoire'!$I$1="Français",+Financier!Q12,Financier!T12))</f>
        <v>Constructions</v>
      </c>
      <c r="C12" s="262"/>
      <c r="D12" s="2455">
        <f>+Immobilier!D26</f>
        <v>0</v>
      </c>
      <c r="E12" s="2459"/>
      <c r="F12" s="2459"/>
      <c r="G12" s="2459"/>
      <c r="H12" s="2459"/>
      <c r="I12" s="2460"/>
      <c r="J12" s="2460"/>
      <c r="K12" s="2460"/>
      <c r="L12" s="2460"/>
      <c r="M12" s="2460"/>
      <c r="N12" s="2461"/>
      <c r="O12" s="2408"/>
      <c r="P12" s="87"/>
      <c r="Q12" s="259" t="s">
        <v>8</v>
      </c>
      <c r="S12" s="87"/>
      <c r="T12" s="259" t="s">
        <v>8</v>
      </c>
      <c r="Z12" s="1718"/>
      <c r="AA12" s="1732"/>
    </row>
    <row r="13" spans="1:27" s="86" customFormat="1" ht="15">
      <c r="A13" s="2406"/>
      <c r="B13" s="259" t="str">
        <f>IF(+Financier!Q13="","",IF('Mode Opératoire'!$I$1="Français",+Financier!Q13,Financier!T13))</f>
        <v>IAA des constructions</v>
      </c>
      <c r="C13" s="262"/>
      <c r="D13" s="2455">
        <f>+Immobilier!D31+Immobilier!D32</f>
        <v>0</v>
      </c>
      <c r="E13" s="2459"/>
      <c r="F13" s="2459"/>
      <c r="G13" s="2459"/>
      <c r="H13" s="2459"/>
      <c r="I13" s="2460"/>
      <c r="J13" s="2460"/>
      <c r="K13" s="2460"/>
      <c r="L13" s="2460"/>
      <c r="M13" s="2460"/>
      <c r="N13" s="2461"/>
      <c r="O13" s="2408"/>
      <c r="P13" s="87"/>
      <c r="Q13" s="259" t="s">
        <v>9</v>
      </c>
      <c r="S13" s="87"/>
      <c r="T13" s="259" t="s">
        <v>9</v>
      </c>
      <c r="Z13" s="1718"/>
      <c r="AA13" s="1732"/>
    </row>
    <row r="14" spans="1:27" s="86" customFormat="1" ht="15">
      <c r="A14" s="2406"/>
      <c r="B14" s="259" t="str">
        <f>IF(+Financier!Q14="","",IF('Mode Opératoire'!$I$1="Français",+Financier!Q14,Financier!T14))</f>
        <v>Architecte, MOD, études etc :</v>
      </c>
      <c r="C14" s="262"/>
      <c r="D14" s="2455">
        <f>+Immobilier!D23+Immobilier!D25</f>
        <v>0</v>
      </c>
      <c r="E14" s="2459"/>
      <c r="F14" s="2459"/>
      <c r="G14" s="2459"/>
      <c r="H14" s="2459"/>
      <c r="I14" s="2460"/>
      <c r="J14" s="2460"/>
      <c r="K14" s="2460"/>
      <c r="L14" s="2460"/>
      <c r="M14" s="2460"/>
      <c r="N14" s="2461"/>
      <c r="O14" s="2408"/>
      <c r="P14" s="87"/>
      <c r="Q14" s="259" t="s">
        <v>2</v>
      </c>
      <c r="S14" s="87"/>
      <c r="T14" s="980" t="s">
        <v>704</v>
      </c>
      <c r="U14" s="963"/>
      <c r="Z14" s="1718"/>
      <c r="AA14" s="1732"/>
    </row>
    <row r="15" spans="1:27" s="86" customFormat="1" ht="15">
      <c r="A15" s="2406"/>
      <c r="B15" s="259" t="str">
        <f>IF(+Financier!Q15="","",IF('Mode Opératoire'!$I$1="Français",+Financier!Q15,Financier!T15))</f>
        <v>Matériel d'exploitation, chariots</v>
      </c>
      <c r="C15" s="262"/>
      <c r="D15" s="2455">
        <f>+Equipement!D20</f>
        <v>0</v>
      </c>
      <c r="E15" s="2459"/>
      <c r="F15" s="2459"/>
      <c r="G15" s="2459"/>
      <c r="H15" s="2459"/>
      <c r="I15" s="2460"/>
      <c r="J15" s="2460"/>
      <c r="K15" s="2460"/>
      <c r="L15" s="2460"/>
      <c r="M15" s="2460"/>
      <c r="N15" s="2461"/>
      <c r="O15" s="2408"/>
      <c r="P15" s="87"/>
      <c r="Q15" s="259" t="s">
        <v>127</v>
      </c>
      <c r="S15" s="87"/>
      <c r="T15" s="259" t="s">
        <v>766</v>
      </c>
      <c r="Z15" s="1718"/>
      <c r="AA15" s="1732"/>
    </row>
    <row r="16" spans="1:27" s="86" customFormat="1" ht="15">
      <c r="A16" s="2406"/>
      <c r="B16" s="259" t="str">
        <f>IF(+Financier!Q16="","",IF('Mode Opératoire'!$I$1="Français",+Financier!Q16,Financier!T16))</f>
        <v>Installation specifiques, racks</v>
      </c>
      <c r="C16" s="262"/>
      <c r="D16" s="2455"/>
      <c r="E16" s="2459"/>
      <c r="F16" s="2459"/>
      <c r="G16" s="2459"/>
      <c r="H16" s="2459"/>
      <c r="I16" s="2460"/>
      <c r="J16" s="2460"/>
      <c r="K16" s="2460"/>
      <c r="L16" s="2460"/>
      <c r="M16" s="2460"/>
      <c r="N16" s="2461"/>
      <c r="O16" s="2408"/>
      <c r="P16" s="87"/>
      <c r="Q16" s="259" t="s">
        <v>167</v>
      </c>
      <c r="S16" s="87"/>
      <c r="T16" s="259" t="s">
        <v>167</v>
      </c>
      <c r="Z16" s="1718"/>
      <c r="AA16" s="1732"/>
    </row>
    <row r="17" spans="1:27" s="86" customFormat="1" ht="15">
      <c r="A17" s="2406"/>
      <c r="B17" s="259" t="str">
        <f>IF(+Financier!Q17="","",IF('Mode Opératoire'!$I$1="Français",+Financier!Q17,Financier!T17))</f>
        <v>Matériel de Bureau</v>
      </c>
      <c r="C17" s="262"/>
      <c r="D17" s="2455"/>
      <c r="E17" s="2459"/>
      <c r="F17" s="2459"/>
      <c r="G17" s="2459"/>
      <c r="H17" s="2459"/>
      <c r="I17" s="2460"/>
      <c r="J17" s="2460"/>
      <c r="K17" s="2460"/>
      <c r="L17" s="2460"/>
      <c r="M17" s="2460"/>
      <c r="N17" s="2461"/>
      <c r="O17" s="2408"/>
      <c r="P17" s="87"/>
      <c r="Q17" s="259" t="s">
        <v>10</v>
      </c>
      <c r="S17" s="87"/>
      <c r="T17" s="259" t="s">
        <v>767</v>
      </c>
      <c r="Z17" s="1718"/>
      <c r="AA17" s="1732"/>
    </row>
    <row r="18" spans="1:27" s="86" customFormat="1" ht="15">
      <c r="A18" s="2406"/>
      <c r="B18" s="259" t="str">
        <f>IF(+Financier!Q18="","",IF('Mode Opératoire'!$I$1="Français",+Financier!Q18,Financier!T18))</f>
        <v>Equipement Informatique</v>
      </c>
      <c r="C18" s="262"/>
      <c r="D18" s="2455"/>
      <c r="E18" s="2459"/>
      <c r="F18" s="2459"/>
      <c r="G18" s="2459"/>
      <c r="H18" s="2459"/>
      <c r="I18" s="2460"/>
      <c r="J18" s="2460"/>
      <c r="K18" s="2460"/>
      <c r="L18" s="2460"/>
      <c r="M18" s="2460"/>
      <c r="N18" s="2461"/>
      <c r="O18" s="2408"/>
      <c r="P18" s="87"/>
      <c r="Q18" s="259" t="s">
        <v>11</v>
      </c>
      <c r="S18" s="87"/>
      <c r="T18" s="259" t="s">
        <v>768</v>
      </c>
      <c r="Z18" s="1718"/>
      <c r="AA18" s="1732"/>
    </row>
    <row r="19" spans="1:27" s="86" customFormat="1" ht="15">
      <c r="A19" s="2406"/>
      <c r="B19" s="259" t="str">
        <f>IF(+Financier!Q19="","",IF('Mode Opératoire'!$I$1="Français",+Financier!Q19,Financier!T19))</f>
        <v>Informatique</v>
      </c>
      <c r="C19" s="262"/>
      <c r="D19" s="2455"/>
      <c r="E19" s="2459"/>
      <c r="F19" s="2459"/>
      <c r="G19" s="2459"/>
      <c r="H19" s="2459"/>
      <c r="I19" s="2460"/>
      <c r="J19" s="2460"/>
      <c r="K19" s="2460"/>
      <c r="L19" s="2460"/>
      <c r="M19" s="2460"/>
      <c r="N19" s="2461"/>
      <c r="O19" s="2408"/>
      <c r="P19" s="87"/>
      <c r="Q19" s="259" t="s">
        <v>12</v>
      </c>
      <c r="S19" s="87"/>
      <c r="T19" s="259" t="s">
        <v>769</v>
      </c>
      <c r="Z19" s="1718"/>
      <c r="AA19" s="1732"/>
    </row>
    <row r="20" spans="1:27" s="86" customFormat="1" ht="15">
      <c r="A20" s="2406"/>
      <c r="B20" s="259" t="str">
        <f>IF(+Financier!Q20="","",IF('Mode Opératoire'!$I$1="Français",+Financier!Q20,Financier!T20))</f>
        <v>Mobiliers</v>
      </c>
      <c r="C20" s="262"/>
      <c r="D20" s="2455"/>
      <c r="E20" s="2459"/>
      <c r="F20" s="2459"/>
      <c r="G20" s="2459"/>
      <c r="H20" s="2459"/>
      <c r="I20" s="2460"/>
      <c r="J20" s="2460"/>
      <c r="K20" s="2460"/>
      <c r="L20" s="2460"/>
      <c r="M20" s="2460"/>
      <c r="N20" s="2461"/>
      <c r="O20" s="2408"/>
      <c r="P20" s="87"/>
      <c r="Q20" s="259" t="s">
        <v>168</v>
      </c>
      <c r="S20" s="87"/>
      <c r="T20" s="259" t="s">
        <v>770</v>
      </c>
      <c r="Z20" s="1718"/>
      <c r="AA20" s="1732"/>
    </row>
    <row r="21" spans="1:27" s="86" customFormat="1" ht="15">
      <c r="A21" s="2406"/>
      <c r="B21" s="259" t="str">
        <f>IF(+Financier!Q21="","",IF('Mode Opératoire'!$I$1="Français",+Financier!Q21,Financier!T21))</f>
        <v>Autres</v>
      </c>
      <c r="C21" s="262"/>
      <c r="D21" s="2455"/>
      <c r="E21" s="2459"/>
      <c r="F21" s="2459"/>
      <c r="G21" s="2459"/>
      <c r="H21" s="2459"/>
      <c r="I21" s="2460"/>
      <c r="J21" s="2460"/>
      <c r="K21" s="2460"/>
      <c r="L21" s="2460"/>
      <c r="M21" s="2460"/>
      <c r="N21" s="2461"/>
      <c r="O21" s="2408"/>
      <c r="P21" s="87"/>
      <c r="Q21" s="259" t="s">
        <v>0</v>
      </c>
      <c r="S21" s="87"/>
      <c r="T21" s="259" t="s">
        <v>228</v>
      </c>
      <c r="Z21" s="1718"/>
      <c r="AA21" s="1732"/>
    </row>
    <row r="22" spans="1:27" s="86" customFormat="1" ht="15">
      <c r="A22" s="2406"/>
      <c r="B22" s="259" t="str">
        <f>IF(+Financier!Q22="","",IF('Mode Opératoire'!$I$1="Français",+Financier!Q22,Financier!T22))</f>
        <v/>
      </c>
      <c r="C22" s="262"/>
      <c r="D22" s="1081"/>
      <c r="E22" s="1082"/>
      <c r="F22" s="1082"/>
      <c r="G22" s="1082"/>
      <c r="H22" s="1082"/>
      <c r="I22" s="1083"/>
      <c r="J22" s="1083"/>
      <c r="K22" s="1083"/>
      <c r="L22" s="1083"/>
      <c r="M22" s="1083"/>
      <c r="N22" s="1084"/>
      <c r="O22" s="2408"/>
      <c r="P22" s="87"/>
      <c r="Q22" s="259"/>
      <c r="S22" s="87"/>
      <c r="T22" s="259"/>
      <c r="Z22" s="1718"/>
      <c r="AA22" s="1732"/>
    </row>
    <row r="23" spans="1:27" s="86" customFormat="1" ht="15">
      <c r="A23" s="2406"/>
      <c r="B23" s="259" t="str">
        <f>IF(+Financier!Q23="","",IF('Mode Opératoire'!$I$1="Français",+Financier!Q23,Financier!T23))</f>
        <v/>
      </c>
      <c r="C23" s="263"/>
      <c r="D23" s="1085"/>
      <c r="E23" s="1086"/>
      <c r="F23" s="1086"/>
      <c r="G23" s="1086"/>
      <c r="H23" s="1086"/>
      <c r="I23" s="1087"/>
      <c r="J23" s="1087"/>
      <c r="K23" s="1087"/>
      <c r="L23" s="1087"/>
      <c r="M23" s="1087"/>
      <c r="N23" s="1088"/>
      <c r="O23" s="2408"/>
      <c r="P23" s="87"/>
      <c r="Q23" s="260"/>
      <c r="S23" s="87"/>
      <c r="T23" s="260"/>
      <c r="Z23" s="1718"/>
      <c r="AA23" s="1732"/>
    </row>
    <row r="24" spans="1:27" s="98" customFormat="1" ht="15.75" customHeight="1">
      <c r="A24" s="2407"/>
      <c r="B24" s="267" t="str">
        <f>IF('Mode Opératoire'!$I$1="Français",+Financier!Q24,Financier!T24)</f>
        <v>Montants investis</v>
      </c>
      <c r="C24" s="265"/>
      <c r="D24" s="266">
        <f>SUM(D10:D23)</f>
        <v>0</v>
      </c>
      <c r="E24" s="266">
        <f t="shared" ref="E24:M24" si="1">SUM(E10:E23)</f>
        <v>0</v>
      </c>
      <c r="F24" s="266">
        <f t="shared" si="1"/>
        <v>0</v>
      </c>
      <c r="G24" s="266">
        <f t="shared" si="1"/>
        <v>0</v>
      </c>
      <c r="H24" s="266">
        <f t="shared" si="1"/>
        <v>0</v>
      </c>
      <c r="I24" s="266">
        <f t="shared" si="1"/>
        <v>0</v>
      </c>
      <c r="J24" s="266">
        <f t="shared" si="1"/>
        <v>0</v>
      </c>
      <c r="K24" s="266">
        <f t="shared" si="1"/>
        <v>0</v>
      </c>
      <c r="L24" s="266">
        <f t="shared" si="1"/>
        <v>0</v>
      </c>
      <c r="M24" s="266">
        <f t="shared" si="1"/>
        <v>0</v>
      </c>
      <c r="N24" s="266">
        <f>SUM(N10:N23)</f>
        <v>0</v>
      </c>
      <c r="O24" s="2407"/>
      <c r="P24" s="97"/>
      <c r="Q24" s="267" t="s">
        <v>69</v>
      </c>
      <c r="S24" s="97"/>
      <c r="T24" s="267" t="s">
        <v>771</v>
      </c>
      <c r="Z24" s="1719"/>
      <c r="AA24" s="1733"/>
    </row>
    <row r="25" spans="1:27" s="102" customFormat="1" ht="15">
      <c r="A25" s="2408"/>
      <c r="B25" s="268" t="str">
        <f>IF('Mode Opératoire'!$I$1="Français",+Financier!Q25,Financier!T25)</f>
        <v>Investissements cumulés</v>
      </c>
      <c r="C25" s="269"/>
      <c r="D25" s="270">
        <f>D24</f>
        <v>0</v>
      </c>
      <c r="E25" s="270">
        <f t="shared" ref="E25:N25" si="2">D25+E24</f>
        <v>0</v>
      </c>
      <c r="F25" s="270">
        <f t="shared" si="2"/>
        <v>0</v>
      </c>
      <c r="G25" s="270">
        <f t="shared" si="2"/>
        <v>0</v>
      </c>
      <c r="H25" s="270">
        <f t="shared" si="2"/>
        <v>0</v>
      </c>
      <c r="I25" s="270">
        <f t="shared" si="2"/>
        <v>0</v>
      </c>
      <c r="J25" s="270">
        <f t="shared" si="2"/>
        <v>0</v>
      </c>
      <c r="K25" s="270">
        <f t="shared" si="2"/>
        <v>0</v>
      </c>
      <c r="L25" s="270">
        <f t="shared" si="2"/>
        <v>0</v>
      </c>
      <c r="M25" s="270">
        <f t="shared" si="2"/>
        <v>0</v>
      </c>
      <c r="N25" s="270">
        <f t="shared" si="2"/>
        <v>0</v>
      </c>
      <c r="O25" s="2415"/>
      <c r="P25" s="85"/>
      <c r="Q25" s="268" t="s">
        <v>154</v>
      </c>
      <c r="S25" s="85"/>
      <c r="T25" s="268" t="s">
        <v>772</v>
      </c>
      <c r="Z25" s="1720"/>
      <c r="AA25" s="1734"/>
    </row>
    <row r="26" spans="1:27" ht="6.75" customHeight="1">
      <c r="A26" s="623"/>
      <c r="B26" s="623"/>
      <c r="C26" s="623"/>
      <c r="D26" s="623"/>
      <c r="E26" s="623"/>
      <c r="F26" s="623"/>
      <c r="G26" s="623"/>
      <c r="H26" s="623"/>
      <c r="I26" s="623"/>
      <c r="J26" s="623"/>
      <c r="K26" s="623"/>
      <c r="L26" s="623"/>
      <c r="M26" s="623"/>
      <c r="N26" s="623"/>
      <c r="O26" s="623"/>
      <c r="P26" s="5"/>
      <c r="Q26" s="5"/>
      <c r="S26" s="5"/>
      <c r="T26" s="5"/>
      <c r="Z26" s="1716"/>
      <c r="AA26" s="1730"/>
    </row>
    <row r="27" spans="1:27" s="101" customFormat="1" ht="18" customHeight="1">
      <c r="A27" s="2831" t="str">
        <f>IF('Mode Opératoire'!$I$1="Français",+Financier!P27,Financier!S27)</f>
        <v>Amortissements</v>
      </c>
      <c r="B27" s="2831"/>
      <c r="C27" s="99" t="str">
        <f>IF('Mode Opératoire'!$I$1="Français",+Financier!R27,Financier!U27)</f>
        <v>Durée</v>
      </c>
      <c r="D27" s="100"/>
      <c r="E27" s="100"/>
      <c r="F27" s="100"/>
      <c r="G27" s="100"/>
      <c r="H27" s="100"/>
      <c r="I27" s="100"/>
      <c r="J27" s="100"/>
      <c r="K27" s="100"/>
      <c r="L27" s="100"/>
      <c r="M27" s="100"/>
      <c r="O27" s="2414"/>
      <c r="P27" s="2831" t="s">
        <v>13</v>
      </c>
      <c r="Q27" s="2831"/>
      <c r="R27" s="101" t="s">
        <v>130</v>
      </c>
      <c r="S27" s="2831" t="s">
        <v>104</v>
      </c>
      <c r="T27" s="2831"/>
      <c r="U27" s="101" t="s">
        <v>843</v>
      </c>
      <c r="Z27" s="1721"/>
      <c r="AA27" s="1735"/>
    </row>
    <row r="28" spans="1:27" s="86" customFormat="1" ht="15">
      <c r="A28" s="2409"/>
      <c r="B28" s="258" t="str">
        <f>IF(+Financier!Q28="","",IF('Mode Opératoire'!$I$1="Français",+Financier!Q28,Financier!T28))</f>
        <v>Aménagement terrain</v>
      </c>
      <c r="C28" s="277">
        <v>20</v>
      </c>
      <c r="D28" s="280">
        <f>SUM($D$11:D11)/$C$28</f>
        <v>0</v>
      </c>
      <c r="E28" s="271">
        <f>SUM($D$11:E11)/$C$28</f>
        <v>0</v>
      </c>
      <c r="F28" s="271">
        <f>SUM($D$11:F11)/$C$28</f>
        <v>0</v>
      </c>
      <c r="G28" s="271">
        <f>SUM($D$11:G11)/$C$28</f>
        <v>0</v>
      </c>
      <c r="H28" s="271">
        <f>SUM($D$11:H11)/$C$28</f>
        <v>0</v>
      </c>
      <c r="I28" s="271">
        <f>SUM($D$11:I11)/$C$28</f>
        <v>0</v>
      </c>
      <c r="J28" s="271">
        <f>SUM($D$11:J11)/$C$28</f>
        <v>0</v>
      </c>
      <c r="K28" s="271">
        <f>SUM($D$11:K11)/$C$28</f>
        <v>0</v>
      </c>
      <c r="L28" s="271">
        <f>SUM($D$11:L11)/$C$28</f>
        <v>0</v>
      </c>
      <c r="M28" s="271">
        <f>SUM($D$11:M11)/$C$28</f>
        <v>0</v>
      </c>
      <c r="N28" s="272">
        <f>SUM($D$11:N11)/$C$28</f>
        <v>0</v>
      </c>
      <c r="O28" s="2415"/>
      <c r="P28" s="934"/>
      <c r="Q28" s="258" t="str">
        <f>Q11</f>
        <v>Aménagement terrain</v>
      </c>
      <c r="S28" s="934"/>
      <c r="T28" s="258" t="str">
        <f>T11</f>
        <v>Surface/Land/Aera Arrangement</v>
      </c>
      <c r="Z28" s="1718"/>
      <c r="AA28" s="1732"/>
    </row>
    <row r="29" spans="1:27" s="86" customFormat="1" ht="15">
      <c r="A29" s="2409"/>
      <c r="B29" s="259" t="str">
        <f>IF(+Financier!Q29="","",IF('Mode Opératoire'!$I$1="Français",+Financier!Q29,Financier!T29))</f>
        <v>Constructions</v>
      </c>
      <c r="C29" s="278">
        <v>25</v>
      </c>
      <c r="D29" s="281">
        <f>ROUND(SLN(D12,0,C29),0)</f>
        <v>0</v>
      </c>
      <c r="E29" s="120">
        <f t="shared" ref="E29:E40" si="3">ROUND(SLN(D12+E12,0,C29),0)</f>
        <v>0</v>
      </c>
      <c r="F29" s="120">
        <f t="shared" ref="F29:F40" si="4">ROUND(SLN(D12+E12+F12,0,C29),0)</f>
        <v>0</v>
      </c>
      <c r="G29" s="120">
        <f t="shared" ref="G29:G32" si="5">ROUND(SLN(D12+E12+F12+G12,0,C29),0)</f>
        <v>0</v>
      </c>
      <c r="H29" s="120">
        <f t="shared" ref="H29:H32" si="6">ROUND(SLN(D12+E12+F12+G12+H12,0,C29),0)</f>
        <v>0</v>
      </c>
      <c r="I29" s="120">
        <f>ROUND(SLN(D12+E12+F12+G12+H12+I12,0,C29),0)</f>
        <v>0</v>
      </c>
      <c r="J29" s="120">
        <f>ROUND(SLN(D12+E12+F12+G12+H12+I12+J12,0,C29),0)</f>
        <v>0</v>
      </c>
      <c r="K29" s="120">
        <f>ROUND(SLN(D12+E12+F12+G12+H12+I12+J12+K12,0,C29),0)</f>
        <v>0</v>
      </c>
      <c r="L29" s="120">
        <f>ROUND(SLN(D12+E12+F12+G12+H12+I12+J12+K12+L12,0,C29),0)</f>
        <v>0</v>
      </c>
      <c r="M29" s="120">
        <f>ROUND(SLN(D12+E12+F12+G12+H12+I12+J12+K12+L12+M12,0,C29),0)</f>
        <v>0</v>
      </c>
      <c r="N29" s="273">
        <f>ROUND(SLN(E12+F12+G12+H12+I12+J12+K12+L12+M12+N12,0,C29),0)</f>
        <v>0</v>
      </c>
      <c r="O29" s="2415" t="s">
        <v>1059</v>
      </c>
      <c r="P29" s="934"/>
      <c r="Q29" s="259" t="str">
        <f>Q12</f>
        <v>Constructions</v>
      </c>
      <c r="S29" s="934"/>
      <c r="T29" s="259" t="str">
        <f>T12</f>
        <v>Constructions</v>
      </c>
      <c r="Z29" s="1718"/>
      <c r="AA29" s="1732"/>
    </row>
    <row r="30" spans="1:27" s="86" customFormat="1" ht="15">
      <c r="A30" s="2409"/>
      <c r="B30" s="259" t="str">
        <f>IF(+Financier!Q30="","",IF('Mode Opératoire'!$I$1="Français",+Financier!Q30,Financier!T30))</f>
        <v>IAA des constructions</v>
      </c>
      <c r="C30" s="278">
        <v>10</v>
      </c>
      <c r="D30" s="281">
        <f t="shared" ref="D30:D40" si="7">ROUND(SLN(D13,0,C30),0)</f>
        <v>0</v>
      </c>
      <c r="E30" s="120">
        <f t="shared" si="3"/>
        <v>0</v>
      </c>
      <c r="F30" s="120">
        <f t="shared" si="4"/>
        <v>0</v>
      </c>
      <c r="G30" s="120">
        <f t="shared" si="5"/>
        <v>0</v>
      </c>
      <c r="H30" s="120">
        <f t="shared" si="6"/>
        <v>0</v>
      </c>
      <c r="I30" s="120">
        <f>ROUND(SLN(D13+E13+F13+G13+H13+I13,0,C30),0)</f>
        <v>0</v>
      </c>
      <c r="J30" s="120">
        <f>ROUND(SLN(D13+E13+F13+G13+H13+I13+J13,0,C30),0)</f>
        <v>0</v>
      </c>
      <c r="K30" s="120">
        <f>ROUND(SLN(D13+E13+F13+G13+H13+I13+J13+K13,0,C30),0)</f>
        <v>0</v>
      </c>
      <c r="L30" s="120">
        <f>ROUND(SLN(D13+E13+F13+G13+H13+I13+J13+K13+L13,0,C30),0)</f>
        <v>0</v>
      </c>
      <c r="M30" s="120">
        <f>ROUND(SLN(D13+E13+F13+G13+H13+I13+J13+K13+L13+M13,0,C30),0)</f>
        <v>0</v>
      </c>
      <c r="N30" s="273">
        <f>ROUND(SLN(E13+F13+G13+H13+I13+J13+K13+L13+M13+N13,0,C30),0)</f>
        <v>0</v>
      </c>
      <c r="O30" s="2415" t="s">
        <v>1059</v>
      </c>
      <c r="P30" s="934"/>
      <c r="Q30" s="259" t="str">
        <f>Q13</f>
        <v>IAA des constructions</v>
      </c>
      <c r="S30" s="934"/>
      <c r="T30" s="259" t="str">
        <f t="shared" ref="T30:T38" si="8">T13</f>
        <v>IAA des constructions</v>
      </c>
      <c r="Z30" s="1718"/>
      <c r="AA30" s="1732"/>
    </row>
    <row r="31" spans="1:27" s="86" customFormat="1" ht="15">
      <c r="A31" s="2409"/>
      <c r="B31" s="259" t="str">
        <f>IF(+Financier!Q31="","",IF('Mode Opératoire'!$I$1="Français",+Financier!Q31,Financier!T31))</f>
        <v>Architecte, MOD, études etc :</v>
      </c>
      <c r="C31" s="278">
        <v>10</v>
      </c>
      <c r="D31" s="281">
        <f t="shared" si="7"/>
        <v>0</v>
      </c>
      <c r="E31" s="120">
        <f t="shared" si="3"/>
        <v>0</v>
      </c>
      <c r="F31" s="120">
        <f t="shared" si="4"/>
        <v>0</v>
      </c>
      <c r="G31" s="120">
        <f t="shared" si="5"/>
        <v>0</v>
      </c>
      <c r="H31" s="120">
        <f t="shared" si="6"/>
        <v>0</v>
      </c>
      <c r="I31" s="120">
        <f>ROUND(SLN(D14+E14+F14+G14+H14+I14,0,C31),0)</f>
        <v>0</v>
      </c>
      <c r="J31" s="120">
        <f>ROUND(SLN(D14+E14+F14+G14+H14+I14+J14,0,C31),0)</f>
        <v>0</v>
      </c>
      <c r="K31" s="120">
        <f>ROUND(SLN(D14+E14+F14+G14+H14+I14+J14+K14,0,C31),0)</f>
        <v>0</v>
      </c>
      <c r="L31" s="120">
        <f>ROUND(SLN(D14+E14+F14+G14+H14+I14+J14+K14+L14,0,C31),0)</f>
        <v>0</v>
      </c>
      <c r="M31" s="120">
        <f>ROUND(SLN(D14+E14+F14+G14+H14+I14+J14+K14+L14+M14,0,C31),0)</f>
        <v>0</v>
      </c>
      <c r="N31" s="273">
        <f>ROUND(SLN(E14+F14+G14+H14+I14+J14+K14+L14+M14+N14,0,C31),0)</f>
        <v>0</v>
      </c>
      <c r="O31" s="2415" t="s">
        <v>1059</v>
      </c>
      <c r="P31" s="934"/>
      <c r="Q31" s="259" t="s">
        <v>2</v>
      </c>
      <c r="S31" s="934"/>
      <c r="T31" s="259" t="str">
        <f t="shared" si="8"/>
        <v>Architect/engineering</v>
      </c>
      <c r="Z31" s="1718"/>
      <c r="AA31" s="1732"/>
    </row>
    <row r="32" spans="1:27" s="86" customFormat="1" ht="15">
      <c r="A32" s="2409"/>
      <c r="B32" s="259" t="str">
        <f>IF(+Financier!Q32="","",IF('Mode Opératoire'!$I$1="Français",+Financier!Q32,Financier!T32))</f>
        <v>Matériel d'exploitation, chariots</v>
      </c>
      <c r="C32" s="278">
        <v>6</v>
      </c>
      <c r="D32" s="281">
        <f t="shared" si="7"/>
        <v>0</v>
      </c>
      <c r="E32" s="120">
        <f t="shared" si="3"/>
        <v>0</v>
      </c>
      <c r="F32" s="120">
        <f t="shared" si="4"/>
        <v>0</v>
      </c>
      <c r="G32" s="120">
        <f t="shared" si="5"/>
        <v>0</v>
      </c>
      <c r="H32" s="120">
        <f t="shared" si="6"/>
        <v>0</v>
      </c>
      <c r="I32" s="120">
        <f>ROUND(SLN(D15+E15+F15+G15+H15+I15,0,$C32),0)</f>
        <v>0</v>
      </c>
      <c r="J32" s="120">
        <f t="shared" ref="J32:N32" si="9">ROUND(SLN(E15+F15+G15+H15+I15+J15,0,$C32),0)</f>
        <v>0</v>
      </c>
      <c r="K32" s="120">
        <f t="shared" si="9"/>
        <v>0</v>
      </c>
      <c r="L32" s="120">
        <f t="shared" si="9"/>
        <v>0</v>
      </c>
      <c r="M32" s="120">
        <f t="shared" si="9"/>
        <v>0</v>
      </c>
      <c r="N32" s="273">
        <f t="shared" si="9"/>
        <v>0</v>
      </c>
      <c r="O32" s="2415" t="s">
        <v>1059</v>
      </c>
      <c r="P32" s="934"/>
      <c r="Q32" s="259" t="str">
        <f t="shared" ref="Q32:Q38" si="10">Q15</f>
        <v>Matériel d'exploitation, chariots</v>
      </c>
      <c r="S32" s="934"/>
      <c r="T32" s="259" t="str">
        <f t="shared" si="8"/>
        <v>Operational materals, forklifts</v>
      </c>
      <c r="Z32" s="1718"/>
      <c r="AA32" s="1732"/>
    </row>
    <row r="33" spans="1:27" s="86" customFormat="1" ht="15">
      <c r="A33" s="2409"/>
      <c r="B33" s="259" t="str">
        <f>IF(+Financier!Q33="","",IF('Mode Opératoire'!$I$1="Français",+Financier!Q33,Financier!T33))</f>
        <v>Installation specifiques, racks</v>
      </c>
      <c r="C33" s="278">
        <v>10</v>
      </c>
      <c r="D33" s="281">
        <f t="shared" ref="D33" si="11">ROUND(SLN(D16,0,C33),0)</f>
        <v>0</v>
      </c>
      <c r="E33" s="120">
        <f t="shared" ref="E33" si="12">ROUND(SLN(D16+E16,0,C33),0)</f>
        <v>0</v>
      </c>
      <c r="F33" s="120">
        <f t="shared" ref="F33" si="13">ROUND(SLN(D16+E16+F16,0,C33),0)</f>
        <v>0</v>
      </c>
      <c r="G33" s="120">
        <f t="shared" ref="G33" si="14">ROUND(SLN(D16+E16+F16+G16,0,C33),0)</f>
        <v>0</v>
      </c>
      <c r="H33" s="120">
        <f t="shared" ref="H33" si="15">ROUND(SLN(D16+E16+F16+G16+H16,0,C33),0)</f>
        <v>0</v>
      </c>
      <c r="I33" s="120">
        <f>ROUND(SLN(D16+E16+F16+G16+H16+I16,0,C33),0)</f>
        <v>0</v>
      </c>
      <c r="J33" s="120">
        <f>ROUND(SLN(D16+E16+F16+G16+H16+I16+J16,0,C33),0)</f>
        <v>0</v>
      </c>
      <c r="K33" s="120">
        <f>ROUND(SLN(D16+E16+F16+G16+H16+I16+J16+K16,0,C33),0)</f>
        <v>0</v>
      </c>
      <c r="L33" s="120">
        <f>ROUND(SLN(D16+E16+F16+G16+H16+I16+J16+K16+L16,0,C33),0)</f>
        <v>0</v>
      </c>
      <c r="M33" s="120">
        <f>ROUND(SLN(D16+E16+F16+G16+H16+I16+J16+K16+L16+M16,0,C33),0)</f>
        <v>0</v>
      </c>
      <c r="N33" s="273">
        <f>ROUND(SLN(E16+F16+G16+H16+I16+J16+K16+L16+M16+N16,0,C33),0)</f>
        <v>0</v>
      </c>
      <c r="O33" s="2415" t="s">
        <v>1059</v>
      </c>
      <c r="P33" s="934"/>
      <c r="Q33" s="259" t="str">
        <f t="shared" si="10"/>
        <v>Installation specifiques, racks</v>
      </c>
      <c r="S33" s="934"/>
      <c r="T33" s="259" t="str">
        <f t="shared" si="8"/>
        <v>Installation specifiques, racks</v>
      </c>
      <c r="Z33" s="1718"/>
      <c r="AA33" s="1732"/>
    </row>
    <row r="34" spans="1:27" s="86" customFormat="1" ht="15">
      <c r="A34" s="2409"/>
      <c r="B34" s="259" t="str">
        <f>IF(+Financier!Q34="","",IF('Mode Opératoire'!$I$1="Français",+Financier!Q34,Financier!T34))</f>
        <v>Matériel de Bureau</v>
      </c>
      <c r="C34" s="278">
        <v>5</v>
      </c>
      <c r="D34" s="281">
        <f>ROUND(SLN(D17,0,C34),0)</f>
        <v>0</v>
      </c>
      <c r="E34" s="120">
        <f>ROUND(SLN(D17+E17,0,C34),0)</f>
        <v>0</v>
      </c>
      <c r="F34" s="120">
        <f>ROUND(SLN(D17+E17+F17,0,C34),0)</f>
        <v>0</v>
      </c>
      <c r="G34" s="120">
        <f>ROUND(SLN(D17+E17+F17+G17,0,C34),0)</f>
        <v>0</v>
      </c>
      <c r="H34" s="120">
        <f>ROUND(SLN(D17+E17+F17+G17+H17,0,C34),0)</f>
        <v>0</v>
      </c>
      <c r="I34" s="120">
        <f>ROUND(SLN(E17+F17+G17+H17+I17,0,$C34),0)</f>
        <v>0</v>
      </c>
      <c r="J34" s="120">
        <f t="shared" ref="J34:N34" si="16">ROUND(SLN(F17+G17+H17+I17+J17,0,$C34),0)</f>
        <v>0</v>
      </c>
      <c r="K34" s="120">
        <f t="shared" si="16"/>
        <v>0</v>
      </c>
      <c r="L34" s="120">
        <f t="shared" si="16"/>
        <v>0</v>
      </c>
      <c r="M34" s="120">
        <f t="shared" si="16"/>
        <v>0</v>
      </c>
      <c r="N34" s="273">
        <f t="shared" si="16"/>
        <v>0</v>
      </c>
      <c r="O34" s="2415" t="s">
        <v>1059</v>
      </c>
      <c r="P34" s="934"/>
      <c r="Q34" s="259" t="str">
        <f t="shared" si="10"/>
        <v>Matériel de Bureau</v>
      </c>
      <c r="S34" s="934"/>
      <c r="T34" s="259" t="str">
        <f t="shared" si="8"/>
        <v>Office Materials</v>
      </c>
      <c r="Z34" s="1718"/>
      <c r="AA34" s="1732"/>
    </row>
    <row r="35" spans="1:27" s="86" customFormat="1" ht="15">
      <c r="A35" s="2409"/>
      <c r="B35" s="259" t="str">
        <f>IF(+Financier!Q35="","",IF('Mode Opératoire'!$I$1="Français",+Financier!Q35,Financier!T35))</f>
        <v>Equipement Informatique</v>
      </c>
      <c r="C35" s="278">
        <v>3</v>
      </c>
      <c r="D35" s="281">
        <f t="shared" si="7"/>
        <v>0</v>
      </c>
      <c r="E35" s="120">
        <f t="shared" si="3"/>
        <v>0</v>
      </c>
      <c r="F35" s="120">
        <f>ROUND(SLN(D18+E18+F18,0,C35),0)</f>
        <v>0</v>
      </c>
      <c r="G35" s="120">
        <f>ROUND(SLN(E18+F18+G18,0,C35),0)</f>
        <v>0</v>
      </c>
      <c r="H35" s="120">
        <f>ROUND(SLN(F18+G18+H18,0,C35),0)</f>
        <v>0</v>
      </c>
      <c r="I35" s="120">
        <f>ROUND(SLN(G18+H18+I18,0,C35),0)</f>
        <v>0</v>
      </c>
      <c r="J35" s="120">
        <f>ROUND(SLN(H18+I18+J18,0,C35),0)</f>
        <v>0</v>
      </c>
      <c r="K35" s="120">
        <f>ROUND(SLN(I18+J18+K18,0,C35),0)</f>
        <v>0</v>
      </c>
      <c r="L35" s="120">
        <f>ROUND(SLN(J18+K18+L18,0,C35),0)</f>
        <v>0</v>
      </c>
      <c r="M35" s="120">
        <f>ROUND(SLN(K18+L18+M18,0,C35),0)</f>
        <v>0</v>
      </c>
      <c r="N35" s="273">
        <f>ROUND(SLN(L18+M18+N18,0,C35),0)</f>
        <v>0</v>
      </c>
      <c r="O35" s="2415" t="s">
        <v>1059</v>
      </c>
      <c r="P35" s="934"/>
      <c r="Q35" s="259" t="str">
        <f t="shared" si="10"/>
        <v>Equipement Informatique</v>
      </c>
      <c r="S35" s="934"/>
      <c r="T35" s="259" t="str">
        <f t="shared" si="8"/>
        <v>IT Equipments</v>
      </c>
      <c r="Z35" s="1718"/>
      <c r="AA35" s="1732"/>
    </row>
    <row r="36" spans="1:27" s="86" customFormat="1" ht="15">
      <c r="A36" s="2409"/>
      <c r="B36" s="259" t="str">
        <f>IF(+Financier!Q36="","",IF('Mode Opératoire'!$I$1="Français",+Financier!Q36,Financier!T36))</f>
        <v>Informatique</v>
      </c>
      <c r="C36" s="278">
        <v>4</v>
      </c>
      <c r="D36" s="281">
        <f t="shared" si="7"/>
        <v>0</v>
      </c>
      <c r="E36" s="120">
        <f t="shared" si="3"/>
        <v>0</v>
      </c>
      <c r="F36" s="120">
        <f t="shared" si="4"/>
        <v>0</v>
      </c>
      <c r="G36" s="120">
        <f>ROUND(SLN(D19+E19+F19+G19,0,C36),0)</f>
        <v>0</v>
      </c>
      <c r="H36" s="120">
        <f>ROUND(SLN(E19+F19+G19+H19,0,C36),0)</f>
        <v>0</v>
      </c>
      <c r="I36" s="120">
        <f>ROUND(SLN(F19+G19+H19+I19,0,C36),0)</f>
        <v>0</v>
      </c>
      <c r="J36" s="120">
        <f>ROUND(SLN(G19+H19+I19+J19,0,C36),0)</f>
        <v>0</v>
      </c>
      <c r="K36" s="120">
        <f>ROUND(SLN(H19+I19+J19+K19,0,C36),0)</f>
        <v>0</v>
      </c>
      <c r="L36" s="120">
        <f>ROUND(SLN(I19+J19+K19+L19,0,C36),0)</f>
        <v>0</v>
      </c>
      <c r="M36" s="120">
        <f>ROUND(SLN(J19+K19+L19+M19,0,C36),0)</f>
        <v>0</v>
      </c>
      <c r="N36" s="273">
        <f>ROUND(SLN(K19+L19+M19+N19,0,C36),0)</f>
        <v>0</v>
      </c>
      <c r="O36" s="2415" t="s">
        <v>1059</v>
      </c>
      <c r="P36" s="934"/>
      <c r="Q36" s="259" t="str">
        <f t="shared" si="10"/>
        <v>Informatique</v>
      </c>
      <c r="S36" s="934"/>
      <c r="T36" s="259" t="str">
        <f t="shared" si="8"/>
        <v>IT system</v>
      </c>
      <c r="Z36" s="1718"/>
      <c r="AA36" s="1732"/>
    </row>
    <row r="37" spans="1:27" s="86" customFormat="1" ht="15">
      <c r="A37" s="2409"/>
      <c r="B37" s="259" t="str">
        <f>IF(+Financier!Q37="","",IF('Mode Opératoire'!$I$1="Français",+Financier!Q37,Financier!T37))</f>
        <v>Mobiliers</v>
      </c>
      <c r="C37" s="278">
        <v>10</v>
      </c>
      <c r="D37" s="281">
        <f t="shared" ref="D37" si="17">ROUND(SLN(D20,0,C37),0)</f>
        <v>0</v>
      </c>
      <c r="E37" s="120">
        <f t="shared" ref="E37" si="18">ROUND(SLN(D20+E20,0,C37),0)</f>
        <v>0</v>
      </c>
      <c r="F37" s="120">
        <f t="shared" ref="F37" si="19">ROUND(SLN(D20+E20+F20,0,C37),0)</f>
        <v>0</v>
      </c>
      <c r="G37" s="120">
        <f t="shared" ref="G37" si="20">ROUND(SLN(D20+E20+F20+G20,0,C37),0)</f>
        <v>0</v>
      </c>
      <c r="H37" s="120">
        <f t="shared" ref="H37" si="21">ROUND(SLN(D20+E20+F20+G20+H20,0,C37),0)</f>
        <v>0</v>
      </c>
      <c r="I37" s="120">
        <f>ROUND(SLN(D20+E20+F20+G20+H20+I20,0,C37),0)</f>
        <v>0</v>
      </c>
      <c r="J37" s="120">
        <f>ROUND(SLN(D20+E20+F20+G20+H20+I20+J20,0,C37),0)</f>
        <v>0</v>
      </c>
      <c r="K37" s="120">
        <f>ROUND(SLN(D20+E20+F20+G20+H20+I20+J20+K20,0,C37),0)</f>
        <v>0</v>
      </c>
      <c r="L37" s="120">
        <f>ROUND(SLN(D20+E20+F20+G20+H20+I20+J20+K20+L20,0,C37),0)</f>
        <v>0</v>
      </c>
      <c r="M37" s="120">
        <f>ROUND(SLN(D20+E20+F20+G20+H20+I20+J20+K20+L20+M20,0,C37),0)</f>
        <v>0</v>
      </c>
      <c r="N37" s="273">
        <f>ROUND(SLN(E20+F20+G20+H20+I20+J20+K20+L20+M20+N20,0,C37),0)</f>
        <v>0</v>
      </c>
      <c r="O37" s="2415" t="s">
        <v>1059</v>
      </c>
      <c r="P37" s="934"/>
      <c r="Q37" s="259" t="str">
        <f t="shared" si="10"/>
        <v>Mobiliers</v>
      </c>
      <c r="S37" s="934"/>
      <c r="T37" s="259" t="str">
        <f t="shared" si="8"/>
        <v>Furnitures</v>
      </c>
      <c r="Z37" s="1718"/>
      <c r="AA37" s="1732"/>
    </row>
    <row r="38" spans="1:27" s="86" customFormat="1" ht="15">
      <c r="A38" s="2409"/>
      <c r="B38" s="259" t="str">
        <f>IF(+Financier!Q38="","",IF('Mode Opératoire'!$I$1="Français",+Financier!Q38,Financier!T38))</f>
        <v>Autres</v>
      </c>
      <c r="C38" s="278">
        <v>7</v>
      </c>
      <c r="D38" s="281">
        <f t="shared" si="7"/>
        <v>0</v>
      </c>
      <c r="E38" s="120">
        <f t="shared" si="3"/>
        <v>0</v>
      </c>
      <c r="F38" s="120">
        <f t="shared" si="4"/>
        <v>0</v>
      </c>
      <c r="G38" s="120">
        <f>ROUND(SLN(D21+E21+F21+G21,0,C38),0)</f>
        <v>0</v>
      </c>
      <c r="H38" s="120">
        <f>ROUND(SLN(D21+E21+F21+G21+H21,0,C38),0)</f>
        <v>0</v>
      </c>
      <c r="I38" s="120">
        <f>ROUND(SLN(D21+E21+F21+G21+H21+I21,0,C38),0)</f>
        <v>0</v>
      </c>
      <c r="J38" s="120">
        <f>ROUND(SLN(D21+E21+F21+G21+H21+I21+J21,0,C38),0)</f>
        <v>0</v>
      </c>
      <c r="K38" s="120">
        <f>ROUND(SLN(E21+F21+G21+H21+I21+J21+K21,0,C38),0)</f>
        <v>0</v>
      </c>
      <c r="L38" s="120">
        <f>ROUND(SLN(F21+G21+H21+I21+J21+K21+L21,0,C38),0)</f>
        <v>0</v>
      </c>
      <c r="M38" s="120">
        <f>ROUND(SLN(G21+H21+I21+J21+K21+L21+M21,0,C38),0)</f>
        <v>0</v>
      </c>
      <c r="N38" s="273">
        <f>ROUND(SLN(H21+I21+J21+K21+L21+M21+N21,0,C38),0)</f>
        <v>0</v>
      </c>
      <c r="O38" s="2415" t="s">
        <v>1059</v>
      </c>
      <c r="P38" s="934"/>
      <c r="Q38" s="259" t="str">
        <f t="shared" si="10"/>
        <v>Autres</v>
      </c>
      <c r="S38" s="934"/>
      <c r="T38" s="259" t="str">
        <f t="shared" si="8"/>
        <v>Other</v>
      </c>
      <c r="Z38" s="1718"/>
      <c r="AA38" s="1732"/>
    </row>
    <row r="39" spans="1:27" s="86" customFormat="1" ht="15">
      <c r="A39" s="2408"/>
      <c r="B39" s="259" t="str">
        <f>IF(+Financier!Q39="","",IF('Mode Opératoire'!$I$1="Français",+Financier!Q39,Financier!T39))</f>
        <v/>
      </c>
      <c r="C39" s="278">
        <v>8</v>
      </c>
      <c r="D39" s="282">
        <f t="shared" si="7"/>
        <v>0</v>
      </c>
      <c r="E39" s="120">
        <f t="shared" si="3"/>
        <v>0</v>
      </c>
      <c r="F39" s="120">
        <f t="shared" si="4"/>
        <v>0</v>
      </c>
      <c r="G39" s="120">
        <f>ROUND(SLN(D22+E22+F22+G22,0,C39),0)</f>
        <v>0</v>
      </c>
      <c r="H39" s="120">
        <f>ROUND(SLN(D22+E22+F22+G22+H22,0,C39),0)</f>
        <v>0</v>
      </c>
      <c r="I39" s="120">
        <f>ROUND(SLN(D22+E22+F22+G22+H22+I22,0,C39),0)</f>
        <v>0</v>
      </c>
      <c r="J39" s="120">
        <f>ROUND(SLN(D22+E22+F22+G22+H22+I22+J22,0,C39),0)</f>
        <v>0</v>
      </c>
      <c r="K39" s="120">
        <f>ROUND(SLN(D22+E22+F22+G22+H22+I22+J22+K22,0,C39),0)</f>
        <v>0</v>
      </c>
      <c r="L39" s="120">
        <f>ROUND(SLN(E22+F22+G22+H22+I22+J22+K22+L22,0,C39),0)</f>
        <v>0</v>
      </c>
      <c r="M39" s="120">
        <f>ROUND(SLN(F22+G22+H22+I22+J22+K22+L22+M22,0,C39),0)</f>
        <v>0</v>
      </c>
      <c r="N39" s="273">
        <f>ROUND(SLN(G22+H22+I22+J22+K22+L22+M22+N22,0,C39),0)</f>
        <v>0</v>
      </c>
      <c r="O39" s="2415" t="s">
        <v>1059</v>
      </c>
      <c r="P39" s="85"/>
      <c r="Q39" s="259"/>
      <c r="S39" s="85"/>
      <c r="T39" s="259"/>
      <c r="Z39" s="1718"/>
      <c r="AA39" s="1732"/>
    </row>
    <row r="40" spans="1:27" s="86" customFormat="1" ht="15">
      <c r="A40" s="2408"/>
      <c r="B40" s="274" t="str">
        <f>IF(+Financier!Q40="","",IF('Mode Opératoire'!$I$1="Français",+Financier!Q40,Financier!T40))</f>
        <v/>
      </c>
      <c r="C40" s="279">
        <v>9</v>
      </c>
      <c r="D40" s="283">
        <f t="shared" si="7"/>
        <v>0</v>
      </c>
      <c r="E40" s="275">
        <f t="shared" si="3"/>
        <v>0</v>
      </c>
      <c r="F40" s="275">
        <f t="shared" si="4"/>
        <v>0</v>
      </c>
      <c r="G40" s="275">
        <f>ROUND(SLN(D23+E23+F23+G23,0,C40),0)</f>
        <v>0</v>
      </c>
      <c r="H40" s="275">
        <f>ROUND(SLN(D23+E23+F23+G23+H23,0,C40),0)</f>
        <v>0</v>
      </c>
      <c r="I40" s="275">
        <f>ROUND(SLN(D23+E23+F23+G23+H23+I23,0,C40),0)</f>
        <v>0</v>
      </c>
      <c r="J40" s="275">
        <f>ROUND(SLN(D23+E23+F23+G23+H23+I23+J23,0,C40),0)</f>
        <v>0</v>
      </c>
      <c r="K40" s="275">
        <f>ROUND(SLN(D23+E23+F23+G23+H23+I23+J23+K23,0,C40),0)</f>
        <v>0</v>
      </c>
      <c r="L40" s="275">
        <f>ROUND(SLN(D23+E23+F23+G23+H23+I23+J23+K23+L23,0,C40),0)</f>
        <v>0</v>
      </c>
      <c r="M40" s="275">
        <f>ROUND(SLN(E23+F23+G23+H23+I23+J23+K23+L23+M23,0,C40),0)</f>
        <v>0</v>
      </c>
      <c r="N40" s="276">
        <f>ROUND(SLN(F23+G23+H23+I23+J23+K23+L23+M23+N23,0,C40),0)</f>
        <v>0</v>
      </c>
      <c r="O40" s="2415" t="s">
        <v>1059</v>
      </c>
      <c r="P40" s="85"/>
      <c r="Q40" s="274"/>
      <c r="S40" s="85"/>
      <c r="T40" s="274"/>
      <c r="Z40" s="1718"/>
      <c r="AA40" s="1732"/>
    </row>
    <row r="41" spans="1:27" s="98" customFormat="1" ht="15.75" customHeight="1">
      <c r="A41" s="2410"/>
      <c r="B41" s="284" t="str">
        <f>IF('Mode Opératoire'!$I$1="Français",+Financier!Q41,Financier!T41)</f>
        <v>Amortissements annuels</v>
      </c>
      <c r="C41" s="285"/>
      <c r="D41" s="266">
        <f t="shared" ref="D41:M41" si="22">SUM(D28:D40)</f>
        <v>0</v>
      </c>
      <c r="E41" s="266">
        <f t="shared" si="22"/>
        <v>0</v>
      </c>
      <c r="F41" s="266">
        <f t="shared" si="22"/>
        <v>0</v>
      </c>
      <c r="G41" s="266">
        <f t="shared" si="22"/>
        <v>0</v>
      </c>
      <c r="H41" s="266">
        <f t="shared" si="22"/>
        <v>0</v>
      </c>
      <c r="I41" s="266">
        <f t="shared" si="22"/>
        <v>0</v>
      </c>
      <c r="J41" s="266">
        <f t="shared" si="22"/>
        <v>0</v>
      </c>
      <c r="K41" s="266">
        <f t="shared" si="22"/>
        <v>0</v>
      </c>
      <c r="L41" s="266">
        <f t="shared" si="22"/>
        <v>0</v>
      </c>
      <c r="M41" s="266">
        <f t="shared" si="22"/>
        <v>0</v>
      </c>
      <c r="N41" s="266">
        <f>SUM(N28:N40)</f>
        <v>0</v>
      </c>
      <c r="O41" s="2407"/>
      <c r="P41" s="95"/>
      <c r="Q41" s="284" t="s">
        <v>14</v>
      </c>
      <c r="S41" s="95"/>
      <c r="T41" s="284" t="s">
        <v>751</v>
      </c>
      <c r="Z41" s="1719"/>
      <c r="AA41" s="1733"/>
    </row>
    <row r="42" spans="1:27" s="102" customFormat="1" ht="15">
      <c r="A42" s="2408"/>
      <c r="B42" s="268" t="str">
        <f>IF('Mode Opératoire'!$I$1="Français",+Financier!Q42,Financier!T42)</f>
        <v>Amortissements cumulés</v>
      </c>
      <c r="C42" s="269"/>
      <c r="D42" s="270">
        <f>D41</f>
        <v>0</v>
      </c>
      <c r="E42" s="270">
        <f t="shared" ref="E42:M42" si="23">D42+E41</f>
        <v>0</v>
      </c>
      <c r="F42" s="270">
        <f t="shared" si="23"/>
        <v>0</v>
      </c>
      <c r="G42" s="270">
        <f t="shared" si="23"/>
        <v>0</v>
      </c>
      <c r="H42" s="270">
        <f t="shared" si="23"/>
        <v>0</v>
      </c>
      <c r="I42" s="270">
        <f t="shared" si="23"/>
        <v>0</v>
      </c>
      <c r="J42" s="270">
        <f t="shared" si="23"/>
        <v>0</v>
      </c>
      <c r="K42" s="270">
        <f t="shared" si="23"/>
        <v>0</v>
      </c>
      <c r="L42" s="270">
        <f t="shared" si="23"/>
        <v>0</v>
      </c>
      <c r="M42" s="270">
        <f t="shared" si="23"/>
        <v>0</v>
      </c>
      <c r="N42" s="270">
        <f>M42+N41</f>
        <v>0</v>
      </c>
      <c r="O42" s="2415"/>
      <c r="P42" s="85"/>
      <c r="Q42" s="268" t="s">
        <v>153</v>
      </c>
      <c r="S42" s="85"/>
      <c r="T42" s="268" t="s">
        <v>773</v>
      </c>
      <c r="Z42" s="1720"/>
      <c r="AA42" s="1734"/>
    </row>
    <row r="43" spans="1:27" s="103" customFormat="1" ht="18">
      <c r="A43" s="2410"/>
      <c r="B43" s="2411"/>
      <c r="C43" s="2411"/>
      <c r="D43" s="2411"/>
      <c r="E43" s="2411"/>
      <c r="F43" s="2411"/>
      <c r="G43" s="2411"/>
      <c r="H43" s="2411"/>
      <c r="I43" s="2411"/>
      <c r="J43" s="2411"/>
      <c r="K43" s="2411"/>
      <c r="L43" s="2411"/>
      <c r="M43" s="2411"/>
      <c r="N43" s="2411"/>
      <c r="O43" s="2411"/>
      <c r="P43" s="95"/>
      <c r="Q43" s="104"/>
      <c r="S43" s="95"/>
      <c r="T43" s="104"/>
      <c r="Z43" s="1722"/>
      <c r="AA43" s="1736"/>
    </row>
    <row r="44" spans="1:27" s="98" customFormat="1" ht="15.75" customHeight="1">
      <c r="A44" s="2410"/>
      <c r="B44" s="264" t="str">
        <f>IF('Mode Opératoire'!$I$1="Français",+Financier!Q44,Financier!T44)</f>
        <v>Valeur Nette des Immobilisations</v>
      </c>
      <c r="C44" s="286"/>
      <c r="D44" s="266">
        <f>D24-D41</f>
        <v>0</v>
      </c>
      <c r="E44" s="266">
        <f>+D44+E24-E41</f>
        <v>0</v>
      </c>
      <c r="F44" s="266">
        <f>+E44+F24-F41</f>
        <v>0</v>
      </c>
      <c r="G44" s="266">
        <f>+F44+G24-G41</f>
        <v>0</v>
      </c>
      <c r="H44" s="266">
        <f>+G44+H24-H41</f>
        <v>0</v>
      </c>
      <c r="I44" s="266">
        <f t="shared" ref="I44:N44" si="24">+H44+I24-I41</f>
        <v>0</v>
      </c>
      <c r="J44" s="266">
        <f t="shared" si="24"/>
        <v>0</v>
      </c>
      <c r="K44" s="266">
        <f t="shared" si="24"/>
        <v>0</v>
      </c>
      <c r="L44" s="266">
        <f t="shared" si="24"/>
        <v>0</v>
      </c>
      <c r="M44" s="266">
        <f t="shared" si="24"/>
        <v>0</v>
      </c>
      <c r="N44" s="266">
        <f t="shared" si="24"/>
        <v>0</v>
      </c>
      <c r="O44" s="2407"/>
      <c r="P44" s="95"/>
      <c r="Q44" s="264" t="s">
        <v>15</v>
      </c>
      <c r="S44" s="95"/>
      <c r="T44" s="264" t="s">
        <v>774</v>
      </c>
      <c r="Z44" s="1719"/>
      <c r="AA44" s="1733"/>
    </row>
    <row r="45" spans="1:27" s="9" customFormat="1">
      <c r="A45" s="2404"/>
      <c r="B45" s="2404"/>
      <c r="C45" s="2404"/>
      <c r="D45" s="2404"/>
      <c r="E45" s="2404"/>
      <c r="F45" s="2404"/>
      <c r="G45" s="2404"/>
      <c r="H45" s="2404"/>
      <c r="I45" s="2404"/>
      <c r="J45" s="2404"/>
      <c r="K45" s="2404"/>
      <c r="L45" s="2404"/>
      <c r="M45" s="2404"/>
      <c r="N45" s="2404"/>
      <c r="O45" s="2404"/>
      <c r="P45" s="6"/>
      <c r="Q45" s="6"/>
      <c r="S45" s="6"/>
      <c r="T45" s="6"/>
      <c r="Z45" s="1723"/>
      <c r="AA45" s="1737"/>
    </row>
    <row r="46" spans="1:27" s="9" customFormat="1">
      <c r="A46" s="2404"/>
      <c r="B46" s="2404"/>
      <c r="C46" s="2404"/>
      <c r="D46" s="2404"/>
      <c r="E46" s="2404"/>
      <c r="F46" s="2404"/>
      <c r="G46" s="2404"/>
      <c r="H46" s="2404"/>
      <c r="I46" s="2404"/>
      <c r="J46" s="2404"/>
      <c r="K46" s="2404"/>
      <c r="L46" s="2404"/>
      <c r="M46" s="2404"/>
      <c r="N46" s="2404"/>
      <c r="O46" s="2404"/>
      <c r="P46" s="6"/>
      <c r="Q46" s="6"/>
      <c r="S46" s="6"/>
      <c r="T46" s="6"/>
      <c r="Z46" s="1723"/>
      <c r="AA46" s="1737"/>
    </row>
    <row r="47" spans="1:27" s="101" customFormat="1" ht="18" customHeight="1">
      <c r="A47" s="2831" t="str">
        <f>IF('Mode Opératoire'!$I$1="Français",+Financier!P47,Financier!S47)</f>
        <v>Compte d'exploitation</v>
      </c>
      <c r="B47" s="2831"/>
      <c r="C47" s="2412"/>
      <c r="D47" s="2413"/>
      <c r="E47" s="2413"/>
      <c r="F47" s="2413"/>
      <c r="G47" s="2413"/>
      <c r="H47" s="2413"/>
      <c r="I47" s="2413"/>
      <c r="J47" s="2413"/>
      <c r="K47" s="2413"/>
      <c r="L47" s="2413"/>
      <c r="M47" s="2413"/>
      <c r="N47" s="2414"/>
      <c r="O47" s="2414"/>
      <c r="P47" s="2831" t="s">
        <v>16</v>
      </c>
      <c r="Q47" s="2831"/>
      <c r="S47" s="2831" t="s">
        <v>775</v>
      </c>
      <c r="T47" s="2831"/>
      <c r="Z47" s="1721"/>
      <c r="AA47" s="1735"/>
    </row>
    <row r="48" spans="1:27" s="86" customFormat="1" ht="15">
      <c r="A48" s="2408"/>
      <c r="B48" s="287" t="str">
        <f>IF('Mode Opératoire'!$I$1="Français",+Financier!Q48,Financier!T48)</f>
        <v>Ventes PSA</v>
      </c>
      <c r="C48" s="288" t="s">
        <v>18</v>
      </c>
      <c r="D48" s="296" t="e">
        <f>'Cpte exploitation 1+2+3'!D14</f>
        <v>#REF!</v>
      </c>
      <c r="E48" s="296" t="e">
        <f>'Cpte exploitation 1+2+3'!E14</f>
        <v>#REF!</v>
      </c>
      <c r="F48" s="296" t="e">
        <f>'Cpte exploitation 1+2+3'!F14</f>
        <v>#REF!</v>
      </c>
      <c r="G48" s="296" t="e">
        <f>'Cpte exploitation 1+2+3'!G14</f>
        <v>#REF!</v>
      </c>
      <c r="H48" s="296" t="e">
        <f>'Cpte exploitation 1+2+3'!H14</f>
        <v>#REF!</v>
      </c>
      <c r="I48" s="296" t="e">
        <f>'Cpte exploitation 1+2+3'!I14</f>
        <v>#REF!</v>
      </c>
      <c r="J48" s="296" t="e">
        <f>+I48</f>
        <v>#REF!</v>
      </c>
      <c r="K48" s="296" t="e">
        <f>+J48</f>
        <v>#REF!</v>
      </c>
      <c r="L48" s="296" t="e">
        <f>+K48</f>
        <v>#REF!</v>
      </c>
      <c r="M48" s="296" t="e">
        <f>+L48</f>
        <v>#REF!</v>
      </c>
      <c r="N48" s="297" t="e">
        <f>+M48</f>
        <v>#REF!</v>
      </c>
      <c r="O48" s="2408"/>
      <c r="P48" s="85"/>
      <c r="Q48" s="287" t="s">
        <v>17</v>
      </c>
      <c r="S48" s="85"/>
      <c r="T48" s="287" t="s">
        <v>79</v>
      </c>
      <c r="Z48" s="1718"/>
      <c r="AA48" s="1732"/>
    </row>
    <row r="49" spans="1:27" s="86" customFormat="1" ht="15">
      <c r="A49" s="2408"/>
      <c r="B49" s="289" t="str">
        <f>IF('Mode Opératoire'!$I$1="Français",+Financier!Q49,Financier!T49)</f>
        <v>Ventes Hors Groupe</v>
      </c>
      <c r="C49" s="290" t="s">
        <v>18</v>
      </c>
      <c r="D49" s="298" t="e">
        <f>'Cpte exploitation 1+2+3'!D15</f>
        <v>#REF!</v>
      </c>
      <c r="E49" s="121" t="e">
        <f>'Cpte exploitation 1+2+3'!E15</f>
        <v>#REF!</v>
      </c>
      <c r="F49" s="121" t="e">
        <f>'Cpte exploitation 1+2+3'!F15</f>
        <v>#REF!</v>
      </c>
      <c r="G49" s="121" t="e">
        <f>'Cpte exploitation 1+2+3'!G15</f>
        <v>#REF!</v>
      </c>
      <c r="H49" s="121" t="e">
        <f>'Cpte exploitation 1+2+3'!H15</f>
        <v>#REF!</v>
      </c>
      <c r="I49" s="121" t="e">
        <f>'Cpte exploitation 1+2+3'!I15</f>
        <v>#REF!</v>
      </c>
      <c r="J49" s="121" t="e">
        <f t="shared" ref="J49:N52" si="25">+I49</f>
        <v>#REF!</v>
      </c>
      <c r="K49" s="121" t="e">
        <f t="shared" si="25"/>
        <v>#REF!</v>
      </c>
      <c r="L49" s="121" t="e">
        <f t="shared" si="25"/>
        <v>#REF!</v>
      </c>
      <c r="M49" s="121" t="e">
        <f t="shared" si="25"/>
        <v>#REF!</v>
      </c>
      <c r="N49" s="299" t="e">
        <f t="shared" si="25"/>
        <v>#REF!</v>
      </c>
      <c r="O49" s="2408"/>
      <c r="P49" s="85"/>
      <c r="Q49" s="289" t="s">
        <v>19</v>
      </c>
      <c r="S49" s="85"/>
      <c r="T49" s="289" t="s">
        <v>80</v>
      </c>
      <c r="Z49" s="1718"/>
      <c r="AA49" s="1732"/>
    </row>
    <row r="50" spans="1:27" s="86" customFormat="1" ht="15">
      <c r="A50" s="2408"/>
      <c r="B50" s="291" t="str">
        <f>IF('Mode Opératoire'!$I$1="Français",+Financier!Q50,Financier!T50)</f>
        <v>Ventes GM</v>
      </c>
      <c r="C50" s="290" t="s">
        <v>18</v>
      </c>
      <c r="D50" s="300" t="e">
        <f>'Cpte exploitation 1+2+3'!D16</f>
        <v>#REF!</v>
      </c>
      <c r="E50" s="122" t="e">
        <f>'Cpte exploitation 1+2+3'!E16</f>
        <v>#REF!</v>
      </c>
      <c r="F50" s="122" t="e">
        <f>'Cpte exploitation 1+2+3'!F16</f>
        <v>#REF!</v>
      </c>
      <c r="G50" s="122" t="e">
        <f>'Cpte exploitation 1+2+3'!G16</f>
        <v>#REF!</v>
      </c>
      <c r="H50" s="122" t="e">
        <f>'Cpte exploitation 1+2+3'!H16</f>
        <v>#REF!</v>
      </c>
      <c r="I50" s="122" t="e">
        <f>'Cpte exploitation 1+2+3'!I16</f>
        <v>#REF!</v>
      </c>
      <c r="J50" s="122" t="e">
        <f t="shared" ref="J50:J51" si="26">+I50</f>
        <v>#REF!</v>
      </c>
      <c r="K50" s="122" t="e">
        <f t="shared" ref="K50:K51" si="27">+J50</f>
        <v>#REF!</v>
      </c>
      <c r="L50" s="122" t="e">
        <f t="shared" ref="L50:L51" si="28">+K50</f>
        <v>#REF!</v>
      </c>
      <c r="M50" s="122" t="e">
        <f t="shared" ref="M50:M51" si="29">+L50</f>
        <v>#REF!</v>
      </c>
      <c r="N50" s="301" t="e">
        <f t="shared" ref="N50:N51" si="30">+M50</f>
        <v>#REF!</v>
      </c>
      <c r="O50" s="2408"/>
      <c r="P50" s="85"/>
      <c r="Q50" s="291" t="s">
        <v>948</v>
      </c>
      <c r="S50" s="85"/>
      <c r="T50" s="291" t="s">
        <v>952</v>
      </c>
      <c r="Z50" s="1718"/>
      <c r="AA50" s="1732"/>
    </row>
    <row r="51" spans="1:27" s="86" customFormat="1" ht="15">
      <c r="A51" s="2408"/>
      <c r="B51" s="291" t="str">
        <f>IF('Mode Opératoire'!$I$1="Français",+Financier!Q51,Financier!T51)</f>
        <v>Ventes RZD</v>
      </c>
      <c r="C51" s="290" t="s">
        <v>18</v>
      </c>
      <c r="D51" s="300" t="e">
        <f>'Cpte exploitation 1+2+3'!D17</f>
        <v>#REF!</v>
      </c>
      <c r="E51" s="122" t="e">
        <f>'Cpte exploitation 1+2+3'!E17</f>
        <v>#REF!</v>
      </c>
      <c r="F51" s="122" t="e">
        <f>'Cpte exploitation 1+2+3'!F17</f>
        <v>#REF!</v>
      </c>
      <c r="G51" s="122" t="e">
        <f>'Cpte exploitation 1+2+3'!G17</f>
        <v>#REF!</v>
      </c>
      <c r="H51" s="122" t="e">
        <f>'Cpte exploitation 1+2+3'!H17</f>
        <v>#REF!</v>
      </c>
      <c r="I51" s="122" t="e">
        <f>'Cpte exploitation 1+2+3'!I17</f>
        <v>#REF!</v>
      </c>
      <c r="J51" s="122" t="e">
        <f t="shared" si="26"/>
        <v>#REF!</v>
      </c>
      <c r="K51" s="122" t="e">
        <f t="shared" si="27"/>
        <v>#REF!</v>
      </c>
      <c r="L51" s="122" t="e">
        <f t="shared" si="28"/>
        <v>#REF!</v>
      </c>
      <c r="M51" s="122" t="e">
        <f t="shared" si="29"/>
        <v>#REF!</v>
      </c>
      <c r="N51" s="301" t="e">
        <f t="shared" si="30"/>
        <v>#REF!</v>
      </c>
      <c r="O51" s="2408"/>
      <c r="P51" s="85"/>
      <c r="Q51" s="291" t="s">
        <v>950</v>
      </c>
      <c r="S51" s="85"/>
      <c r="T51" s="291" t="s">
        <v>965</v>
      </c>
      <c r="Z51" s="1718"/>
      <c r="AA51" s="1732"/>
    </row>
    <row r="52" spans="1:27" s="86" customFormat="1" ht="15">
      <c r="A52" s="2408"/>
      <c r="B52" s="312" t="str">
        <f>IF('Mode Opératoire'!$I$1="Français",+Financier!Q52,Financier!T52)</f>
        <v xml:space="preserve">Ventes Gefco </v>
      </c>
      <c r="C52" s="313" t="s">
        <v>18</v>
      </c>
      <c r="D52" s="314" t="e">
        <f>'Cpte exploitation 1+2+3'!D18</f>
        <v>#REF!</v>
      </c>
      <c r="E52" s="315" t="e">
        <f>'Cpte exploitation 1+2+3'!E18</f>
        <v>#REF!</v>
      </c>
      <c r="F52" s="315" t="e">
        <f>'Cpte exploitation 1+2+3'!F18</f>
        <v>#REF!</v>
      </c>
      <c r="G52" s="315" t="e">
        <f>'Cpte exploitation 1+2+3'!G18</f>
        <v>#REF!</v>
      </c>
      <c r="H52" s="315" t="e">
        <f>'Cpte exploitation 1+2+3'!H18</f>
        <v>#REF!</v>
      </c>
      <c r="I52" s="315" t="e">
        <f>'Cpte exploitation 1+2+3'!I18</f>
        <v>#REF!</v>
      </c>
      <c r="J52" s="315" t="e">
        <f t="shared" si="25"/>
        <v>#REF!</v>
      </c>
      <c r="K52" s="315" t="e">
        <f t="shared" si="25"/>
        <v>#REF!</v>
      </c>
      <c r="L52" s="315" t="e">
        <f t="shared" si="25"/>
        <v>#REF!</v>
      </c>
      <c r="M52" s="315" t="e">
        <f t="shared" si="25"/>
        <v>#REF!</v>
      </c>
      <c r="N52" s="316" t="e">
        <f t="shared" si="25"/>
        <v>#REF!</v>
      </c>
      <c r="O52" s="2408"/>
      <c r="P52" s="85"/>
      <c r="Q52" s="312" t="s">
        <v>155</v>
      </c>
      <c r="S52" s="85"/>
      <c r="T52" s="312" t="s">
        <v>81</v>
      </c>
      <c r="Z52" s="1718"/>
      <c r="AA52" s="1732"/>
    </row>
    <row r="53" spans="1:27" s="106" customFormat="1" ht="13.5" customHeight="1">
      <c r="A53" s="2410"/>
      <c r="B53" s="308" t="str">
        <f>IF('Mode Opératoire'!$I$1="Français",+Financier!Q53,Financier!T53)</f>
        <v>Total des ventes</v>
      </c>
      <c r="C53" s="309"/>
      <c r="D53" s="308" t="e">
        <f t="shared" ref="D53:N53" si="31">SUM(D48:D52)</f>
        <v>#REF!</v>
      </c>
      <c r="E53" s="310" t="e">
        <f>SUM(E48:E52)</f>
        <v>#REF!</v>
      </c>
      <c r="F53" s="310" t="e">
        <f>SUM(F48:F52)</f>
        <v>#REF!</v>
      </c>
      <c r="G53" s="310" t="e">
        <f>SUM(G48:G52)</f>
        <v>#REF!</v>
      </c>
      <c r="H53" s="310" t="e">
        <f>SUM(H48:H52)</f>
        <v>#REF!</v>
      </c>
      <c r="I53" s="310" t="e">
        <f>SUM(I48:I52)</f>
        <v>#REF!</v>
      </c>
      <c r="J53" s="311" t="e">
        <f t="shared" si="31"/>
        <v>#REF!</v>
      </c>
      <c r="K53" s="311" t="e">
        <f t="shared" si="31"/>
        <v>#REF!</v>
      </c>
      <c r="L53" s="311" t="e">
        <f t="shared" si="31"/>
        <v>#REF!</v>
      </c>
      <c r="M53" s="311" t="e">
        <f t="shared" si="31"/>
        <v>#REF!</v>
      </c>
      <c r="N53" s="309" t="e">
        <f t="shared" si="31"/>
        <v>#REF!</v>
      </c>
      <c r="O53" s="2410"/>
      <c r="P53" s="95"/>
      <c r="Q53" s="308" t="s">
        <v>132</v>
      </c>
      <c r="S53" s="95"/>
      <c r="T53" s="308" t="s">
        <v>776</v>
      </c>
      <c r="Z53" s="1724"/>
      <c r="AA53" s="1738"/>
    </row>
    <row r="54" spans="1:27" s="86" customFormat="1" ht="15">
      <c r="A54" s="2408"/>
      <c r="B54" s="291" t="str">
        <f>IF('Mode Opératoire'!$I$1="Français",+Financier!Q54,Financier!T54)</f>
        <v>Achats</v>
      </c>
      <c r="C54" s="292" t="s">
        <v>20</v>
      </c>
      <c r="D54" s="300" t="e">
        <f>'Cpte exploitation 1+2+3'!D21</f>
        <v>#REF!</v>
      </c>
      <c r="E54" s="122" t="e">
        <f>'Cpte exploitation 1+2+3'!E21</f>
        <v>#REF!</v>
      </c>
      <c r="F54" s="122" t="e">
        <f>'Cpte exploitation 1+2+3'!F21</f>
        <v>#REF!</v>
      </c>
      <c r="G54" s="122" t="e">
        <f>'Cpte exploitation 1+2+3'!G21</f>
        <v>#REF!</v>
      </c>
      <c r="H54" s="122" t="e">
        <f>'Cpte exploitation 1+2+3'!H21</f>
        <v>#REF!</v>
      </c>
      <c r="I54" s="122" t="e">
        <f>'Cpte exploitation 1+2+3'!I21</f>
        <v>#REF!</v>
      </c>
      <c r="J54" s="122" t="e">
        <f>+I54</f>
        <v>#REF!</v>
      </c>
      <c r="K54" s="122" t="e">
        <f>+J54</f>
        <v>#REF!</v>
      </c>
      <c r="L54" s="122" t="e">
        <f>+K54</f>
        <v>#REF!</v>
      </c>
      <c r="M54" s="122" t="e">
        <f>+L54</f>
        <v>#REF!</v>
      </c>
      <c r="N54" s="301" t="e">
        <f>+M54</f>
        <v>#REF!</v>
      </c>
      <c r="O54" s="2408"/>
      <c r="P54" s="85"/>
      <c r="Q54" s="291" t="s">
        <v>123</v>
      </c>
      <c r="S54" s="85"/>
      <c r="T54" s="291" t="s">
        <v>82</v>
      </c>
      <c r="Z54" s="1718"/>
      <c r="AA54" s="1732"/>
    </row>
    <row r="55" spans="1:27" s="98" customFormat="1" ht="15.75" customHeight="1">
      <c r="A55" s="2407"/>
      <c r="B55" s="318" t="str">
        <f>IF('Mode Opératoire'!$I$1="Français",+Financier!Q55,Financier!T55)</f>
        <v>Marge commerciale</v>
      </c>
      <c r="C55" s="319"/>
      <c r="D55" s="318" t="e">
        <f t="shared" ref="D55:N55" si="32">D48+D49+D52+D54</f>
        <v>#REF!</v>
      </c>
      <c r="E55" s="320" t="e">
        <f t="shared" si="32"/>
        <v>#REF!</v>
      </c>
      <c r="F55" s="320" t="e">
        <f t="shared" si="32"/>
        <v>#REF!</v>
      </c>
      <c r="G55" s="320" t="e">
        <f t="shared" si="32"/>
        <v>#REF!</v>
      </c>
      <c r="H55" s="320" t="e">
        <f t="shared" si="32"/>
        <v>#REF!</v>
      </c>
      <c r="I55" s="320" t="e">
        <f t="shared" si="32"/>
        <v>#REF!</v>
      </c>
      <c r="J55" s="321" t="e">
        <f t="shared" si="32"/>
        <v>#REF!</v>
      </c>
      <c r="K55" s="321" t="e">
        <f t="shared" si="32"/>
        <v>#REF!</v>
      </c>
      <c r="L55" s="321" t="e">
        <f t="shared" si="32"/>
        <v>#REF!</v>
      </c>
      <c r="M55" s="321" t="e">
        <f t="shared" si="32"/>
        <v>#REF!</v>
      </c>
      <c r="N55" s="319" t="e">
        <f t="shared" si="32"/>
        <v>#REF!</v>
      </c>
      <c r="O55" s="2407"/>
      <c r="P55" s="97"/>
      <c r="Q55" s="318" t="s">
        <v>21</v>
      </c>
      <c r="S55" s="97"/>
      <c r="T55" s="318" t="s">
        <v>83</v>
      </c>
      <c r="Z55" s="1719"/>
      <c r="AA55" s="1733"/>
    </row>
    <row r="56" spans="1:27" s="102" customFormat="1" ht="15">
      <c r="A56" s="2415"/>
      <c r="B56" s="294" t="str">
        <f>IF('Mode Opératoire'!$I$1="Français",+Financier!Q56,Financier!T56)</f>
        <v>% MCO/Ventes</v>
      </c>
      <c r="C56" s="295"/>
      <c r="D56" s="326" t="e">
        <f t="shared" ref="D56:N56" si="33">IF(SUM(D$48:D$52)&lt;&gt;0,D55/SUM(D$48:D$52),"")</f>
        <v>#REF!</v>
      </c>
      <c r="E56" s="327" t="e">
        <f t="shared" si="33"/>
        <v>#REF!</v>
      </c>
      <c r="F56" s="327" t="e">
        <f t="shared" si="33"/>
        <v>#REF!</v>
      </c>
      <c r="G56" s="327" t="e">
        <f t="shared" si="33"/>
        <v>#REF!</v>
      </c>
      <c r="H56" s="327" t="e">
        <f t="shared" si="33"/>
        <v>#REF!</v>
      </c>
      <c r="I56" s="327" t="e">
        <f t="shared" si="33"/>
        <v>#REF!</v>
      </c>
      <c r="J56" s="328" t="e">
        <f t="shared" si="33"/>
        <v>#REF!</v>
      </c>
      <c r="K56" s="328" t="e">
        <f t="shared" si="33"/>
        <v>#REF!</v>
      </c>
      <c r="L56" s="328" t="e">
        <f t="shared" si="33"/>
        <v>#REF!</v>
      </c>
      <c r="M56" s="328" t="e">
        <f t="shared" si="33"/>
        <v>#REF!</v>
      </c>
      <c r="N56" s="329" t="e">
        <f t="shared" si="33"/>
        <v>#REF!</v>
      </c>
      <c r="O56" s="2415"/>
      <c r="P56" s="107"/>
      <c r="Q56" s="294" t="s">
        <v>22</v>
      </c>
      <c r="S56" s="107"/>
      <c r="T56" s="294" t="s">
        <v>777</v>
      </c>
      <c r="Z56" s="1720"/>
      <c r="AA56" s="1734"/>
    </row>
    <row r="57" spans="1:27" s="86" customFormat="1" ht="15">
      <c r="A57" s="2408"/>
      <c r="B57" s="325" t="str">
        <f>IF('Mode Opératoire'!$I$1="Français",+Financier!Q57,Financier!T57)</f>
        <v>Frais de personnel</v>
      </c>
      <c r="C57" s="293" t="s">
        <v>20</v>
      </c>
      <c r="D57" s="302" t="e">
        <f>'Cpte exploitation 1+2+3'!D34</f>
        <v>#REF!</v>
      </c>
      <c r="E57" s="123" t="e">
        <f>'Cpte exploitation 1+2+3'!E34</f>
        <v>#REF!</v>
      </c>
      <c r="F57" s="123" t="e">
        <f>'Cpte exploitation 1+2+3'!F34</f>
        <v>#REF!</v>
      </c>
      <c r="G57" s="123" t="e">
        <f>'Cpte exploitation 1+2+3'!G34</f>
        <v>#REF!</v>
      </c>
      <c r="H57" s="123" t="e">
        <f>'Cpte exploitation 1+2+3'!H34</f>
        <v>#REF!</v>
      </c>
      <c r="I57" s="123" t="e">
        <f>'Cpte exploitation 1+2+3'!I34</f>
        <v>#REF!</v>
      </c>
      <c r="J57" s="123" t="e">
        <f t="shared" ref="J57:N60" si="34">+I57</f>
        <v>#REF!</v>
      </c>
      <c r="K57" s="123" t="e">
        <f t="shared" si="34"/>
        <v>#REF!</v>
      </c>
      <c r="L57" s="123" t="e">
        <f t="shared" si="34"/>
        <v>#REF!</v>
      </c>
      <c r="M57" s="123" t="e">
        <f t="shared" si="34"/>
        <v>#REF!</v>
      </c>
      <c r="N57" s="303" t="e">
        <f t="shared" si="34"/>
        <v>#REF!</v>
      </c>
      <c r="O57" s="2408"/>
      <c r="P57" s="85"/>
      <c r="Q57" s="325" t="s">
        <v>117</v>
      </c>
      <c r="S57" s="85"/>
      <c r="T57" s="325" t="s">
        <v>89</v>
      </c>
      <c r="Z57" s="1718"/>
      <c r="AA57" s="1732"/>
    </row>
    <row r="58" spans="1:27" s="86" customFormat="1" ht="15">
      <c r="A58" s="2408"/>
      <c r="B58" s="289" t="str">
        <f>IF('Mode Opératoire'!$I$1="Français",+Financier!Q58,Financier!T58)</f>
        <v>Autres frais d'exploitation</v>
      </c>
      <c r="C58" s="290" t="s">
        <v>20</v>
      </c>
      <c r="D58" s="302" t="e">
        <f>'Cpte exploitation 1+2+3'!D42</f>
        <v>#REF!</v>
      </c>
      <c r="E58" s="120" t="e">
        <f>'Cpte exploitation 1+2+3'!E42</f>
        <v>#REF!</v>
      </c>
      <c r="F58" s="120" t="e">
        <f>'Cpte exploitation 1+2+3'!F42</f>
        <v>#REF!</v>
      </c>
      <c r="G58" s="120" t="e">
        <f>'Cpte exploitation 1+2+3'!G42</f>
        <v>#REF!</v>
      </c>
      <c r="H58" s="120" t="e">
        <f>'Cpte exploitation 1+2+3'!H42</f>
        <v>#REF!</v>
      </c>
      <c r="I58" s="120" t="e">
        <f>'Cpte exploitation 1+2+3'!I42</f>
        <v>#REF!</v>
      </c>
      <c r="J58" s="120" t="e">
        <f t="shared" si="34"/>
        <v>#REF!</v>
      </c>
      <c r="K58" s="120" t="e">
        <f t="shared" si="34"/>
        <v>#REF!</v>
      </c>
      <c r="L58" s="120" t="e">
        <f t="shared" si="34"/>
        <v>#REF!</v>
      </c>
      <c r="M58" s="120" t="e">
        <f t="shared" si="34"/>
        <v>#REF!</v>
      </c>
      <c r="N58" s="273" t="e">
        <f t="shared" si="34"/>
        <v>#REF!</v>
      </c>
      <c r="O58" s="2408"/>
      <c r="P58" s="85"/>
      <c r="Q58" s="289" t="s">
        <v>50</v>
      </c>
      <c r="S58" s="85"/>
      <c r="T58" s="289" t="s">
        <v>778</v>
      </c>
      <c r="Z58" s="1718"/>
      <c r="AA58" s="1732"/>
    </row>
    <row r="59" spans="1:27" s="86" customFormat="1" ht="15">
      <c r="A59" s="2408"/>
      <c r="B59" s="289" t="str">
        <f>IF('Mode Opératoire'!$I$1="Français",+Financier!Q59,Financier!T59)</f>
        <v>Frais d'agence</v>
      </c>
      <c r="C59" s="290" t="s">
        <v>20</v>
      </c>
      <c r="D59" s="120" t="e">
        <f>'Cpte exploitation 1+2+3'!D50</f>
        <v>#REF!</v>
      </c>
      <c r="E59" s="120" t="e">
        <f>'Cpte exploitation 1+2+3'!E50</f>
        <v>#REF!</v>
      </c>
      <c r="F59" s="120" t="e">
        <f>'Cpte exploitation 1+2+3'!F50</f>
        <v>#REF!</v>
      </c>
      <c r="G59" s="120" t="e">
        <f>'Cpte exploitation 1+2+3'!G50</f>
        <v>#REF!</v>
      </c>
      <c r="H59" s="120" t="e">
        <f>'Cpte exploitation 1+2+3'!H50</f>
        <v>#REF!</v>
      </c>
      <c r="I59" s="120" t="e">
        <f>'Cpte exploitation 1+2+3'!I50</f>
        <v>#REF!</v>
      </c>
      <c r="J59" s="120" t="e">
        <f t="shared" si="34"/>
        <v>#REF!</v>
      </c>
      <c r="K59" s="120" t="e">
        <f t="shared" si="34"/>
        <v>#REF!</v>
      </c>
      <c r="L59" s="120" t="e">
        <f t="shared" si="34"/>
        <v>#REF!</v>
      </c>
      <c r="M59" s="120" t="e">
        <f t="shared" si="34"/>
        <v>#REF!</v>
      </c>
      <c r="N59" s="273" t="e">
        <f t="shared" si="34"/>
        <v>#REF!</v>
      </c>
      <c r="O59" s="2408"/>
      <c r="P59" s="85"/>
      <c r="Q59" s="289" t="s">
        <v>119</v>
      </c>
      <c r="S59" s="85"/>
      <c r="T59" s="289" t="s">
        <v>92</v>
      </c>
      <c r="Z59" s="1718"/>
      <c r="AA59" s="1732"/>
    </row>
    <row r="60" spans="1:27" s="86" customFormat="1" ht="15">
      <c r="A60" s="2408"/>
      <c r="B60" s="289" t="str">
        <f>IF('Mode Opératoire'!$I$1="Français",+Financier!Q60,Financier!T60)</f>
        <v>Dépréciation de créances douteuses</v>
      </c>
      <c r="C60" s="290" t="s">
        <v>20</v>
      </c>
      <c r="D60" s="120"/>
      <c r="E60" s="120">
        <f>+'Cpte exploitation 1+2+3'!E51</f>
        <v>0</v>
      </c>
      <c r="F60" s="120">
        <f>+'Cpte exploitation 1+2+3'!F51</f>
        <v>0</v>
      </c>
      <c r="G60" s="120">
        <f>+'Cpte exploitation 1+2+3'!G51</f>
        <v>0</v>
      </c>
      <c r="H60" s="120">
        <f>+'Cpte exploitation 1+2+3'!H51</f>
        <v>0</v>
      </c>
      <c r="I60" s="120">
        <f>+'Cpte exploitation 1+2+3'!I51</f>
        <v>0</v>
      </c>
      <c r="J60" s="120">
        <f t="shared" si="34"/>
        <v>0</v>
      </c>
      <c r="K60" s="120">
        <f t="shared" si="34"/>
        <v>0</v>
      </c>
      <c r="L60" s="120">
        <f>+K60</f>
        <v>0</v>
      </c>
      <c r="M60" s="120">
        <f t="shared" si="34"/>
        <v>0</v>
      </c>
      <c r="N60" s="273">
        <f>+M60</f>
        <v>0</v>
      </c>
      <c r="O60" s="2408"/>
      <c r="P60" s="85"/>
      <c r="Q60" s="289" t="s">
        <v>188</v>
      </c>
      <c r="S60" s="85"/>
      <c r="T60" s="289" t="s">
        <v>855</v>
      </c>
      <c r="Z60" s="1718"/>
      <c r="AA60" s="1732"/>
    </row>
    <row r="61" spans="1:27" s="86" customFormat="1" ht="15">
      <c r="A61" s="2408"/>
      <c r="B61" s="291" t="str">
        <f>IF('Mode Opératoire'!$I$1="Français",+Financier!Q61,Financier!T61)</f>
        <v>Frais Siège Opérationnels</v>
      </c>
      <c r="C61" s="290" t="s">
        <v>20</v>
      </c>
      <c r="D61" s="1701" t="e">
        <f>'Cpte exploitation 1+2+3'!D56</f>
        <v>#REF!</v>
      </c>
      <c r="E61" s="1701" t="e">
        <f>'Cpte exploitation 1+2+3'!E56</f>
        <v>#REF!</v>
      </c>
      <c r="F61" s="1701" t="e">
        <f>'Cpte exploitation 1+2+3'!F56</f>
        <v>#REF!</v>
      </c>
      <c r="G61" s="1701" t="e">
        <f>'Cpte exploitation 1+2+3'!G56</f>
        <v>#REF!</v>
      </c>
      <c r="H61" s="1701" t="e">
        <f>'Cpte exploitation 1+2+3'!H56</f>
        <v>#REF!</v>
      </c>
      <c r="I61" s="1701" t="e">
        <f>'Cpte exploitation 1+2+3'!I56</f>
        <v>#REF!</v>
      </c>
      <c r="J61" s="120" t="e">
        <f t="shared" ref="J61:J62" si="35">+I61</f>
        <v>#REF!</v>
      </c>
      <c r="K61" s="120" t="e">
        <f t="shared" ref="K61:K62" si="36">+J61</f>
        <v>#REF!</v>
      </c>
      <c r="L61" s="120" t="e">
        <f>+K61</f>
        <v>#REF!</v>
      </c>
      <c r="M61" s="120" t="e">
        <f t="shared" ref="M61:M62" si="37">+L61</f>
        <v>#REF!</v>
      </c>
      <c r="N61" s="273" t="e">
        <f>+M61</f>
        <v>#REF!</v>
      </c>
      <c r="O61" s="2408"/>
      <c r="P61" s="85"/>
      <c r="Q61" s="291" t="s">
        <v>966</v>
      </c>
      <c r="S61" s="85"/>
      <c r="T61" s="291" t="s">
        <v>957</v>
      </c>
      <c r="Z61" s="1718"/>
      <c r="AA61" s="1732"/>
    </row>
    <row r="62" spans="1:27" s="86" customFormat="1" ht="15">
      <c r="A62" s="2408"/>
      <c r="B62" s="322" t="str">
        <f>IF('Mode Opératoire'!$I$1="Français",+Financier!Q62,Financier!T62)</f>
        <v>Frais de Groupe</v>
      </c>
      <c r="C62" s="313" t="s">
        <v>20</v>
      </c>
      <c r="D62" s="323" t="e">
        <f>'Cpte exploitation 1+2+3'!D60</f>
        <v>#REF!</v>
      </c>
      <c r="E62" s="324" t="e">
        <f>'Cpte exploitation 1+2+3'!E60</f>
        <v>#REF!</v>
      </c>
      <c r="F62" s="324" t="e">
        <f>'Cpte exploitation 1+2+3'!F60</f>
        <v>#REF!</v>
      </c>
      <c r="G62" s="324" t="e">
        <f>'Cpte exploitation 1+2+3'!G60</f>
        <v>#REF!</v>
      </c>
      <c r="H62" s="324" t="e">
        <f>'Cpte exploitation 1+2+3'!H60</f>
        <v>#REF!</v>
      </c>
      <c r="I62" s="324" t="e">
        <f>'Cpte exploitation 1+2+3'!I60</f>
        <v>#REF!</v>
      </c>
      <c r="J62" s="120" t="e">
        <f t="shared" si="35"/>
        <v>#REF!</v>
      </c>
      <c r="K62" s="120" t="e">
        <f t="shared" si="36"/>
        <v>#REF!</v>
      </c>
      <c r="L62" s="120" t="e">
        <f>+K62</f>
        <v>#REF!</v>
      </c>
      <c r="M62" s="120" t="e">
        <f t="shared" si="37"/>
        <v>#REF!</v>
      </c>
      <c r="N62" s="273" t="e">
        <f>+M62</f>
        <v>#REF!</v>
      </c>
      <c r="O62" s="2408"/>
      <c r="P62" s="85"/>
      <c r="Q62" s="322" t="s">
        <v>211</v>
      </c>
      <c r="S62" s="85"/>
      <c r="T62" s="322" t="s">
        <v>958</v>
      </c>
      <c r="Z62" s="1718"/>
      <c r="AA62" s="1732"/>
    </row>
    <row r="63" spans="1:27" s="98" customFormat="1" ht="15.75" customHeight="1">
      <c r="A63" s="2407"/>
      <c r="B63" s="308" t="str">
        <f>IF('Mode Opératoire'!$I$1="Français",+Financier!Q63,Financier!T63)</f>
        <v>Résultat Opérationnel Courant</v>
      </c>
      <c r="C63" s="309"/>
      <c r="D63" s="308" t="e">
        <f t="shared" ref="D63:N63" si="38">D55+SUM(D57:D62)</f>
        <v>#REF!</v>
      </c>
      <c r="E63" s="310" t="e">
        <f t="shared" si="38"/>
        <v>#REF!</v>
      </c>
      <c r="F63" s="310" t="e">
        <f t="shared" si="38"/>
        <v>#REF!</v>
      </c>
      <c r="G63" s="310" t="e">
        <f t="shared" si="38"/>
        <v>#REF!</v>
      </c>
      <c r="H63" s="310" t="e">
        <f t="shared" si="38"/>
        <v>#REF!</v>
      </c>
      <c r="I63" s="310" t="e">
        <f t="shared" si="38"/>
        <v>#REF!</v>
      </c>
      <c r="J63" s="310" t="e">
        <f t="shared" si="38"/>
        <v>#REF!</v>
      </c>
      <c r="K63" s="310" t="e">
        <f t="shared" si="38"/>
        <v>#REF!</v>
      </c>
      <c r="L63" s="310" t="e">
        <f t="shared" si="38"/>
        <v>#REF!</v>
      </c>
      <c r="M63" s="310" t="e">
        <f t="shared" si="38"/>
        <v>#REF!</v>
      </c>
      <c r="N63" s="317" t="e">
        <f t="shared" si="38"/>
        <v>#REF!</v>
      </c>
      <c r="O63" s="2407"/>
      <c r="P63" s="97"/>
      <c r="Q63" s="308" t="s">
        <v>148</v>
      </c>
      <c r="S63" s="97"/>
      <c r="T63" s="308" t="s">
        <v>94</v>
      </c>
      <c r="Z63" s="1719"/>
      <c r="AA63" s="1733"/>
    </row>
    <row r="64" spans="1:27" s="102" customFormat="1" ht="15">
      <c r="A64" s="2415"/>
      <c r="B64" s="294" t="str">
        <f>IF('Mode Opératoire'!$I$1="Français",+Financier!Q64,Financier!T64)</f>
        <v>% ROC / ventes</v>
      </c>
      <c r="C64" s="295"/>
      <c r="D64" s="304" t="e">
        <f t="shared" ref="D64:N64" si="39">IF(SUM(D$48:D$52)&lt;&gt;0,D63/SUM(D$48:D$52),"")</f>
        <v>#REF!</v>
      </c>
      <c r="E64" s="305" t="e">
        <f t="shared" si="39"/>
        <v>#REF!</v>
      </c>
      <c r="F64" s="305" t="e">
        <f t="shared" si="39"/>
        <v>#REF!</v>
      </c>
      <c r="G64" s="305" t="e">
        <f t="shared" si="39"/>
        <v>#REF!</v>
      </c>
      <c r="H64" s="305" t="e">
        <f t="shared" si="39"/>
        <v>#REF!</v>
      </c>
      <c r="I64" s="305" t="e">
        <f t="shared" si="39"/>
        <v>#REF!</v>
      </c>
      <c r="J64" s="306" t="e">
        <f>IF(SUM(J$48:J$52)&lt;&gt;0,J63/SUM(J$48:J$52),"")</f>
        <v>#REF!</v>
      </c>
      <c r="K64" s="306" t="e">
        <f t="shared" si="39"/>
        <v>#REF!</v>
      </c>
      <c r="L64" s="306" t="e">
        <f t="shared" si="39"/>
        <v>#REF!</v>
      </c>
      <c r="M64" s="306" t="e">
        <f t="shared" si="39"/>
        <v>#REF!</v>
      </c>
      <c r="N64" s="307" t="e">
        <f t="shared" si="39"/>
        <v>#REF!</v>
      </c>
      <c r="O64" s="2415"/>
      <c r="P64" s="107"/>
      <c r="Q64" s="294" t="s">
        <v>156</v>
      </c>
      <c r="S64" s="107"/>
      <c r="T64" s="294" t="s">
        <v>779</v>
      </c>
      <c r="Z64" s="1720"/>
      <c r="AA64" s="1734"/>
    </row>
    <row r="65" spans="1:27" s="7" customFormat="1">
      <c r="A65" s="2416"/>
      <c r="B65" s="155" t="s">
        <v>169</v>
      </c>
      <c r="C65" s="10"/>
      <c r="D65" s="10"/>
      <c r="E65" s="10"/>
      <c r="F65" s="10"/>
      <c r="G65" s="10"/>
      <c r="H65" s="10"/>
      <c r="I65" s="10"/>
      <c r="J65" s="10"/>
      <c r="K65" s="10"/>
      <c r="L65" s="10"/>
      <c r="M65" s="10"/>
      <c r="N65" s="10"/>
      <c r="O65" s="2416"/>
      <c r="P65" s="8"/>
      <c r="Q65" s="155" t="s">
        <v>169</v>
      </c>
      <c r="S65" s="8"/>
      <c r="T65" s="155" t="s">
        <v>169</v>
      </c>
      <c r="Z65" s="1725"/>
      <c r="AA65" s="1739"/>
    </row>
    <row r="66" spans="1:27" s="98" customFormat="1" ht="15.75" customHeight="1">
      <c r="A66" s="2407"/>
      <c r="B66" s="308" t="str">
        <f>IF('Mode Opératoire'!$I$1="Français",+Financier!Q66,Financier!T66)</f>
        <v>Résultat Net après Impôts</v>
      </c>
      <c r="C66" s="309"/>
      <c r="D66" s="308" t="e">
        <f>+D63*(1-$C$68)</f>
        <v>#REF!</v>
      </c>
      <c r="E66" s="310" t="e">
        <f t="shared" ref="E66:N66" si="40">+E63*(1-$C$68)</f>
        <v>#REF!</v>
      </c>
      <c r="F66" s="310" t="e">
        <f t="shared" si="40"/>
        <v>#REF!</v>
      </c>
      <c r="G66" s="310" t="e">
        <f t="shared" si="40"/>
        <v>#REF!</v>
      </c>
      <c r="H66" s="310" t="e">
        <f t="shared" si="40"/>
        <v>#REF!</v>
      </c>
      <c r="I66" s="310" t="e">
        <f t="shared" si="40"/>
        <v>#REF!</v>
      </c>
      <c r="J66" s="310" t="e">
        <f t="shared" si="40"/>
        <v>#REF!</v>
      </c>
      <c r="K66" s="310" t="e">
        <f t="shared" si="40"/>
        <v>#REF!</v>
      </c>
      <c r="L66" s="310" t="e">
        <f t="shared" si="40"/>
        <v>#REF!</v>
      </c>
      <c r="M66" s="310" t="e">
        <f t="shared" si="40"/>
        <v>#REF!</v>
      </c>
      <c r="N66" s="317" t="e">
        <f t="shared" si="40"/>
        <v>#REF!</v>
      </c>
      <c r="O66" s="2407"/>
      <c r="P66" s="97"/>
      <c r="Q66" s="308" t="s">
        <v>939</v>
      </c>
      <c r="S66" s="97"/>
      <c r="T66" s="308" t="s">
        <v>940</v>
      </c>
      <c r="Z66" s="1719"/>
      <c r="AA66" s="1733"/>
    </row>
    <row r="67" spans="1:27" s="102" customFormat="1" ht="15">
      <c r="A67" s="2415"/>
      <c r="B67" s="294" t="str">
        <f>IF('Mode Opératoire'!$I$1="Français",+Financier!Q67,Financier!T67)</f>
        <v>% RNAIS / ventes</v>
      </c>
      <c r="C67" s="304"/>
      <c r="D67" s="305" t="e">
        <f>IF(SUM(D$48:D$52)&lt;&gt;0,D66/SUM(D$48:D$52),"")</f>
        <v>#REF!</v>
      </c>
      <c r="E67" s="305" t="e">
        <f t="shared" ref="E67:I67" si="41">IF(SUM(E$48:E$52)&lt;&gt;0,E66/SUM(E$48:E$52),"")</f>
        <v>#REF!</v>
      </c>
      <c r="F67" s="305" t="e">
        <f t="shared" si="41"/>
        <v>#REF!</v>
      </c>
      <c r="G67" s="305" t="e">
        <f t="shared" si="41"/>
        <v>#REF!</v>
      </c>
      <c r="H67" s="305" t="e">
        <f t="shared" si="41"/>
        <v>#REF!</v>
      </c>
      <c r="I67" s="306" t="e">
        <f t="shared" si="41"/>
        <v>#REF!</v>
      </c>
      <c r="J67" s="306" t="e">
        <f>IF(SUM(J$48:J$52)&lt;&gt;0,J66/SUM(J$48:J$52),"")</f>
        <v>#REF!</v>
      </c>
      <c r="K67" s="306" t="e">
        <f t="shared" ref="K67:N67" si="42">IF(SUM(K$48:K$52)&lt;&gt;0,K66/SUM(K$48:K$52),"")</f>
        <v>#REF!</v>
      </c>
      <c r="L67" s="306" t="e">
        <f t="shared" si="42"/>
        <v>#REF!</v>
      </c>
      <c r="M67" s="307" t="e">
        <f t="shared" si="42"/>
        <v>#REF!</v>
      </c>
      <c r="N67" s="307" t="e">
        <f t="shared" si="42"/>
        <v>#REF!</v>
      </c>
      <c r="O67" s="2415"/>
      <c r="P67" s="107"/>
      <c r="Q67" s="294" t="s">
        <v>941</v>
      </c>
      <c r="S67" s="107"/>
      <c r="T67" s="294" t="s">
        <v>942</v>
      </c>
      <c r="Z67" s="1720"/>
      <c r="AA67" s="1734"/>
    </row>
    <row r="68" spans="1:27" s="7" customFormat="1" ht="18">
      <c r="A68" s="2416"/>
      <c r="B68" s="1683" t="s">
        <v>924</v>
      </c>
      <c r="C68" s="1904">
        <v>0.35</v>
      </c>
      <c r="D68" s="10"/>
      <c r="E68" s="10"/>
      <c r="F68" s="10"/>
      <c r="G68" s="10"/>
      <c r="H68" s="10"/>
      <c r="I68" s="10"/>
      <c r="J68" s="10"/>
      <c r="K68" s="10"/>
      <c r="L68" s="10"/>
      <c r="M68" s="10"/>
      <c r="N68" s="10"/>
      <c r="O68" s="2416"/>
      <c r="P68" s="8"/>
      <c r="Q68" s="155" t="s">
        <v>169</v>
      </c>
      <c r="S68" s="8"/>
      <c r="T68" s="155" t="s">
        <v>169</v>
      </c>
      <c r="Z68" s="1724" t="s">
        <v>977</v>
      </c>
      <c r="AA68" s="1738" t="s">
        <v>994</v>
      </c>
    </row>
    <row r="69" spans="1:27" s="98" customFormat="1" ht="15.75" customHeight="1">
      <c r="A69" s="2407"/>
      <c r="B69" s="308" t="str">
        <f>IF('Mode Opératoire'!$I$1="Français",+Financier!Q69,Financier!T69)</f>
        <v>EBITDA</v>
      </c>
      <c r="C69" s="309"/>
      <c r="D69" s="308" t="e">
        <f t="shared" ref="D69:N69" si="43">IF(D63=0,0,D63-D41-D44)</f>
        <v>#REF!</v>
      </c>
      <c r="E69" s="310" t="e">
        <f t="shared" si="43"/>
        <v>#REF!</v>
      </c>
      <c r="F69" s="310" t="e">
        <f t="shared" si="43"/>
        <v>#REF!</v>
      </c>
      <c r="G69" s="310" t="e">
        <f t="shared" si="43"/>
        <v>#REF!</v>
      </c>
      <c r="H69" s="310" t="e">
        <f t="shared" si="43"/>
        <v>#REF!</v>
      </c>
      <c r="I69" s="310" t="e">
        <f t="shared" si="43"/>
        <v>#REF!</v>
      </c>
      <c r="J69" s="310" t="e">
        <f t="shared" si="43"/>
        <v>#REF!</v>
      </c>
      <c r="K69" s="310" t="e">
        <f t="shared" si="43"/>
        <v>#REF!</v>
      </c>
      <c r="L69" s="310" t="e">
        <f t="shared" si="43"/>
        <v>#REF!</v>
      </c>
      <c r="M69" s="310" t="e">
        <f t="shared" si="43"/>
        <v>#REF!</v>
      </c>
      <c r="N69" s="317" t="e">
        <f t="shared" si="43"/>
        <v>#REF!</v>
      </c>
      <c r="O69" s="2407"/>
      <c r="P69" s="97"/>
      <c r="Q69" s="308" t="s">
        <v>943</v>
      </c>
      <c r="S69" s="97"/>
      <c r="T69" s="308" t="s">
        <v>943</v>
      </c>
      <c r="Z69" s="1719"/>
      <c r="AA69" s="1733"/>
    </row>
    <row r="70" spans="1:27" s="102" customFormat="1" ht="15">
      <c r="A70" s="2415"/>
      <c r="B70" s="294" t="str">
        <f>IF('Mode Opératoire'!$I$1="Français",+Financier!Q70,Financier!T70)</f>
        <v>% EBITDA / ventes</v>
      </c>
      <c r="C70" s="295"/>
      <c r="D70" s="305" t="e">
        <f>IF(SUM(D$48:D$52)&lt;&gt;0,D69/SUM(D$48:D$52),"")</f>
        <v>#REF!</v>
      </c>
      <c r="E70" s="305" t="e">
        <f t="shared" ref="E70:I70" si="44">IF(SUM(E$48:E$52)&lt;&gt;0,E69/SUM(E$48:E$52),"")</f>
        <v>#REF!</v>
      </c>
      <c r="F70" s="305" t="e">
        <f t="shared" si="44"/>
        <v>#REF!</v>
      </c>
      <c r="G70" s="305" t="e">
        <f t="shared" si="44"/>
        <v>#REF!</v>
      </c>
      <c r="H70" s="305" t="e">
        <f t="shared" si="44"/>
        <v>#REF!</v>
      </c>
      <c r="I70" s="306" t="e">
        <f t="shared" si="44"/>
        <v>#REF!</v>
      </c>
      <c r="J70" s="306" t="e">
        <f>IF(SUM(J$48:J$52)&lt;&gt;0,J69/SUM(J$48:J$52),"")</f>
        <v>#REF!</v>
      </c>
      <c r="K70" s="306" t="e">
        <f t="shared" ref="K70:N70" si="45">IF(SUM(K$48:K$52)&lt;&gt;0,K69/SUM(K$48:K$52),"")</f>
        <v>#REF!</v>
      </c>
      <c r="L70" s="306" t="e">
        <f t="shared" si="45"/>
        <v>#REF!</v>
      </c>
      <c r="M70" s="307" t="e">
        <f t="shared" si="45"/>
        <v>#REF!</v>
      </c>
      <c r="N70" s="307" t="e">
        <f t="shared" si="45"/>
        <v>#REF!</v>
      </c>
      <c r="O70" s="2415"/>
      <c r="P70" s="107"/>
      <c r="Q70" s="294" t="s">
        <v>944</v>
      </c>
      <c r="S70" s="107"/>
      <c r="T70" s="294" t="s">
        <v>945</v>
      </c>
      <c r="Z70" s="1720"/>
      <c r="AA70" s="1734"/>
    </row>
    <row r="71" spans="1:27" customFormat="1">
      <c r="A71" s="621"/>
      <c r="B71" s="621"/>
      <c r="C71" s="621"/>
      <c r="D71" s="621"/>
      <c r="E71" s="621"/>
      <c r="F71" s="621"/>
      <c r="G71" s="621"/>
      <c r="H71" s="621"/>
      <c r="I71" s="621"/>
      <c r="J71" s="621"/>
      <c r="K71" s="621"/>
      <c r="L71" s="621"/>
      <c r="M71" s="621"/>
      <c r="N71" s="621"/>
      <c r="O71" s="621"/>
      <c r="Z71" s="1726"/>
      <c r="AA71" s="1740"/>
    </row>
    <row r="72" spans="1:27" ht="20.25" customHeight="1">
      <c r="A72" s="623"/>
      <c r="B72" s="623"/>
      <c r="C72" s="623"/>
      <c r="D72" s="623"/>
      <c r="E72" s="623"/>
      <c r="F72" s="623"/>
      <c r="G72" s="623"/>
      <c r="H72" s="623"/>
      <c r="I72" s="623"/>
      <c r="J72" s="623"/>
      <c r="K72" s="623"/>
      <c r="L72" s="623"/>
      <c r="M72" s="623"/>
      <c r="N72" s="623"/>
      <c r="O72" s="623"/>
      <c r="P72" s="5"/>
      <c r="Q72" s="5"/>
      <c r="S72" s="5"/>
      <c r="T72" s="5"/>
      <c r="Z72" s="1716"/>
      <c r="AA72" s="1730"/>
    </row>
    <row r="73" spans="1:27" s="106" customFormat="1" ht="18" customHeight="1">
      <c r="A73" s="2831" t="str">
        <f>IF('Mode Opératoire'!$I$1="Français",+Financier!P73,Financier!S73)</f>
        <v>Besoin en fonds de roulement</v>
      </c>
      <c r="B73" s="2831"/>
      <c r="C73" s="108" t="s">
        <v>25</v>
      </c>
      <c r="D73" s="1905">
        <v>0.21</v>
      </c>
      <c r="E73" s="109"/>
      <c r="F73" s="109"/>
      <c r="G73" s="109"/>
      <c r="H73" s="109"/>
      <c r="I73" s="109"/>
      <c r="J73" s="109"/>
      <c r="K73" s="109"/>
      <c r="L73" s="109"/>
      <c r="M73" s="109"/>
      <c r="O73" s="2410"/>
      <c r="P73" s="2831" t="s">
        <v>24</v>
      </c>
      <c r="Q73" s="2831"/>
      <c r="S73" s="2831" t="s">
        <v>780</v>
      </c>
      <c r="T73" s="2831"/>
      <c r="Z73" s="1724" t="s">
        <v>976</v>
      </c>
      <c r="AA73" s="1738" t="s">
        <v>995</v>
      </c>
    </row>
    <row r="74" spans="1:27" s="86" customFormat="1" ht="15">
      <c r="A74" s="2408"/>
      <c r="B74" s="287" t="str">
        <f>IF('Mode Opératoire'!$I$1="Français",+Financier!Q74,Financier!T74)</f>
        <v>Clients hors groupe</v>
      </c>
      <c r="C74" s="277" t="s">
        <v>18</v>
      </c>
      <c r="D74" s="340" t="e">
        <f>ROUND(D49*D83/365*(1+$D$73),0)</f>
        <v>#REF!</v>
      </c>
      <c r="E74" s="344" t="e">
        <f t="shared" ref="E74:N74" si="46">ROUND(E49*E83/365*(1+$D$73),0)</f>
        <v>#REF!</v>
      </c>
      <c r="F74" s="330" t="e">
        <f t="shared" si="46"/>
        <v>#REF!</v>
      </c>
      <c r="G74" s="330" t="e">
        <f t="shared" si="46"/>
        <v>#REF!</v>
      </c>
      <c r="H74" s="330" t="e">
        <f t="shared" si="46"/>
        <v>#REF!</v>
      </c>
      <c r="I74" s="330" t="e">
        <f t="shared" si="46"/>
        <v>#REF!</v>
      </c>
      <c r="J74" s="330" t="e">
        <f t="shared" si="46"/>
        <v>#REF!</v>
      </c>
      <c r="K74" s="330" t="e">
        <f t="shared" si="46"/>
        <v>#REF!</v>
      </c>
      <c r="L74" s="330" t="e">
        <f t="shared" si="46"/>
        <v>#REF!</v>
      </c>
      <c r="M74" s="330" t="e">
        <f t="shared" si="46"/>
        <v>#REF!</v>
      </c>
      <c r="N74" s="331" t="e">
        <f t="shared" si="46"/>
        <v>#REF!</v>
      </c>
      <c r="O74" s="2408"/>
      <c r="P74" s="85"/>
      <c r="Q74" s="287" t="s">
        <v>26</v>
      </c>
      <c r="S74" s="85"/>
      <c r="T74" s="287" t="s">
        <v>969</v>
      </c>
      <c r="Z74" s="1718"/>
      <c r="AA74" s="1732"/>
    </row>
    <row r="75" spans="1:27" s="86" customFormat="1" ht="15">
      <c r="A75" s="2408"/>
      <c r="B75" s="289" t="str">
        <f>IF('Mode Opératoire'!$I$1="Français",+Financier!Q75,Financier!T75)</f>
        <v>Clients groupe</v>
      </c>
      <c r="C75" s="278" t="s">
        <v>18</v>
      </c>
      <c r="D75" s="341" t="e">
        <f>ROUND(D48*D84/365*(1+$D$73),0)</f>
        <v>#REF!</v>
      </c>
      <c r="E75" s="345" t="e">
        <f t="shared" ref="E75:N75" si="47">ROUND(E48*E84/365*(1+$D$73),0)</f>
        <v>#REF!</v>
      </c>
      <c r="F75" s="126" t="e">
        <f t="shared" si="47"/>
        <v>#REF!</v>
      </c>
      <c r="G75" s="126" t="e">
        <f t="shared" si="47"/>
        <v>#REF!</v>
      </c>
      <c r="H75" s="126" t="e">
        <f t="shared" si="47"/>
        <v>#REF!</v>
      </c>
      <c r="I75" s="126" t="e">
        <f t="shared" si="47"/>
        <v>#REF!</v>
      </c>
      <c r="J75" s="126" t="e">
        <f t="shared" si="47"/>
        <v>#REF!</v>
      </c>
      <c r="K75" s="126" t="e">
        <f t="shared" si="47"/>
        <v>#REF!</v>
      </c>
      <c r="L75" s="126" t="e">
        <f t="shared" si="47"/>
        <v>#REF!</v>
      </c>
      <c r="M75" s="126" t="e">
        <f t="shared" si="47"/>
        <v>#REF!</v>
      </c>
      <c r="N75" s="332" t="e">
        <f t="shared" si="47"/>
        <v>#REF!</v>
      </c>
      <c r="O75" s="2408"/>
      <c r="P75" s="85"/>
      <c r="Q75" s="289" t="s">
        <v>27</v>
      </c>
      <c r="S75" s="85"/>
      <c r="T75" s="289" t="s">
        <v>972</v>
      </c>
      <c r="Z75" s="1718"/>
      <c r="AA75" s="1732"/>
    </row>
    <row r="76" spans="1:27" s="86" customFormat="1" ht="15">
      <c r="A76" s="2408"/>
      <c r="B76" s="289" t="str">
        <f>IF('Mode Opératoire'!$I$1="Français",+Financier!Q76,Financier!T76)</f>
        <v>Clients GM</v>
      </c>
      <c r="C76" s="278" t="s">
        <v>18</v>
      </c>
      <c r="D76" s="341" t="e">
        <f>ROUND(D50*D85/365*(1+$D$73),0)</f>
        <v>#REF!</v>
      </c>
      <c r="E76" s="345" t="e">
        <f t="shared" ref="E76:N76" si="48">ROUND(E50*E85/365*(1+$D$73),0)</f>
        <v>#REF!</v>
      </c>
      <c r="F76" s="126" t="e">
        <f t="shared" si="48"/>
        <v>#REF!</v>
      </c>
      <c r="G76" s="126" t="e">
        <f t="shared" si="48"/>
        <v>#REF!</v>
      </c>
      <c r="H76" s="126" t="e">
        <f t="shared" si="48"/>
        <v>#REF!</v>
      </c>
      <c r="I76" s="126" t="e">
        <f t="shared" si="48"/>
        <v>#REF!</v>
      </c>
      <c r="J76" s="126" t="e">
        <f t="shared" si="48"/>
        <v>#REF!</v>
      </c>
      <c r="K76" s="126" t="e">
        <f t="shared" si="48"/>
        <v>#REF!</v>
      </c>
      <c r="L76" s="126" t="e">
        <f t="shared" si="48"/>
        <v>#REF!</v>
      </c>
      <c r="M76" s="126" t="e">
        <f t="shared" si="48"/>
        <v>#REF!</v>
      </c>
      <c r="N76" s="332" t="e">
        <f t="shared" si="48"/>
        <v>#REF!</v>
      </c>
      <c r="O76" s="2408"/>
      <c r="P76" s="85"/>
      <c r="Q76" s="289" t="s">
        <v>967</v>
      </c>
      <c r="S76" s="85"/>
      <c r="T76" s="289" t="s">
        <v>968</v>
      </c>
      <c r="Z76" s="1718"/>
      <c r="AA76" s="1732"/>
    </row>
    <row r="77" spans="1:27" s="86" customFormat="1" ht="15">
      <c r="A77" s="2408"/>
      <c r="B77" s="289" t="str">
        <f>IF('Mode Opératoire'!$I$1="Français",+Financier!Q77,Financier!T77)</f>
        <v>Clients RZD</v>
      </c>
      <c r="C77" s="278" t="s">
        <v>18</v>
      </c>
      <c r="D77" s="341" t="e">
        <f>ROUND(D51*D86/365*(1+$D$73),0)</f>
        <v>#REF!</v>
      </c>
      <c r="E77" s="345" t="e">
        <f t="shared" ref="E77:N77" si="49">ROUND(E51*E86/365*(1+$D$73),0)</f>
        <v>#REF!</v>
      </c>
      <c r="F77" s="126" t="e">
        <f t="shared" si="49"/>
        <v>#REF!</v>
      </c>
      <c r="G77" s="126" t="e">
        <f t="shared" si="49"/>
        <v>#REF!</v>
      </c>
      <c r="H77" s="126" t="e">
        <f t="shared" si="49"/>
        <v>#REF!</v>
      </c>
      <c r="I77" s="126" t="e">
        <f t="shared" si="49"/>
        <v>#REF!</v>
      </c>
      <c r="J77" s="126" t="e">
        <f t="shared" si="49"/>
        <v>#REF!</v>
      </c>
      <c r="K77" s="126" t="e">
        <f t="shared" si="49"/>
        <v>#REF!</v>
      </c>
      <c r="L77" s="126" t="e">
        <f t="shared" si="49"/>
        <v>#REF!</v>
      </c>
      <c r="M77" s="126" t="e">
        <f t="shared" si="49"/>
        <v>#REF!</v>
      </c>
      <c r="N77" s="332" t="e">
        <f t="shared" si="49"/>
        <v>#REF!</v>
      </c>
      <c r="O77" s="2408"/>
      <c r="P77" s="85"/>
      <c r="Q77" s="289" t="s">
        <v>970</v>
      </c>
      <c r="S77" s="85"/>
      <c r="T77" s="289" t="s">
        <v>971</v>
      </c>
      <c r="Z77" s="1718"/>
      <c r="AA77" s="1732"/>
    </row>
    <row r="78" spans="1:27" s="86" customFormat="1" ht="15">
      <c r="A78" s="2408"/>
      <c r="B78" s="289" t="str">
        <f>IF('Mode Opératoire'!$I$1="Français",+Financier!Q78,Financier!T78)</f>
        <v>Clients Gefco</v>
      </c>
      <c r="C78" s="278" t="s">
        <v>18</v>
      </c>
      <c r="D78" s="341" t="e">
        <f>ROUND(D52*D87/365,0)</f>
        <v>#REF!</v>
      </c>
      <c r="E78" s="345" t="e">
        <f t="shared" ref="E78:N78" si="50">ROUND(E52*E87/365,0)</f>
        <v>#REF!</v>
      </c>
      <c r="F78" s="126" t="e">
        <f t="shared" si="50"/>
        <v>#REF!</v>
      </c>
      <c r="G78" s="126" t="e">
        <f t="shared" si="50"/>
        <v>#REF!</v>
      </c>
      <c r="H78" s="126" t="e">
        <f t="shared" si="50"/>
        <v>#REF!</v>
      </c>
      <c r="I78" s="131" t="e">
        <f t="shared" si="50"/>
        <v>#REF!</v>
      </c>
      <c r="J78" s="131" t="e">
        <f t="shared" si="50"/>
        <v>#REF!</v>
      </c>
      <c r="K78" s="131" t="e">
        <f t="shared" si="50"/>
        <v>#REF!</v>
      </c>
      <c r="L78" s="131" t="e">
        <f t="shared" si="50"/>
        <v>#REF!</v>
      </c>
      <c r="M78" s="131" t="e">
        <f t="shared" si="50"/>
        <v>#REF!</v>
      </c>
      <c r="N78" s="333" t="e">
        <f t="shared" si="50"/>
        <v>#REF!</v>
      </c>
      <c r="O78" s="2408"/>
      <c r="P78" s="85"/>
      <c r="Q78" s="289" t="s">
        <v>157</v>
      </c>
      <c r="S78" s="85"/>
      <c r="T78" s="289" t="s">
        <v>157</v>
      </c>
      <c r="Z78" s="1718"/>
      <c r="AA78" s="1732"/>
    </row>
    <row r="79" spans="1:27" s="86" customFormat="1" ht="15">
      <c r="A79" s="2408"/>
      <c r="B79" s="291" t="str">
        <f>IF('Mode Opératoire'!$I$1="Français",+Financier!Q79,Financier!T79)</f>
        <v>Achats</v>
      </c>
      <c r="C79" s="338" t="s">
        <v>20</v>
      </c>
      <c r="D79" s="342" t="e">
        <f>ROUND(D54*D87/365*(1+$D$73),0)</f>
        <v>#REF!</v>
      </c>
      <c r="E79" s="346" t="e">
        <f t="shared" ref="E79:N79" si="51">ROUND(E54*E87/365*(1+$D$73),0)</f>
        <v>#REF!</v>
      </c>
      <c r="F79" s="334" t="e">
        <f t="shared" si="51"/>
        <v>#REF!</v>
      </c>
      <c r="G79" s="334" t="e">
        <f t="shared" si="51"/>
        <v>#REF!</v>
      </c>
      <c r="H79" s="334" t="e">
        <f t="shared" si="51"/>
        <v>#REF!</v>
      </c>
      <c r="I79" s="334" t="e">
        <f t="shared" si="51"/>
        <v>#REF!</v>
      </c>
      <c r="J79" s="334" t="e">
        <f t="shared" si="51"/>
        <v>#REF!</v>
      </c>
      <c r="K79" s="334" t="e">
        <f t="shared" si="51"/>
        <v>#REF!</v>
      </c>
      <c r="L79" s="334" t="e">
        <f t="shared" si="51"/>
        <v>#REF!</v>
      </c>
      <c r="M79" s="334" t="e">
        <f t="shared" si="51"/>
        <v>#REF!</v>
      </c>
      <c r="N79" s="335" t="e">
        <f t="shared" si="51"/>
        <v>#REF!</v>
      </c>
      <c r="O79" s="2438"/>
      <c r="P79" s="85"/>
      <c r="Q79" s="291" t="s">
        <v>123</v>
      </c>
      <c r="S79" s="85"/>
      <c r="T79" s="291" t="s">
        <v>755</v>
      </c>
      <c r="Z79" s="1718"/>
      <c r="AA79" s="1732"/>
    </row>
    <row r="80" spans="1:27" s="98" customFormat="1" ht="15.75" customHeight="1">
      <c r="A80" s="2407"/>
      <c r="B80" s="336" t="s">
        <v>166</v>
      </c>
      <c r="C80" s="339"/>
      <c r="D80" s="343" t="e">
        <f>ROUND(SUM(D74:D78)+D79,0)</f>
        <v>#REF!</v>
      </c>
      <c r="E80" s="347" t="e">
        <f>ROUND(SUM(E74:E78)+E79,0)</f>
        <v>#REF!</v>
      </c>
      <c r="F80" s="337" t="e">
        <f t="shared" ref="F80:N80" si="52">ROUND(SUM(F74:F78)+F79,0)</f>
        <v>#REF!</v>
      </c>
      <c r="G80" s="337" t="e">
        <f t="shared" si="52"/>
        <v>#REF!</v>
      </c>
      <c r="H80" s="337" t="e">
        <f t="shared" si="52"/>
        <v>#REF!</v>
      </c>
      <c r="I80" s="337" t="e">
        <f t="shared" si="52"/>
        <v>#REF!</v>
      </c>
      <c r="J80" s="337" t="e">
        <f t="shared" si="52"/>
        <v>#REF!</v>
      </c>
      <c r="K80" s="337" t="e">
        <f t="shared" si="52"/>
        <v>#REF!</v>
      </c>
      <c r="L80" s="337" t="e">
        <f t="shared" si="52"/>
        <v>#REF!</v>
      </c>
      <c r="M80" s="337" t="e">
        <f t="shared" si="52"/>
        <v>#REF!</v>
      </c>
      <c r="N80" s="286" t="e">
        <f t="shared" si="52"/>
        <v>#REF!</v>
      </c>
      <c r="O80" s="2407"/>
      <c r="P80" s="97"/>
      <c r="Q80" s="336" t="s">
        <v>166</v>
      </c>
      <c r="S80" s="97"/>
      <c r="T80" s="336" t="s">
        <v>166</v>
      </c>
      <c r="Z80" s="1719"/>
      <c r="AA80" s="1733"/>
    </row>
    <row r="81" spans="1:27" ht="10.5" customHeight="1">
      <c r="A81" s="623"/>
      <c r="B81" s="5"/>
      <c r="C81" s="5"/>
      <c r="D81" s="5"/>
      <c r="E81" s="5"/>
      <c r="F81" s="5"/>
      <c r="G81" s="5"/>
      <c r="H81" s="5"/>
      <c r="I81" s="5"/>
      <c r="J81" s="5"/>
      <c r="K81" s="5"/>
      <c r="L81" s="5"/>
      <c r="M81" s="5"/>
      <c r="N81" s="5"/>
      <c r="O81" s="623"/>
      <c r="Q81" s="5"/>
      <c r="T81" s="5"/>
      <c r="Z81" s="1716"/>
      <c r="AA81" s="1730"/>
    </row>
    <row r="82" spans="1:27" s="86" customFormat="1" ht="15.75">
      <c r="A82" s="2408"/>
      <c r="B82" s="110" t="str">
        <f>IF('Mode Opératoire'!$I$1="Français",+Financier!Q82,Financier!T82)</f>
        <v>Délai de paiement (jours)</v>
      </c>
      <c r="C82" s="85"/>
      <c r="D82" s="85"/>
      <c r="E82" s="85"/>
      <c r="F82" s="85"/>
      <c r="G82" s="85"/>
      <c r="H82" s="85"/>
      <c r="I82" s="85"/>
      <c r="J82" s="85"/>
      <c r="K82" s="85"/>
      <c r="L82" s="85"/>
      <c r="M82" s="85"/>
      <c r="N82" s="85"/>
      <c r="O82" s="2408"/>
      <c r="Q82" s="110" t="s">
        <v>124</v>
      </c>
      <c r="T82" s="110" t="s">
        <v>781</v>
      </c>
      <c r="Z82" s="1718"/>
      <c r="AA82" s="1732"/>
    </row>
    <row r="83" spans="1:27" s="86" customFormat="1" ht="15">
      <c r="A83" s="2408"/>
      <c r="B83" s="348" t="str">
        <f>IF('Mode Opératoire'!$I$1="Français",+Financier!Q83,Financier!T83)</f>
        <v>Clients hors groupe</v>
      </c>
      <c r="C83" s="356"/>
      <c r="D83" s="1906">
        <v>30</v>
      </c>
      <c r="E83" s="349">
        <f>D83</f>
        <v>30</v>
      </c>
      <c r="F83" s="349">
        <f t="shared" ref="F83:N83" si="53">E83</f>
        <v>30</v>
      </c>
      <c r="G83" s="349">
        <f t="shared" si="53"/>
        <v>30</v>
      </c>
      <c r="H83" s="349">
        <f t="shared" si="53"/>
        <v>30</v>
      </c>
      <c r="I83" s="349">
        <f t="shared" si="53"/>
        <v>30</v>
      </c>
      <c r="J83" s="349">
        <f t="shared" si="53"/>
        <v>30</v>
      </c>
      <c r="K83" s="349">
        <f t="shared" si="53"/>
        <v>30</v>
      </c>
      <c r="L83" s="349">
        <f t="shared" si="53"/>
        <v>30</v>
      </c>
      <c r="M83" s="349">
        <f t="shared" si="53"/>
        <v>30</v>
      </c>
      <c r="N83" s="350">
        <f t="shared" si="53"/>
        <v>30</v>
      </c>
      <c r="O83" s="2438"/>
      <c r="P83" s="85"/>
      <c r="Q83" s="348" t="s">
        <v>26</v>
      </c>
      <c r="S83" s="85"/>
      <c r="T83" s="348" t="s">
        <v>969</v>
      </c>
      <c r="Z83" s="1718" t="s">
        <v>986</v>
      </c>
      <c r="AA83" s="1732" t="s">
        <v>996</v>
      </c>
    </row>
    <row r="84" spans="1:27" s="86" customFormat="1" ht="15">
      <c r="A84" s="2408"/>
      <c r="B84" s="351" t="str">
        <f>IF('Mode Opératoire'!$I$1="Français",+Financier!Q84,Financier!T84)</f>
        <v>Clients groupe</v>
      </c>
      <c r="C84" s="357"/>
      <c r="D84" s="1907">
        <v>30</v>
      </c>
      <c r="E84" s="125">
        <f>D84</f>
        <v>30</v>
      </c>
      <c r="F84" s="125">
        <f t="shared" ref="F84:N84" si="54">E84</f>
        <v>30</v>
      </c>
      <c r="G84" s="125">
        <f t="shared" si="54"/>
        <v>30</v>
      </c>
      <c r="H84" s="125">
        <f t="shared" si="54"/>
        <v>30</v>
      </c>
      <c r="I84" s="125">
        <f t="shared" si="54"/>
        <v>30</v>
      </c>
      <c r="J84" s="125">
        <f>I84</f>
        <v>30</v>
      </c>
      <c r="K84" s="125">
        <f t="shared" si="54"/>
        <v>30</v>
      </c>
      <c r="L84" s="125">
        <f t="shared" si="54"/>
        <v>30</v>
      </c>
      <c r="M84" s="125">
        <f t="shared" si="54"/>
        <v>30</v>
      </c>
      <c r="N84" s="352">
        <f t="shared" si="54"/>
        <v>30</v>
      </c>
      <c r="O84" s="2408"/>
      <c r="P84" s="85"/>
      <c r="Q84" s="351" t="s">
        <v>27</v>
      </c>
      <c r="S84" s="85"/>
      <c r="T84" s="351" t="s">
        <v>972</v>
      </c>
      <c r="Z84" s="1718" t="s">
        <v>986</v>
      </c>
      <c r="AA84" s="1732" t="s">
        <v>996</v>
      </c>
    </row>
    <row r="85" spans="1:27" s="86" customFormat="1" ht="15">
      <c r="A85" s="2408"/>
      <c r="B85" s="429" t="str">
        <f>IF('Mode Opératoire'!$I$1="Français",+Financier!Q85,Financier!T85)</f>
        <v>Clients GM</v>
      </c>
      <c r="C85" s="1702"/>
      <c r="D85" s="1908">
        <v>30</v>
      </c>
      <c r="E85" s="1703">
        <f t="shared" ref="E85:E86" si="55">D85</f>
        <v>30</v>
      </c>
      <c r="F85" s="1703">
        <f t="shared" ref="F85:F86" si="56">E85</f>
        <v>30</v>
      </c>
      <c r="G85" s="1703">
        <f t="shared" ref="G85:G86" si="57">F85</f>
        <v>30</v>
      </c>
      <c r="H85" s="1703">
        <f t="shared" ref="H85:H86" si="58">G85</f>
        <v>30</v>
      </c>
      <c r="I85" s="1703">
        <f t="shared" ref="I85:I86" si="59">H85</f>
        <v>30</v>
      </c>
      <c r="J85" s="1703">
        <f t="shared" ref="J85:J86" si="60">I85</f>
        <v>30</v>
      </c>
      <c r="K85" s="1703">
        <f t="shared" ref="K85:K86" si="61">J85</f>
        <v>30</v>
      </c>
      <c r="L85" s="1703">
        <f t="shared" ref="L85:L86" si="62">K85</f>
        <v>30</v>
      </c>
      <c r="M85" s="1703">
        <f t="shared" ref="M85:M86" si="63">L85</f>
        <v>30</v>
      </c>
      <c r="N85" s="1704">
        <f t="shared" ref="N85:N86" si="64">M85</f>
        <v>30</v>
      </c>
      <c r="O85" s="2408"/>
      <c r="P85" s="85"/>
      <c r="Q85" s="429" t="s">
        <v>967</v>
      </c>
      <c r="S85" s="85"/>
      <c r="T85" s="429" t="s">
        <v>968</v>
      </c>
      <c r="Z85" s="1718" t="s">
        <v>986</v>
      </c>
      <c r="AA85" s="1732" t="s">
        <v>996</v>
      </c>
    </row>
    <row r="86" spans="1:27" s="86" customFormat="1" ht="15">
      <c r="A86" s="2408"/>
      <c r="B86" s="429" t="str">
        <f>IF('Mode Opératoire'!$I$1="Français",+Financier!Q86,Financier!T86)</f>
        <v>Clients RZD</v>
      </c>
      <c r="C86" s="1702"/>
      <c r="D86" s="1908">
        <v>30</v>
      </c>
      <c r="E86" s="1703">
        <f t="shared" si="55"/>
        <v>30</v>
      </c>
      <c r="F86" s="1703">
        <f t="shared" si="56"/>
        <v>30</v>
      </c>
      <c r="G86" s="1703">
        <f t="shared" si="57"/>
        <v>30</v>
      </c>
      <c r="H86" s="1703">
        <f t="shared" si="58"/>
        <v>30</v>
      </c>
      <c r="I86" s="1703">
        <f t="shared" si="59"/>
        <v>30</v>
      </c>
      <c r="J86" s="1703">
        <f t="shared" si="60"/>
        <v>30</v>
      </c>
      <c r="K86" s="1703">
        <f t="shared" si="61"/>
        <v>30</v>
      </c>
      <c r="L86" s="1703">
        <f t="shared" si="62"/>
        <v>30</v>
      </c>
      <c r="M86" s="1703">
        <f t="shared" si="63"/>
        <v>30</v>
      </c>
      <c r="N86" s="1704">
        <f t="shared" si="64"/>
        <v>30</v>
      </c>
      <c r="O86" s="2408"/>
      <c r="P86" s="85"/>
      <c r="Q86" s="429" t="s">
        <v>970</v>
      </c>
      <c r="S86" s="85"/>
      <c r="T86" s="429" t="s">
        <v>971</v>
      </c>
      <c r="Z86" s="1718" t="s">
        <v>986</v>
      </c>
      <c r="AA86" s="1732" t="s">
        <v>996</v>
      </c>
    </row>
    <row r="87" spans="1:27" s="86" customFormat="1" ht="15">
      <c r="A87" s="2408"/>
      <c r="B87" s="353" t="str">
        <f>IF('Mode Opératoire'!$I$1="Français",+Financier!Q87,Financier!T87)</f>
        <v>Fournisseurs</v>
      </c>
      <c r="C87" s="358"/>
      <c r="D87" s="1909">
        <v>30</v>
      </c>
      <c r="E87" s="354">
        <f>D87</f>
        <v>30</v>
      </c>
      <c r="F87" s="354">
        <f t="shared" ref="F87:N87" si="65">E87</f>
        <v>30</v>
      </c>
      <c r="G87" s="354">
        <f t="shared" si="65"/>
        <v>30</v>
      </c>
      <c r="H87" s="354">
        <f t="shared" si="65"/>
        <v>30</v>
      </c>
      <c r="I87" s="354">
        <f t="shared" si="65"/>
        <v>30</v>
      </c>
      <c r="J87" s="354">
        <f t="shared" si="65"/>
        <v>30</v>
      </c>
      <c r="K87" s="354">
        <f t="shared" si="65"/>
        <v>30</v>
      </c>
      <c r="L87" s="354">
        <f t="shared" si="65"/>
        <v>30</v>
      </c>
      <c r="M87" s="354">
        <f t="shared" si="65"/>
        <v>30</v>
      </c>
      <c r="N87" s="355">
        <f t="shared" si="65"/>
        <v>30</v>
      </c>
      <c r="O87" s="2408"/>
      <c r="P87" s="85"/>
      <c r="Q87" s="353" t="s">
        <v>125</v>
      </c>
      <c r="S87" s="85"/>
      <c r="T87" s="353" t="s">
        <v>782</v>
      </c>
      <c r="Z87" s="1718" t="s">
        <v>987</v>
      </c>
      <c r="AA87" s="1732" t="s">
        <v>997</v>
      </c>
    </row>
    <row r="88" spans="1:27" ht="15">
      <c r="A88" s="623"/>
      <c r="B88" s="2417"/>
      <c r="C88" s="2418"/>
      <c r="D88" s="2419"/>
      <c r="E88" s="2419"/>
      <c r="F88" s="2419"/>
      <c r="G88" s="2419"/>
      <c r="H88" s="2419"/>
      <c r="I88" s="2420"/>
      <c r="J88" s="2420"/>
      <c r="K88" s="2420"/>
      <c r="L88" s="2420"/>
      <c r="M88" s="2420"/>
      <c r="N88" s="2420"/>
      <c r="O88" s="623"/>
      <c r="P88" s="5"/>
      <c r="Q88" s="11"/>
      <c r="S88" s="5"/>
      <c r="T88" s="11"/>
      <c r="Z88" s="1716"/>
      <c r="AA88" s="1730"/>
    </row>
    <row r="89" spans="1:27" ht="15">
      <c r="A89" s="623"/>
      <c r="B89" s="2417"/>
      <c r="C89" s="2418"/>
      <c r="D89" s="2419"/>
      <c r="E89" s="2419"/>
      <c r="F89" s="2419"/>
      <c r="G89" s="2419"/>
      <c r="H89" s="2419"/>
      <c r="I89" s="2420"/>
      <c r="J89" s="2420"/>
      <c r="K89" s="2420"/>
      <c r="L89" s="2420"/>
      <c r="M89" s="2420"/>
      <c r="N89" s="2421" t="s">
        <v>131</v>
      </c>
      <c r="O89" s="623"/>
      <c r="P89" s="5"/>
      <c r="Q89" s="11"/>
      <c r="S89" s="5"/>
      <c r="T89" s="11"/>
      <c r="Z89" s="1716"/>
      <c r="AA89" s="1730"/>
    </row>
    <row r="90" spans="1:27" ht="15">
      <c r="A90" s="623"/>
      <c r="B90" s="2417"/>
      <c r="C90" s="2418"/>
      <c r="D90" s="2419"/>
      <c r="E90" s="2419"/>
      <c r="F90" s="2419"/>
      <c r="G90" s="2419"/>
      <c r="H90" s="2419"/>
      <c r="I90" s="2420"/>
      <c r="J90" s="2420"/>
      <c r="K90" s="2420"/>
      <c r="L90" s="2420"/>
      <c r="M90" s="2420"/>
      <c r="N90" s="2420"/>
      <c r="O90" s="623"/>
      <c r="P90" s="5"/>
      <c r="Q90" s="11"/>
      <c r="S90" s="5"/>
      <c r="T90" s="11"/>
      <c r="Z90" s="1716"/>
      <c r="AA90" s="1730"/>
    </row>
    <row r="91" spans="1:27" ht="15">
      <c r="A91" s="623"/>
      <c r="B91" s="2417"/>
      <c r="C91" s="2418"/>
      <c r="D91" s="2419"/>
      <c r="E91" s="2419"/>
      <c r="F91" s="2419"/>
      <c r="G91" s="2419"/>
      <c r="H91" s="2419"/>
      <c r="I91" s="2420"/>
      <c r="J91" s="2420"/>
      <c r="K91" s="2420"/>
      <c r="L91" s="2420"/>
      <c r="M91" s="2420"/>
      <c r="N91" s="2420"/>
      <c r="O91" s="623"/>
      <c r="P91" s="5"/>
      <c r="Q91" s="11"/>
      <c r="S91" s="5"/>
      <c r="T91" s="11"/>
      <c r="Z91" s="1716"/>
      <c r="AA91" s="1730"/>
    </row>
    <row r="92" spans="1:27" ht="15">
      <c r="A92" s="623"/>
      <c r="B92" s="2417"/>
      <c r="C92" s="2418"/>
      <c r="D92" s="2419"/>
      <c r="E92" s="2419"/>
      <c r="F92" s="2419"/>
      <c r="G92" s="2419"/>
      <c r="H92" s="2419"/>
      <c r="I92" s="2420"/>
      <c r="J92" s="2420"/>
      <c r="K92" s="2420"/>
      <c r="L92" s="2420"/>
      <c r="M92" s="2420"/>
      <c r="N92" s="2420"/>
      <c r="O92" s="623"/>
      <c r="P92" s="5"/>
      <c r="Q92" s="11"/>
      <c r="S92" s="5"/>
      <c r="T92" s="11"/>
      <c r="Z92" s="1716"/>
      <c r="AA92" s="1730"/>
    </row>
    <row r="93" spans="1:27" ht="15">
      <c r="A93" s="623"/>
      <c r="B93" s="2417"/>
      <c r="C93" s="2418"/>
      <c r="D93" s="2419"/>
      <c r="E93" s="2419"/>
      <c r="F93" s="2419"/>
      <c r="G93" s="2419"/>
      <c r="H93" s="2419"/>
      <c r="I93" s="2420"/>
      <c r="J93" s="2420"/>
      <c r="K93" s="2420"/>
      <c r="L93" s="2420"/>
      <c r="M93" s="2420"/>
      <c r="N93" s="2420"/>
      <c r="O93" s="623"/>
      <c r="P93" s="5"/>
      <c r="Q93" s="11"/>
      <c r="S93" s="5"/>
      <c r="T93" s="11"/>
      <c r="Z93" s="1716"/>
      <c r="AA93" s="1730"/>
    </row>
    <row r="94" spans="1:27" ht="15">
      <c r="A94" s="623"/>
      <c r="B94" s="2417"/>
      <c r="C94" s="2418"/>
      <c r="D94" s="2419"/>
      <c r="E94" s="2419"/>
      <c r="F94" s="2419"/>
      <c r="G94" s="2419"/>
      <c r="H94" s="2419"/>
      <c r="I94" s="2420"/>
      <c r="J94" s="2420"/>
      <c r="K94" s="2420"/>
      <c r="L94" s="2420"/>
      <c r="M94" s="2420"/>
      <c r="N94" s="2420"/>
      <c r="O94" s="623"/>
      <c r="P94" s="5"/>
      <c r="Q94" s="11"/>
      <c r="S94" s="5"/>
      <c r="T94" s="11"/>
      <c r="Z94" s="1716"/>
      <c r="AA94" s="1730"/>
    </row>
    <row r="95" spans="1:27" ht="10.5" customHeight="1">
      <c r="A95" s="623"/>
      <c r="B95" s="5"/>
      <c r="C95" s="5"/>
      <c r="D95" s="5"/>
      <c r="E95" s="5"/>
      <c r="F95" s="5"/>
      <c r="G95" s="5"/>
      <c r="H95" s="5"/>
      <c r="I95" s="5"/>
      <c r="J95" s="5"/>
      <c r="K95" s="5"/>
      <c r="L95" s="5"/>
      <c r="M95" s="5"/>
      <c r="N95" s="5"/>
      <c r="O95" s="623"/>
      <c r="P95" s="5"/>
      <c r="Q95" s="5"/>
      <c r="S95" s="5"/>
      <c r="T95" s="5"/>
      <c r="Z95" s="1716"/>
      <c r="AA95" s="1730"/>
    </row>
    <row r="96" spans="1:27" s="112" customFormat="1" ht="17.25" customHeight="1">
      <c r="A96" s="2834" t="str">
        <f>IF('Mode Opératoire'!$I$1="Français",+Financier!P96,Financier!S96)</f>
        <v>Rentabilité des capitaux employés</v>
      </c>
      <c r="B96" s="2834"/>
      <c r="C96" s="2834"/>
      <c r="D96" s="111">
        <v>1</v>
      </c>
      <c r="E96" s="111">
        <f t="shared" ref="E96:M96" si="66">D96+1</f>
        <v>2</v>
      </c>
      <c r="F96" s="111">
        <f t="shared" si="66"/>
        <v>3</v>
      </c>
      <c r="G96" s="111">
        <f t="shared" si="66"/>
        <v>4</v>
      </c>
      <c r="H96" s="111">
        <f t="shared" si="66"/>
        <v>5</v>
      </c>
      <c r="I96" s="111">
        <f t="shared" si="66"/>
        <v>6</v>
      </c>
      <c r="J96" s="111">
        <f t="shared" si="66"/>
        <v>7</v>
      </c>
      <c r="K96" s="111">
        <f t="shared" si="66"/>
        <v>8</v>
      </c>
      <c r="L96" s="111">
        <f t="shared" si="66"/>
        <v>9</v>
      </c>
      <c r="M96" s="111">
        <f t="shared" si="66"/>
        <v>10</v>
      </c>
      <c r="N96" s="96">
        <f>M96+1</f>
        <v>11</v>
      </c>
      <c r="O96" s="2439"/>
      <c r="P96" s="2831" t="s">
        <v>29</v>
      </c>
      <c r="Q96" s="2831"/>
      <c r="R96" s="106"/>
      <c r="S96" s="2831" t="s">
        <v>846</v>
      </c>
      <c r="T96" s="2831"/>
      <c r="Z96" s="1727"/>
      <c r="AA96" s="1741"/>
    </row>
    <row r="97" spans="1:27" s="113" customFormat="1" ht="17.25" customHeight="1">
      <c r="A97" s="1245"/>
      <c r="B97" s="1245"/>
      <c r="C97" s="1245"/>
      <c r="D97" s="2428"/>
      <c r="E97" s="2428"/>
      <c r="F97" s="2428"/>
      <c r="G97" s="2428"/>
      <c r="H97" s="2428"/>
      <c r="I97" s="2428"/>
      <c r="J97" s="2428"/>
      <c r="K97" s="2428"/>
      <c r="L97" s="2428"/>
      <c r="M97" s="2428"/>
      <c r="N97" s="2428"/>
      <c r="O97" s="2439"/>
      <c r="P97" s="42"/>
      <c r="Q97" s="42"/>
      <c r="S97" s="42"/>
      <c r="T97" s="42"/>
      <c r="Z97" s="1727"/>
      <c r="AA97" s="1741"/>
    </row>
    <row r="98" spans="1:27" s="106" customFormat="1" ht="9.75" customHeight="1">
      <c r="A98" s="2410"/>
      <c r="B98" s="2410"/>
      <c r="C98" s="2410"/>
      <c r="D98" s="2410"/>
      <c r="E98" s="2410"/>
      <c r="F98" s="2410"/>
      <c r="G98" s="2410"/>
      <c r="H98" s="2410"/>
      <c r="I98" s="2410"/>
      <c r="J98" s="2410"/>
      <c r="K98" s="2410"/>
      <c r="L98" s="2410"/>
      <c r="M98" s="2410"/>
      <c r="N98" s="2410"/>
      <c r="O98" s="2410"/>
      <c r="P98" s="95"/>
      <c r="Q98" s="95"/>
      <c r="S98" s="95"/>
      <c r="T98" s="95"/>
      <c r="Z98" s="1724"/>
      <c r="AA98" s="1738"/>
    </row>
    <row r="99" spans="1:27" s="106" customFormat="1" ht="18">
      <c r="A99" s="2412"/>
      <c r="B99" s="94" t="str">
        <f>IF('Mode Opératoire'!$I$1="Français",+Financier!Q99,Financier!T99)</f>
        <v>Annuel</v>
      </c>
      <c r="C99" s="114" t="s">
        <v>70</v>
      </c>
      <c r="D99" s="2410"/>
      <c r="E99" s="2410"/>
      <c r="F99" s="2410"/>
      <c r="G99" s="2410"/>
      <c r="H99" s="2410"/>
      <c r="I99" s="2410"/>
      <c r="J99" s="2410"/>
      <c r="K99" s="2410"/>
      <c r="L99" s="2410"/>
      <c r="M99" s="2410"/>
      <c r="N99" s="2410"/>
      <c r="O99" s="2410"/>
      <c r="P99" s="99"/>
      <c r="Q99" s="1150" t="s">
        <v>133</v>
      </c>
      <c r="S99" s="99"/>
      <c r="T99" s="1150" t="s">
        <v>783</v>
      </c>
      <c r="Z99" s="1724"/>
      <c r="AA99" s="1738"/>
    </row>
    <row r="100" spans="1:27" s="86" customFormat="1" ht="15">
      <c r="A100" s="2408"/>
      <c r="B100" s="359" t="str">
        <f>IF('Mode Opératoire'!$I$1="Français",+Financier!Q100,Financier!T100)</f>
        <v>Immobilisations</v>
      </c>
      <c r="C100" s="288"/>
      <c r="D100" s="367">
        <f>D44</f>
        <v>0</v>
      </c>
      <c r="E100" s="368">
        <f t="shared" ref="E100:M100" si="67">E44</f>
        <v>0</v>
      </c>
      <c r="F100" s="369">
        <f t="shared" si="67"/>
        <v>0</v>
      </c>
      <c r="G100" s="368">
        <f t="shared" si="67"/>
        <v>0</v>
      </c>
      <c r="H100" s="369">
        <f t="shared" si="67"/>
        <v>0</v>
      </c>
      <c r="I100" s="330">
        <f t="shared" si="67"/>
        <v>0</v>
      </c>
      <c r="J100" s="330">
        <f t="shared" si="67"/>
        <v>0</v>
      </c>
      <c r="K100" s="330">
        <f t="shared" si="67"/>
        <v>0</v>
      </c>
      <c r="L100" s="330">
        <f t="shared" si="67"/>
        <v>0</v>
      </c>
      <c r="M100" s="330">
        <f t="shared" si="67"/>
        <v>0</v>
      </c>
      <c r="N100" s="370">
        <f>N44</f>
        <v>0</v>
      </c>
      <c r="O100" s="2408"/>
      <c r="Q100" s="359" t="s">
        <v>30</v>
      </c>
      <c r="T100" s="359" t="s">
        <v>784</v>
      </c>
      <c r="Z100" s="1718"/>
      <c r="AA100" s="1732"/>
    </row>
    <row r="101" spans="1:27" s="86" customFormat="1" ht="15">
      <c r="A101" s="2408"/>
      <c r="B101" s="360" t="str">
        <f>IF('Mode Opératoire'!$I$1="Français",+Financier!Q101,Financier!T101)</f>
        <v>BFR</v>
      </c>
      <c r="C101" s="290"/>
      <c r="D101" s="371" t="e">
        <f>D80</f>
        <v>#REF!</v>
      </c>
      <c r="E101" s="126" t="e">
        <f>E80</f>
        <v>#REF!</v>
      </c>
      <c r="F101" s="126" t="e">
        <f t="shared" ref="F101:N101" si="68">F80</f>
        <v>#REF!</v>
      </c>
      <c r="G101" s="126" t="e">
        <f t="shared" si="68"/>
        <v>#REF!</v>
      </c>
      <c r="H101" s="126" t="e">
        <f t="shared" si="68"/>
        <v>#REF!</v>
      </c>
      <c r="I101" s="126" t="e">
        <f t="shared" si="68"/>
        <v>#REF!</v>
      </c>
      <c r="J101" s="126" t="e">
        <f t="shared" si="68"/>
        <v>#REF!</v>
      </c>
      <c r="K101" s="126" t="e">
        <f t="shared" si="68"/>
        <v>#REF!</v>
      </c>
      <c r="L101" s="126" t="e">
        <f t="shared" si="68"/>
        <v>#REF!</v>
      </c>
      <c r="M101" s="126" t="e">
        <f t="shared" si="68"/>
        <v>#REF!</v>
      </c>
      <c r="N101" s="333" t="e">
        <f t="shared" si="68"/>
        <v>#REF!</v>
      </c>
      <c r="O101" s="2408"/>
      <c r="Q101" s="360" t="s">
        <v>28</v>
      </c>
      <c r="T101" s="360" t="s">
        <v>785</v>
      </c>
      <c r="Z101" s="1718"/>
      <c r="AA101" s="1732"/>
    </row>
    <row r="102" spans="1:27" s="106" customFormat="1" ht="18">
      <c r="A102" s="2410"/>
      <c r="B102" s="361" t="str">
        <f>IF('Mode Opératoire'!$I$1="Français",+Financier!Q102,Financier!T102)</f>
        <v>Capitaux Employés</v>
      </c>
      <c r="C102" s="362"/>
      <c r="D102" s="372" t="e">
        <f>SUM(D100:D101)</f>
        <v>#REF!</v>
      </c>
      <c r="E102" s="116" t="e">
        <f>SUM(E100:E101)</f>
        <v>#REF!</v>
      </c>
      <c r="F102" s="115" t="e">
        <f t="shared" ref="F102:M102" si="69">SUM(F100:F101)</f>
        <v>#REF!</v>
      </c>
      <c r="G102" s="116" t="e">
        <f t="shared" si="69"/>
        <v>#REF!</v>
      </c>
      <c r="H102" s="115" t="e">
        <f t="shared" si="69"/>
        <v>#REF!</v>
      </c>
      <c r="I102" s="116" t="e">
        <f t="shared" si="69"/>
        <v>#REF!</v>
      </c>
      <c r="J102" s="116" t="e">
        <f t="shared" si="69"/>
        <v>#REF!</v>
      </c>
      <c r="K102" s="116" t="e">
        <f t="shared" si="69"/>
        <v>#REF!</v>
      </c>
      <c r="L102" s="116" t="e">
        <f t="shared" si="69"/>
        <v>#REF!</v>
      </c>
      <c r="M102" s="116" t="e">
        <f t="shared" si="69"/>
        <v>#REF!</v>
      </c>
      <c r="N102" s="373" t="e">
        <f>SUM(N100:N101)</f>
        <v>#REF!</v>
      </c>
      <c r="O102" s="2410"/>
      <c r="P102" s="95"/>
      <c r="Q102" s="361" t="s">
        <v>31</v>
      </c>
      <c r="S102" s="95"/>
      <c r="T102" s="361" t="s">
        <v>845</v>
      </c>
      <c r="Z102" s="1724"/>
      <c r="AA102" s="1738"/>
    </row>
    <row r="103" spans="1:27" s="117" customFormat="1" ht="18.75">
      <c r="A103" s="2422"/>
      <c r="B103" s="363" t="str">
        <f>IF('Mode Opératoire'!$I$1="Français",+Financier!Q103,Financier!T103)</f>
        <v>Rotation des capitaux</v>
      </c>
      <c r="C103" s="364"/>
      <c r="D103" s="374" t="e">
        <f t="shared" ref="D103:N103" si="70">IF(D102&lt;&gt;0,(D53)/D102,"")</f>
        <v>#REF!</v>
      </c>
      <c r="E103" s="128" t="e">
        <f t="shared" si="70"/>
        <v>#REF!</v>
      </c>
      <c r="F103" s="127" t="e">
        <f t="shared" si="70"/>
        <v>#REF!</v>
      </c>
      <c r="G103" s="128" t="e">
        <f t="shared" si="70"/>
        <v>#REF!</v>
      </c>
      <c r="H103" s="127" t="e">
        <f t="shared" si="70"/>
        <v>#REF!</v>
      </c>
      <c r="I103" s="128" t="e">
        <f t="shared" si="70"/>
        <v>#REF!</v>
      </c>
      <c r="J103" s="128" t="e">
        <f t="shared" si="70"/>
        <v>#REF!</v>
      </c>
      <c r="K103" s="128" t="e">
        <f t="shared" si="70"/>
        <v>#REF!</v>
      </c>
      <c r="L103" s="128" t="e">
        <f t="shared" si="70"/>
        <v>#REF!</v>
      </c>
      <c r="M103" s="128" t="e">
        <f t="shared" si="70"/>
        <v>#REF!</v>
      </c>
      <c r="N103" s="375" t="e">
        <f t="shared" si="70"/>
        <v>#REF!</v>
      </c>
      <c r="O103" s="2422"/>
      <c r="Q103" s="363" t="s">
        <v>113</v>
      </c>
      <c r="T103" s="363" t="s">
        <v>858</v>
      </c>
      <c r="Z103" s="1728"/>
      <c r="AA103" s="1742"/>
    </row>
    <row r="104" spans="1:27" s="106" customFormat="1" ht="18">
      <c r="A104" s="2410"/>
      <c r="B104" s="365" t="s">
        <v>158</v>
      </c>
      <c r="C104" s="366"/>
      <c r="D104" s="376" t="e">
        <f>IF(D102&lt;&gt;0,D63/D102,"")</f>
        <v>#REF!</v>
      </c>
      <c r="E104" s="376" t="e">
        <f t="shared" ref="E104:N104" si="71">IF(E102&lt;&gt;0,E63/E102,"")</f>
        <v>#REF!</v>
      </c>
      <c r="F104" s="376" t="e">
        <f>IF(F102&lt;&gt;0,F63/F102,"")</f>
        <v>#REF!</v>
      </c>
      <c r="G104" s="376" t="e">
        <f t="shared" si="71"/>
        <v>#REF!</v>
      </c>
      <c r="H104" s="376" t="e">
        <f t="shared" si="71"/>
        <v>#REF!</v>
      </c>
      <c r="I104" s="376" t="e">
        <f t="shared" si="71"/>
        <v>#REF!</v>
      </c>
      <c r="J104" s="376" t="e">
        <f t="shared" si="71"/>
        <v>#REF!</v>
      </c>
      <c r="K104" s="376" t="e">
        <f t="shared" si="71"/>
        <v>#REF!</v>
      </c>
      <c r="L104" s="376" t="e">
        <f t="shared" si="71"/>
        <v>#REF!</v>
      </c>
      <c r="M104" s="376" t="e">
        <f t="shared" si="71"/>
        <v>#REF!</v>
      </c>
      <c r="N104" s="377" t="e">
        <f t="shared" si="71"/>
        <v>#REF!</v>
      </c>
      <c r="O104" s="2410"/>
      <c r="P104" s="95"/>
      <c r="Q104" s="365" t="s">
        <v>158</v>
      </c>
      <c r="S104" s="95"/>
      <c r="T104" s="365" t="s">
        <v>158</v>
      </c>
      <c r="Z104" s="1724"/>
      <c r="AA104" s="1738"/>
    </row>
    <row r="105" spans="1:27" s="5" customFormat="1" ht="18" customHeight="1">
      <c r="A105" s="623"/>
      <c r="B105" s="2423" t="s">
        <v>551</v>
      </c>
      <c r="C105" s="2424"/>
      <c r="D105" s="2424"/>
      <c r="E105" s="2424"/>
      <c r="F105" s="2424"/>
      <c r="G105" s="2424"/>
      <c r="H105" s="2424"/>
      <c r="I105" s="2424"/>
      <c r="J105" s="2424"/>
      <c r="K105" s="2424"/>
      <c r="L105" s="2424"/>
      <c r="M105" s="2424"/>
      <c r="N105" s="2424"/>
      <c r="O105" s="623"/>
      <c r="Q105" s="155" t="s">
        <v>551</v>
      </c>
      <c r="T105" s="155" t="s">
        <v>551</v>
      </c>
      <c r="Z105" s="1716"/>
      <c r="AA105" s="1730"/>
    </row>
    <row r="106" spans="1:27" ht="14.25" customHeight="1">
      <c r="A106" s="2832"/>
      <c r="B106" s="2832"/>
      <c r="C106" s="623"/>
      <c r="D106" s="623"/>
      <c r="E106" s="2425"/>
      <c r="F106" s="2425"/>
      <c r="G106" s="623"/>
      <c r="H106" s="623"/>
      <c r="I106" s="623"/>
      <c r="J106" s="623"/>
      <c r="K106" s="623"/>
      <c r="L106" s="623"/>
      <c r="M106" s="623"/>
      <c r="N106" s="623"/>
      <c r="O106" s="623"/>
      <c r="P106" s="2833"/>
      <c r="Q106" s="2833"/>
      <c r="S106" s="2833"/>
      <c r="T106" s="2833"/>
      <c r="Z106" s="1716"/>
      <c r="AA106" s="1730"/>
    </row>
    <row r="107" spans="1:27" ht="14.25" customHeight="1">
      <c r="A107" s="2426"/>
      <c r="B107" s="2426"/>
      <c r="C107" s="623"/>
      <c r="D107" s="623"/>
      <c r="E107" s="2425"/>
      <c r="F107" s="2425"/>
      <c r="G107" s="623"/>
      <c r="H107" s="623"/>
      <c r="I107" s="623"/>
      <c r="J107" s="623"/>
      <c r="K107" s="623"/>
      <c r="L107" s="623"/>
      <c r="M107" s="623"/>
      <c r="N107" s="623"/>
      <c r="O107" s="623"/>
      <c r="P107" s="1152"/>
      <c r="Q107" s="1152"/>
      <c r="S107" s="1152"/>
      <c r="T107" s="1152"/>
      <c r="Z107" s="1716"/>
      <c r="AA107" s="1730"/>
    </row>
    <row r="108" spans="1:27" ht="14.25" customHeight="1">
      <c r="A108" s="623"/>
      <c r="B108" s="2427"/>
      <c r="C108" s="623"/>
      <c r="D108" s="623"/>
      <c r="E108" s="623"/>
      <c r="F108" s="623"/>
      <c r="G108" s="623"/>
      <c r="H108" s="623"/>
      <c r="I108" s="623"/>
      <c r="J108" s="623"/>
      <c r="K108" s="623"/>
      <c r="L108" s="623"/>
      <c r="M108" s="623"/>
      <c r="N108" s="623"/>
      <c r="O108" s="623"/>
      <c r="P108" s="5"/>
      <c r="Q108" s="12"/>
      <c r="S108" s="5"/>
      <c r="T108" s="12"/>
      <c r="Z108" s="1716"/>
      <c r="AA108" s="1730"/>
    </row>
    <row r="109" spans="1:27" s="112" customFormat="1" ht="17.25" customHeight="1">
      <c r="A109" s="2834"/>
      <c r="B109" s="2834"/>
      <c r="C109" s="2834"/>
      <c r="D109" s="111">
        <f>'Cpte exploitation 1+2+3'!D13</f>
        <v>2014</v>
      </c>
      <c r="E109" s="111">
        <f t="shared" ref="E109:M110" si="72">D109+1</f>
        <v>2015</v>
      </c>
      <c r="F109" s="111">
        <f t="shared" si="72"/>
        <v>2016</v>
      </c>
      <c r="G109" s="111">
        <f t="shared" si="72"/>
        <v>2017</v>
      </c>
      <c r="H109" s="111">
        <f t="shared" si="72"/>
        <v>2018</v>
      </c>
      <c r="I109" s="111">
        <f t="shared" si="72"/>
        <v>2019</v>
      </c>
      <c r="J109" s="111">
        <f t="shared" si="72"/>
        <v>2020</v>
      </c>
      <c r="K109" s="111">
        <f t="shared" si="72"/>
        <v>2021</v>
      </c>
      <c r="L109" s="111">
        <f t="shared" si="72"/>
        <v>2022</v>
      </c>
      <c r="M109" s="111">
        <f t="shared" si="72"/>
        <v>2023</v>
      </c>
      <c r="N109" s="96">
        <f>M109+1</f>
        <v>2024</v>
      </c>
      <c r="O109" s="2439"/>
      <c r="Z109" s="1727"/>
      <c r="AA109" s="1741"/>
    </row>
    <row r="110" spans="1:27" s="112" customFormat="1" ht="17.25" customHeight="1">
      <c r="A110" s="2831" t="s">
        <v>32</v>
      </c>
      <c r="B110" s="2831"/>
      <c r="C110" s="2835"/>
      <c r="D110" s="1910">
        <v>0</v>
      </c>
      <c r="E110" s="111">
        <f t="shared" si="72"/>
        <v>1</v>
      </c>
      <c r="F110" s="111">
        <f t="shared" si="72"/>
        <v>2</v>
      </c>
      <c r="G110" s="111">
        <f t="shared" si="72"/>
        <v>3</v>
      </c>
      <c r="H110" s="111">
        <f t="shared" si="72"/>
        <v>4</v>
      </c>
      <c r="I110" s="111">
        <f t="shared" si="72"/>
        <v>5</v>
      </c>
      <c r="J110" s="111">
        <f t="shared" si="72"/>
        <v>6</v>
      </c>
      <c r="K110" s="111">
        <f t="shared" si="72"/>
        <v>7</v>
      </c>
      <c r="L110" s="111">
        <f t="shared" si="72"/>
        <v>8</v>
      </c>
      <c r="M110" s="111">
        <f t="shared" si="72"/>
        <v>9</v>
      </c>
      <c r="N110" s="96">
        <f>M110+1</f>
        <v>10</v>
      </c>
      <c r="O110" s="2439"/>
      <c r="Z110" s="1718" t="s">
        <v>999</v>
      </c>
      <c r="AA110" s="1732" t="s">
        <v>998</v>
      </c>
    </row>
    <row r="111" spans="1:27" s="6" customFormat="1" ht="12.75" customHeight="1">
      <c r="A111" s="2404"/>
      <c r="B111" s="2404"/>
      <c r="C111" s="2436"/>
      <c r="D111" s="2436"/>
      <c r="E111" s="2436"/>
      <c r="F111" s="2436"/>
      <c r="G111" s="2436"/>
      <c r="H111" s="2436"/>
      <c r="I111" s="2436"/>
      <c r="J111" s="2436"/>
      <c r="K111" s="2436"/>
      <c r="L111" s="2436"/>
      <c r="M111" s="2436"/>
      <c r="N111" s="2436"/>
      <c r="O111" s="2404"/>
      <c r="Z111" s="1723"/>
      <c r="AA111" s="1737"/>
    </row>
    <row r="112" spans="1:27" s="86" customFormat="1" ht="18" customHeight="1">
      <c r="A112" s="2406"/>
      <c r="B112" s="359" t="str">
        <f>IF('Mode Opératoire'!$I$1="Français",+Financier!Q112,Financier!T112)</f>
        <v>Investissements corporels</v>
      </c>
      <c r="C112" s="378"/>
      <c r="D112" s="379">
        <f>D24</f>
        <v>0</v>
      </c>
      <c r="E112" s="380">
        <f>E24</f>
        <v>0</v>
      </c>
      <c r="F112" s="380">
        <f t="shared" ref="F112:M112" si="73">F24</f>
        <v>0</v>
      </c>
      <c r="G112" s="380">
        <f t="shared" si="73"/>
        <v>0</v>
      </c>
      <c r="H112" s="380">
        <f t="shared" si="73"/>
        <v>0</v>
      </c>
      <c r="I112" s="380">
        <f t="shared" si="73"/>
        <v>0</v>
      </c>
      <c r="J112" s="380">
        <f t="shared" si="73"/>
        <v>0</v>
      </c>
      <c r="K112" s="380">
        <f>K24</f>
        <v>0</v>
      </c>
      <c r="L112" s="380">
        <f t="shared" si="73"/>
        <v>0</v>
      </c>
      <c r="M112" s="380">
        <f t="shared" si="73"/>
        <v>0</v>
      </c>
      <c r="N112" s="381">
        <f>N24</f>
        <v>0</v>
      </c>
      <c r="O112" s="2408"/>
      <c r="P112" s="90"/>
      <c r="Q112" s="359" t="s">
        <v>33</v>
      </c>
      <c r="S112" s="90"/>
      <c r="T112" s="359" t="s">
        <v>232</v>
      </c>
      <c r="Z112" s="1718"/>
      <c r="AA112" s="1732"/>
    </row>
    <row r="113" spans="1:27" s="86" customFormat="1" ht="18" customHeight="1">
      <c r="A113" s="2406"/>
      <c r="B113" s="360" t="str">
        <f>IF('Mode Opératoire'!$I$1="Français",+Financier!Q113,Financier!T113)</f>
        <v>Variation du BFR</v>
      </c>
      <c r="C113" s="118"/>
      <c r="D113" s="129" t="e">
        <f>D80-C101</f>
        <v>#REF!</v>
      </c>
      <c r="E113" s="130" t="e">
        <f t="shared" ref="E113:M113" si="74">E80-D80</f>
        <v>#REF!</v>
      </c>
      <c r="F113" s="130" t="e">
        <f t="shared" si="74"/>
        <v>#REF!</v>
      </c>
      <c r="G113" s="130" t="e">
        <f t="shared" si="74"/>
        <v>#REF!</v>
      </c>
      <c r="H113" s="130" t="e">
        <f t="shared" si="74"/>
        <v>#REF!</v>
      </c>
      <c r="I113" s="130" t="e">
        <f t="shared" si="74"/>
        <v>#REF!</v>
      </c>
      <c r="J113" s="130" t="e">
        <f t="shared" si="74"/>
        <v>#REF!</v>
      </c>
      <c r="K113" s="130" t="e">
        <f t="shared" si="74"/>
        <v>#REF!</v>
      </c>
      <c r="L113" s="130" t="e">
        <f t="shared" si="74"/>
        <v>#REF!</v>
      </c>
      <c r="M113" s="130" t="e">
        <f t="shared" si="74"/>
        <v>#REF!</v>
      </c>
      <c r="N113" s="382" t="e">
        <f>N80-M80</f>
        <v>#REF!</v>
      </c>
      <c r="O113" s="2408"/>
      <c r="P113" s="90"/>
      <c r="Q113" s="360" t="s">
        <v>34</v>
      </c>
      <c r="S113" s="90"/>
      <c r="T113" s="360" t="s">
        <v>786</v>
      </c>
      <c r="Z113" s="1718"/>
      <c r="AA113" s="1732"/>
    </row>
    <row r="114" spans="1:27" s="85" customFormat="1" ht="18" customHeight="1">
      <c r="A114" s="2406"/>
      <c r="B114" s="383" t="str">
        <f>IF('Mode Opératoire'!$I$1="Français",+Financier!Q114,Financier!T114)</f>
        <v>Total dépenses</v>
      </c>
      <c r="C114" s="384"/>
      <c r="D114" s="385" t="e">
        <f>SUM(D112:D113)</f>
        <v>#REF!</v>
      </c>
      <c r="E114" s="386" t="e">
        <f t="shared" ref="E114:M114" si="75">SUM(E112:E113)</f>
        <v>#REF!</v>
      </c>
      <c r="F114" s="386" t="e">
        <f t="shared" si="75"/>
        <v>#REF!</v>
      </c>
      <c r="G114" s="386" t="e">
        <f t="shared" si="75"/>
        <v>#REF!</v>
      </c>
      <c r="H114" s="386" t="e">
        <f t="shared" si="75"/>
        <v>#REF!</v>
      </c>
      <c r="I114" s="386" t="e">
        <f t="shared" si="75"/>
        <v>#REF!</v>
      </c>
      <c r="J114" s="386" t="e">
        <f t="shared" si="75"/>
        <v>#REF!</v>
      </c>
      <c r="K114" s="386" t="e">
        <f t="shared" si="75"/>
        <v>#REF!</v>
      </c>
      <c r="L114" s="386" t="e">
        <f t="shared" si="75"/>
        <v>#REF!</v>
      </c>
      <c r="M114" s="386" t="e">
        <f t="shared" si="75"/>
        <v>#REF!</v>
      </c>
      <c r="N114" s="387" t="e">
        <f>SUM(N112:N113)</f>
        <v>#REF!</v>
      </c>
      <c r="O114" s="2408"/>
      <c r="P114" s="87"/>
      <c r="Q114" s="383" t="s">
        <v>35</v>
      </c>
      <c r="S114" s="87"/>
      <c r="T114" s="383" t="s">
        <v>787</v>
      </c>
      <c r="Z114" s="1718"/>
      <c r="AA114" s="1732"/>
    </row>
    <row r="115" spans="1:27" s="6" customFormat="1" ht="18" customHeight="1">
      <c r="A115" s="2404"/>
      <c r="B115" s="2404"/>
      <c r="C115" s="2436"/>
      <c r="D115" s="2436"/>
      <c r="E115" s="2436"/>
      <c r="F115" s="2436"/>
      <c r="G115" s="2436"/>
      <c r="H115" s="2436"/>
      <c r="I115" s="2436"/>
      <c r="J115" s="2436"/>
      <c r="K115" s="2436"/>
      <c r="L115" s="2436"/>
      <c r="M115" s="2436"/>
      <c r="N115" s="2436"/>
      <c r="O115" s="2404"/>
      <c r="Z115" s="1723"/>
      <c r="AA115" s="1737"/>
    </row>
    <row r="116" spans="1:27" s="86" customFormat="1" ht="18" customHeight="1">
      <c r="A116" s="2406"/>
      <c r="B116" s="359" t="s">
        <v>172</v>
      </c>
      <c r="C116" s="378"/>
      <c r="D116" s="379" t="e">
        <f t="shared" ref="D116:N116" si="76">D66+D41</f>
        <v>#REF!</v>
      </c>
      <c r="E116" s="379" t="e">
        <f t="shared" si="76"/>
        <v>#REF!</v>
      </c>
      <c r="F116" s="379" t="e">
        <f t="shared" si="76"/>
        <v>#REF!</v>
      </c>
      <c r="G116" s="379" t="e">
        <f t="shared" si="76"/>
        <v>#REF!</v>
      </c>
      <c r="H116" s="379" t="e">
        <f t="shared" si="76"/>
        <v>#REF!</v>
      </c>
      <c r="I116" s="379" t="e">
        <f t="shared" si="76"/>
        <v>#REF!</v>
      </c>
      <c r="J116" s="379" t="e">
        <f t="shared" si="76"/>
        <v>#REF!</v>
      </c>
      <c r="K116" s="379" t="e">
        <f t="shared" si="76"/>
        <v>#REF!</v>
      </c>
      <c r="L116" s="379" t="e">
        <f t="shared" si="76"/>
        <v>#REF!</v>
      </c>
      <c r="M116" s="379" t="e">
        <f t="shared" si="76"/>
        <v>#REF!</v>
      </c>
      <c r="N116" s="379" t="e">
        <f t="shared" si="76"/>
        <v>#REF!</v>
      </c>
      <c r="O116" s="2408"/>
      <c r="P116" s="90"/>
      <c r="Q116" s="359" t="s">
        <v>172</v>
      </c>
      <c r="S116" s="90"/>
      <c r="T116" s="359" t="s">
        <v>172</v>
      </c>
      <c r="Z116" s="1718"/>
      <c r="AA116" s="1732"/>
    </row>
    <row r="117" spans="1:27" s="86" customFormat="1" ht="18" customHeight="1">
      <c r="A117" s="2406"/>
      <c r="B117" s="360" t="s">
        <v>170</v>
      </c>
      <c r="C117" s="118"/>
      <c r="D117" s="143"/>
      <c r="E117" s="143"/>
      <c r="F117" s="143"/>
      <c r="G117" s="143"/>
      <c r="H117" s="143"/>
      <c r="I117" s="143"/>
      <c r="J117" s="143"/>
      <c r="K117" s="143"/>
      <c r="L117" s="143"/>
      <c r="M117" s="143"/>
      <c r="N117" s="388"/>
      <c r="O117" s="2408"/>
      <c r="P117" s="90"/>
      <c r="Q117" s="360" t="s">
        <v>170</v>
      </c>
      <c r="S117" s="90"/>
      <c r="T117" s="360" t="s">
        <v>170</v>
      </c>
      <c r="Z117" s="1718"/>
      <c r="AA117" s="1732"/>
    </row>
    <row r="118" spans="1:27" s="86" customFormat="1" ht="18" customHeight="1">
      <c r="A118" s="2406"/>
      <c r="B118" s="360" t="s">
        <v>171</v>
      </c>
      <c r="C118" s="118"/>
      <c r="D118" s="143"/>
      <c r="E118" s="144"/>
      <c r="F118" s="144"/>
      <c r="G118" s="144"/>
      <c r="H118" s="144"/>
      <c r="I118" s="144"/>
      <c r="J118" s="144"/>
      <c r="K118" s="144"/>
      <c r="L118" s="144"/>
      <c r="M118" s="144"/>
      <c r="N118" s="389"/>
      <c r="O118" s="2408"/>
      <c r="P118" s="90"/>
      <c r="Q118" s="360" t="s">
        <v>171</v>
      </c>
      <c r="S118" s="90"/>
      <c r="T118" s="360" t="s">
        <v>171</v>
      </c>
      <c r="Z118" s="1718"/>
      <c r="AA118" s="1732"/>
    </row>
    <row r="119" spans="1:27" s="85" customFormat="1" ht="18" customHeight="1">
      <c r="A119" s="2406"/>
      <c r="B119" s="383" t="str">
        <f>IF('Mode Opératoire'!$I$1="Français",+Financier!Q119,Financier!T119)</f>
        <v>Total revenus</v>
      </c>
      <c r="C119" s="384"/>
      <c r="D119" s="390" t="e">
        <f>SUM(D116:D118)</f>
        <v>#REF!</v>
      </c>
      <c r="E119" s="391" t="e">
        <f t="shared" ref="E119:M119" si="77">SUM(E116:E118)</f>
        <v>#REF!</v>
      </c>
      <c r="F119" s="391" t="e">
        <f t="shared" si="77"/>
        <v>#REF!</v>
      </c>
      <c r="G119" s="391" t="e">
        <f t="shared" si="77"/>
        <v>#REF!</v>
      </c>
      <c r="H119" s="391" t="e">
        <f t="shared" si="77"/>
        <v>#REF!</v>
      </c>
      <c r="I119" s="391" t="e">
        <f t="shared" si="77"/>
        <v>#REF!</v>
      </c>
      <c r="J119" s="391" t="e">
        <f t="shared" si="77"/>
        <v>#REF!</v>
      </c>
      <c r="K119" s="391" t="e">
        <f t="shared" si="77"/>
        <v>#REF!</v>
      </c>
      <c r="L119" s="391" t="e">
        <f t="shared" si="77"/>
        <v>#REF!</v>
      </c>
      <c r="M119" s="391" t="e">
        <f t="shared" si="77"/>
        <v>#REF!</v>
      </c>
      <c r="N119" s="392" t="e">
        <f>SUM(N116:N118)</f>
        <v>#REF!</v>
      </c>
      <c r="O119" s="2408"/>
      <c r="P119" s="87"/>
      <c r="Q119" s="383" t="s">
        <v>36</v>
      </c>
      <c r="S119" s="87"/>
      <c r="T119" s="383" t="s">
        <v>844</v>
      </c>
      <c r="Z119" s="1718"/>
      <c r="AA119" s="1732"/>
    </row>
    <row r="120" spans="1:27" ht="7.5" customHeight="1">
      <c r="A120" s="2404"/>
      <c r="B120" s="2404"/>
      <c r="C120" s="2436"/>
      <c r="D120" s="2436"/>
      <c r="E120" s="2436"/>
      <c r="F120" s="2436"/>
      <c r="G120" s="2436"/>
      <c r="H120" s="2436"/>
      <c r="I120" s="2436"/>
      <c r="J120" s="2436"/>
      <c r="K120" s="2436"/>
      <c r="L120" s="2436"/>
      <c r="M120" s="2436"/>
      <c r="N120" s="2436"/>
      <c r="O120" s="623"/>
      <c r="P120" s="6"/>
      <c r="Q120" s="6"/>
      <c r="S120" s="6"/>
      <c r="T120" s="6"/>
      <c r="Z120" s="1716"/>
      <c r="AA120" s="1730"/>
    </row>
    <row r="121" spans="1:27" s="86" customFormat="1" ht="18" customHeight="1">
      <c r="A121" s="2406"/>
      <c r="B121" s="393" t="s">
        <v>175</v>
      </c>
      <c r="C121" s="394"/>
      <c r="D121" s="395" t="e">
        <f>D119-D114</f>
        <v>#REF!</v>
      </c>
      <c r="E121" s="396" t="e">
        <f>E119-E114</f>
        <v>#REF!</v>
      </c>
      <c r="F121" s="396" t="e">
        <f t="shared" ref="F121:M121" si="78">F119-F114</f>
        <v>#REF!</v>
      </c>
      <c r="G121" s="396" t="e">
        <f t="shared" si="78"/>
        <v>#REF!</v>
      </c>
      <c r="H121" s="396" t="e">
        <f t="shared" si="78"/>
        <v>#REF!</v>
      </c>
      <c r="I121" s="396" t="e">
        <f t="shared" si="78"/>
        <v>#REF!</v>
      </c>
      <c r="J121" s="396" t="e">
        <f t="shared" si="78"/>
        <v>#REF!</v>
      </c>
      <c r="K121" s="396" t="e">
        <f t="shared" si="78"/>
        <v>#REF!</v>
      </c>
      <c r="L121" s="396" t="e">
        <f t="shared" si="78"/>
        <v>#REF!</v>
      </c>
      <c r="M121" s="396" t="e">
        <f t="shared" si="78"/>
        <v>#REF!</v>
      </c>
      <c r="N121" s="397" t="e">
        <f>N119-N114</f>
        <v>#REF!</v>
      </c>
      <c r="O121" s="2408"/>
      <c r="P121" s="87"/>
      <c r="Q121" s="393" t="s">
        <v>175</v>
      </c>
      <c r="S121" s="87"/>
      <c r="T121" s="393" t="s">
        <v>175</v>
      </c>
      <c r="Z121" s="1718"/>
      <c r="AA121" s="1732"/>
    </row>
    <row r="122" spans="1:27" s="5" customFormat="1" ht="18" customHeight="1">
      <c r="A122" s="2404"/>
      <c r="B122" s="2435"/>
      <c r="C122" s="2424"/>
      <c r="D122" s="2424"/>
      <c r="E122" s="2424"/>
      <c r="F122" s="2424"/>
      <c r="G122" s="2424"/>
      <c r="H122" s="2424"/>
      <c r="I122" s="2424"/>
      <c r="J122" s="2424"/>
      <c r="K122" s="2424"/>
      <c r="L122" s="2424"/>
      <c r="M122" s="2424"/>
      <c r="N122" s="2424"/>
      <c r="O122" s="623"/>
      <c r="P122" s="6"/>
      <c r="Q122" s="43"/>
      <c r="S122" s="6"/>
      <c r="T122" s="43"/>
      <c r="Z122" s="1716"/>
      <c r="AA122" s="1730"/>
    </row>
    <row r="123" spans="1:27" ht="12.75" customHeight="1">
      <c r="A123" s="2404"/>
      <c r="B123" s="2404"/>
      <c r="C123" s="2436"/>
      <c r="D123" s="2436"/>
      <c r="E123" s="2436"/>
      <c r="F123" s="2436"/>
      <c r="G123" s="2436"/>
      <c r="H123" s="2436"/>
      <c r="I123" s="2436"/>
      <c r="J123" s="2436"/>
      <c r="K123" s="2436"/>
      <c r="L123" s="2436"/>
      <c r="M123" s="2436"/>
      <c r="N123" s="2436"/>
      <c r="O123" s="623"/>
      <c r="P123" s="6"/>
      <c r="Q123" s="6"/>
      <c r="S123" s="6"/>
      <c r="T123" s="6"/>
      <c r="Z123" s="1716"/>
      <c r="AA123" s="1730"/>
    </row>
    <row r="124" spans="1:27" s="86" customFormat="1" ht="21.95" customHeight="1">
      <c r="A124" s="2406"/>
      <c r="B124" s="414" t="s">
        <v>205</v>
      </c>
      <c r="C124" s="1911">
        <v>0.27</v>
      </c>
      <c r="D124" s="398" t="e">
        <f>ROUND(D121/POWER((1+$C$124),D110),0)</f>
        <v>#REF!</v>
      </c>
      <c r="E124" s="399" t="e">
        <f>ROUND(E121/POWER((1+$C$124),E110),0)</f>
        <v>#REF!</v>
      </c>
      <c r="F124" s="399" t="e">
        <f t="shared" ref="F124:N124" si="79">ROUND(F121/POWER((1+$C$124),F110),0)</f>
        <v>#REF!</v>
      </c>
      <c r="G124" s="399" t="e">
        <f t="shared" si="79"/>
        <v>#REF!</v>
      </c>
      <c r="H124" s="399" t="e">
        <f t="shared" si="79"/>
        <v>#REF!</v>
      </c>
      <c r="I124" s="399" t="e">
        <f t="shared" si="79"/>
        <v>#REF!</v>
      </c>
      <c r="J124" s="399" t="e">
        <f t="shared" si="79"/>
        <v>#REF!</v>
      </c>
      <c r="K124" s="399" t="e">
        <f t="shared" si="79"/>
        <v>#REF!</v>
      </c>
      <c r="L124" s="399" t="e">
        <f t="shared" si="79"/>
        <v>#REF!</v>
      </c>
      <c r="M124" s="399" t="e">
        <f t="shared" si="79"/>
        <v>#REF!</v>
      </c>
      <c r="N124" s="400" t="e">
        <f t="shared" si="79"/>
        <v>#REF!</v>
      </c>
      <c r="O124" s="2408"/>
      <c r="P124" s="90"/>
      <c r="Q124" s="414" t="s">
        <v>205</v>
      </c>
      <c r="S124" s="90"/>
      <c r="T124" s="414" t="s">
        <v>205</v>
      </c>
      <c r="Z124" s="1724" t="s">
        <v>978</v>
      </c>
      <c r="AA124" s="1738" t="s">
        <v>979</v>
      </c>
    </row>
    <row r="125" spans="1:27" s="89" customFormat="1" ht="21.95" customHeight="1">
      <c r="A125" s="2429"/>
      <c r="B125" s="406" t="s">
        <v>62</v>
      </c>
      <c r="C125" s="407"/>
      <c r="D125" s="408" t="e">
        <f>D124</f>
        <v>#REF!</v>
      </c>
      <c r="E125" s="409" t="e">
        <f>D125+E124</f>
        <v>#REF!</v>
      </c>
      <c r="F125" s="409" t="e">
        <f t="shared" ref="F125:M125" si="80">E125+F124</f>
        <v>#REF!</v>
      </c>
      <c r="G125" s="409" t="e">
        <f t="shared" si="80"/>
        <v>#REF!</v>
      </c>
      <c r="H125" s="409" t="e">
        <f t="shared" si="80"/>
        <v>#REF!</v>
      </c>
      <c r="I125" s="409" t="e">
        <f t="shared" si="80"/>
        <v>#REF!</v>
      </c>
      <c r="J125" s="409" t="e">
        <f t="shared" si="80"/>
        <v>#REF!</v>
      </c>
      <c r="K125" s="409" t="e">
        <f t="shared" si="80"/>
        <v>#REF!</v>
      </c>
      <c r="L125" s="409" t="e">
        <f t="shared" si="80"/>
        <v>#REF!</v>
      </c>
      <c r="M125" s="409" t="e">
        <f t="shared" si="80"/>
        <v>#REF!</v>
      </c>
      <c r="N125" s="410" t="e">
        <f>M125+N124</f>
        <v>#REF!</v>
      </c>
      <c r="O125" s="2440"/>
      <c r="P125" s="88"/>
      <c r="Q125" s="406" t="s">
        <v>62</v>
      </c>
      <c r="S125" s="88"/>
      <c r="T125" s="406" t="s">
        <v>62</v>
      </c>
      <c r="Z125" s="1729"/>
      <c r="AA125" s="1743"/>
    </row>
    <row r="126" spans="1:27" s="86" customFormat="1" ht="21.95" customHeight="1">
      <c r="A126" s="2406"/>
      <c r="B126" s="359" t="str">
        <f>IF('Mode Opératoire'!$I$1="Français",+Financier!Q126,Financier!T126)</f>
        <v>Délai de retour</v>
      </c>
      <c r="C126" s="402"/>
      <c r="D126" s="403" t="e">
        <f>IF(AND((C125&lt;=0),(D125&gt;0)),IF($D$110=0,D110+1+(0-D125)/D124,D110+(0-D125)/D124),0)</f>
        <v>#REF!</v>
      </c>
      <c r="E126" s="404" t="e">
        <f t="shared" ref="E126:N126" si="81">IF(AND((D125&lt;=0),(E125&gt;0)),IF($D$110=0,E110+1+(0-E125)/E124,E110+(0-E125)/E124),0)</f>
        <v>#REF!</v>
      </c>
      <c r="F126" s="404" t="e">
        <f t="shared" si="81"/>
        <v>#REF!</v>
      </c>
      <c r="G126" s="404" t="e">
        <f t="shared" si="81"/>
        <v>#REF!</v>
      </c>
      <c r="H126" s="404" t="e">
        <f t="shared" si="81"/>
        <v>#REF!</v>
      </c>
      <c r="I126" s="404" t="e">
        <f t="shared" si="81"/>
        <v>#REF!</v>
      </c>
      <c r="J126" s="404" t="e">
        <f t="shared" si="81"/>
        <v>#REF!</v>
      </c>
      <c r="K126" s="404" t="e">
        <f t="shared" si="81"/>
        <v>#REF!</v>
      </c>
      <c r="L126" s="404" t="e">
        <f t="shared" si="81"/>
        <v>#REF!</v>
      </c>
      <c r="M126" s="404" t="e">
        <f t="shared" si="81"/>
        <v>#REF!</v>
      </c>
      <c r="N126" s="405" t="e">
        <f t="shared" si="81"/>
        <v>#REF!</v>
      </c>
      <c r="O126" s="2408"/>
      <c r="P126" s="90"/>
      <c r="Q126" s="401" t="s">
        <v>37</v>
      </c>
      <c r="S126" s="90"/>
      <c r="T126" s="401" t="s">
        <v>674</v>
      </c>
      <c r="Z126" s="1718"/>
      <c r="AA126" s="1732"/>
    </row>
    <row r="127" spans="1:27">
      <c r="A127" s="623"/>
      <c r="B127" s="623"/>
      <c r="C127" s="623"/>
      <c r="D127" s="623"/>
      <c r="E127" s="623"/>
      <c r="F127" s="623"/>
      <c r="G127" s="623"/>
      <c r="H127" s="623"/>
      <c r="I127" s="623"/>
      <c r="J127" s="623"/>
      <c r="K127" s="623"/>
      <c r="L127" s="623"/>
      <c r="M127" s="623"/>
      <c r="N127" s="623"/>
      <c r="O127" s="623"/>
    </row>
    <row r="128" spans="1:27" s="93" customFormat="1" ht="15">
      <c r="A128" s="2430"/>
      <c r="B128" s="2431"/>
      <c r="C128" s="2432"/>
      <c r="D128" s="2433"/>
      <c r="E128" s="2434"/>
      <c r="F128" s="2434"/>
      <c r="G128" s="2434"/>
      <c r="H128" s="2434"/>
      <c r="I128" s="2434"/>
      <c r="J128" s="2434"/>
      <c r="K128" s="2434"/>
      <c r="L128" s="2434"/>
      <c r="M128" s="2434"/>
      <c r="N128" s="2434"/>
      <c r="O128" s="2434"/>
      <c r="P128" s="91"/>
      <c r="Q128" s="92"/>
      <c r="S128" s="91"/>
      <c r="T128" s="92"/>
    </row>
    <row r="129" spans="1:20">
      <c r="A129" s="623"/>
      <c r="B129" s="623"/>
      <c r="C129" s="623"/>
      <c r="D129" s="623"/>
      <c r="E129" s="623"/>
      <c r="F129" s="623"/>
      <c r="G129" s="623"/>
      <c r="H129" s="623"/>
      <c r="I129" s="623"/>
      <c r="J129" s="623"/>
      <c r="K129" s="623"/>
      <c r="L129" s="623"/>
      <c r="M129" s="623"/>
      <c r="N129" s="623"/>
    </row>
    <row r="130" spans="1:20" s="112" customFormat="1" ht="27" customHeight="1">
      <c r="A130" s="2834" t="s">
        <v>191</v>
      </c>
      <c r="B130" s="2834"/>
      <c r="C130" s="2834"/>
      <c r="D130" s="623"/>
      <c r="E130" s="623"/>
      <c r="F130" s="623"/>
      <c r="G130" s="623"/>
      <c r="H130" s="623"/>
      <c r="I130" s="623"/>
      <c r="J130" s="623"/>
      <c r="K130" s="623"/>
      <c r="L130" s="623"/>
      <c r="M130" s="623"/>
      <c r="N130" s="623"/>
    </row>
    <row r="131" spans="1:20">
      <c r="A131" s="623"/>
      <c r="B131" s="623"/>
      <c r="C131" s="623"/>
      <c r="D131" s="623"/>
      <c r="E131" s="623"/>
      <c r="F131" s="623"/>
      <c r="G131" s="623"/>
      <c r="H131" s="623"/>
      <c r="I131" s="623"/>
      <c r="J131" s="623"/>
      <c r="K131" s="623"/>
      <c r="L131" s="623"/>
      <c r="M131" s="623"/>
      <c r="N131" s="623"/>
    </row>
    <row r="132" spans="1:20" s="86" customFormat="1" ht="18" customHeight="1">
      <c r="A132" s="2406"/>
      <c r="B132" s="393" t="s">
        <v>192</v>
      </c>
      <c r="C132" s="394"/>
      <c r="D132" s="411" t="e">
        <f>IF(SUM(D121:N121=0),"-",IRR(D121:N121))</f>
        <v>#REF!</v>
      </c>
      <c r="E132" s="623"/>
      <c r="F132" s="623"/>
      <c r="G132" s="623"/>
      <c r="H132" s="623"/>
      <c r="I132" s="623"/>
      <c r="J132" s="623"/>
      <c r="K132" s="623"/>
      <c r="L132" s="623"/>
      <c r="M132" s="623"/>
      <c r="N132" s="623"/>
      <c r="P132" s="87"/>
      <c r="Q132" s="393" t="s">
        <v>192</v>
      </c>
      <c r="S132" s="87"/>
      <c r="T132" s="393" t="s">
        <v>192</v>
      </c>
    </row>
    <row r="133" spans="1:20">
      <c r="A133" s="623"/>
      <c r="B133" s="623"/>
      <c r="C133" s="623"/>
      <c r="D133" s="623"/>
      <c r="E133" s="623"/>
      <c r="F133" s="623"/>
      <c r="G133" s="623"/>
      <c r="H133" s="623"/>
      <c r="I133" s="623"/>
      <c r="J133" s="623"/>
      <c r="K133" s="623"/>
      <c r="L133" s="623"/>
      <c r="M133" s="623"/>
      <c r="N133" s="623"/>
    </row>
    <row r="134" spans="1:20">
      <c r="A134" s="623"/>
      <c r="B134" s="623"/>
      <c r="C134" s="623"/>
      <c r="D134" s="623"/>
      <c r="E134" s="623"/>
      <c r="F134" s="623"/>
      <c r="G134" s="623"/>
      <c r="H134" s="623"/>
      <c r="I134" s="623"/>
      <c r="J134" s="623"/>
      <c r="K134" s="623"/>
      <c r="L134" s="623"/>
      <c r="M134" s="623"/>
      <c r="N134" s="623"/>
    </row>
    <row r="135" spans="1:20">
      <c r="A135" s="623"/>
      <c r="B135" s="623"/>
      <c r="C135" s="623"/>
      <c r="D135" s="623"/>
      <c r="E135" s="623"/>
      <c r="F135" s="623"/>
      <c r="G135" s="623"/>
      <c r="H135" s="623"/>
      <c r="I135" s="623"/>
      <c r="J135" s="623"/>
      <c r="K135" s="623"/>
      <c r="L135" s="623"/>
      <c r="M135" s="623"/>
      <c r="N135" s="623"/>
    </row>
    <row r="136" spans="1:20" ht="15.75">
      <c r="A136" s="623"/>
      <c r="B136" s="623"/>
      <c r="C136" s="623"/>
      <c r="D136" s="623"/>
      <c r="E136" s="65" t="s">
        <v>97</v>
      </c>
      <c r="F136" s="72" t="s">
        <v>146</v>
      </c>
      <c r="G136" s="72" t="s">
        <v>146</v>
      </c>
      <c r="H136" s="623"/>
      <c r="I136" s="623"/>
      <c r="J136" s="623"/>
      <c r="K136" s="623"/>
      <c r="L136" s="623"/>
      <c r="M136" s="623"/>
      <c r="N136" s="623"/>
    </row>
    <row r="137" spans="1:20" ht="15.75">
      <c r="A137" s="623"/>
      <c r="B137" s="623"/>
      <c r="C137" s="623"/>
      <c r="D137" s="623"/>
      <c r="E137" s="69" t="s">
        <v>55</v>
      </c>
      <c r="F137" s="60"/>
      <c r="G137" s="60"/>
      <c r="H137" s="623"/>
      <c r="I137" s="623"/>
      <c r="J137" s="623"/>
      <c r="K137" s="623"/>
      <c r="L137" s="623"/>
      <c r="M137" s="623"/>
      <c r="N137" s="623"/>
    </row>
    <row r="138" spans="1:20" ht="15.75">
      <c r="A138" s="623"/>
      <c r="B138" s="623"/>
      <c r="C138" s="623"/>
      <c r="D138" s="623"/>
      <c r="E138" s="70" t="s">
        <v>56</v>
      </c>
      <c r="F138" s="71"/>
      <c r="G138" s="71"/>
      <c r="H138" s="623"/>
      <c r="I138" s="623"/>
      <c r="J138" s="623"/>
      <c r="K138" s="623"/>
      <c r="L138" s="623"/>
      <c r="M138" s="623"/>
      <c r="N138" s="623"/>
    </row>
    <row r="139" spans="1:20" ht="15.75">
      <c r="A139" s="623"/>
      <c r="B139" s="623"/>
      <c r="C139" s="623"/>
      <c r="D139" s="623"/>
      <c r="E139" s="70" t="s">
        <v>57</v>
      </c>
      <c r="F139" s="71"/>
      <c r="G139" s="71"/>
      <c r="H139" s="623"/>
      <c r="I139" s="623"/>
      <c r="J139" s="623"/>
      <c r="K139" s="623"/>
      <c r="L139" s="623"/>
      <c r="M139" s="623"/>
      <c r="N139" s="623"/>
    </row>
    <row r="140" spans="1:20" ht="15.75">
      <c r="A140" s="623"/>
      <c r="B140" s="623"/>
      <c r="C140" s="623"/>
      <c r="D140" s="623"/>
      <c r="E140" s="59"/>
      <c r="F140" s="61"/>
      <c r="G140" s="61"/>
      <c r="H140" s="623"/>
      <c r="I140" s="623"/>
      <c r="J140" s="623"/>
      <c r="K140" s="623"/>
      <c r="L140" s="623"/>
      <c r="M140" s="623"/>
      <c r="N140" s="623"/>
    </row>
    <row r="141" spans="1:20" ht="15.75">
      <c r="A141" s="623"/>
      <c r="B141" s="623"/>
      <c r="C141" s="623"/>
      <c r="D141" s="623"/>
      <c r="E141" s="60"/>
      <c r="F141" s="60"/>
      <c r="G141" s="60"/>
      <c r="H141" s="623"/>
      <c r="I141" s="623"/>
      <c r="J141" s="623"/>
      <c r="K141" s="623"/>
      <c r="L141" s="623"/>
      <c r="M141" s="623"/>
      <c r="N141" s="623"/>
    </row>
    <row r="142" spans="1:20" ht="15.75">
      <c r="A142" s="623"/>
      <c r="B142" s="623"/>
      <c r="C142" s="623"/>
      <c r="D142" s="623"/>
      <c r="E142" s="59" t="s">
        <v>58</v>
      </c>
      <c r="F142" s="61"/>
      <c r="G142" s="61"/>
      <c r="H142" s="623"/>
      <c r="I142" s="623"/>
      <c r="J142" s="623"/>
      <c r="K142" s="623"/>
      <c r="L142" s="623"/>
      <c r="M142" s="623"/>
      <c r="N142" s="623"/>
    </row>
    <row r="143" spans="1:20" ht="15.75">
      <c r="A143" s="623"/>
      <c r="B143" s="623"/>
      <c r="C143" s="623"/>
      <c r="D143" s="623"/>
      <c r="E143" s="60"/>
      <c r="F143" s="60"/>
      <c r="G143" s="60"/>
      <c r="H143" s="623"/>
      <c r="I143" s="623"/>
      <c r="J143" s="623"/>
      <c r="K143" s="623"/>
      <c r="L143" s="623"/>
      <c r="M143" s="623"/>
      <c r="N143" s="623"/>
    </row>
    <row r="144" spans="1:20" ht="15.75">
      <c r="A144" s="623"/>
      <c r="B144" s="623"/>
      <c r="C144" s="623"/>
      <c r="D144" s="623"/>
      <c r="E144" s="59" t="s">
        <v>100</v>
      </c>
      <c r="F144" s="61"/>
      <c r="G144" s="61"/>
      <c r="H144" s="623"/>
      <c r="I144" s="623"/>
      <c r="J144" s="623"/>
      <c r="K144" s="623"/>
      <c r="L144" s="623"/>
      <c r="M144" s="623"/>
      <c r="N144" s="623"/>
    </row>
    <row r="145" spans="1:14">
      <c r="A145" s="623"/>
      <c r="B145" s="623"/>
      <c r="C145" s="623"/>
      <c r="D145" s="623"/>
      <c r="E145" s="623"/>
      <c r="F145" s="623"/>
      <c r="G145" s="623"/>
      <c r="H145" s="623"/>
      <c r="I145" s="623"/>
      <c r="J145" s="623"/>
      <c r="K145" s="623"/>
      <c r="L145" s="623"/>
      <c r="M145" s="623"/>
      <c r="N145" s="623"/>
    </row>
    <row r="146" spans="1:14">
      <c r="A146" s="623"/>
      <c r="B146" s="623"/>
      <c r="C146" s="623"/>
      <c r="D146" s="623"/>
      <c r="E146" s="623"/>
      <c r="F146" s="623"/>
      <c r="G146" s="623"/>
      <c r="H146" s="623"/>
      <c r="I146" s="623"/>
      <c r="J146" s="623"/>
      <c r="K146" s="623"/>
      <c r="L146" s="623"/>
      <c r="M146" s="623"/>
      <c r="N146" s="623"/>
    </row>
    <row r="147" spans="1:14">
      <c r="A147" s="623"/>
      <c r="B147" s="623"/>
      <c r="C147" s="623"/>
      <c r="D147" s="623"/>
      <c r="E147" s="623"/>
      <c r="F147" s="623"/>
      <c r="G147" s="623"/>
      <c r="H147" s="623"/>
      <c r="I147" s="623"/>
      <c r="J147" s="623"/>
      <c r="K147" s="623"/>
      <c r="L147" s="623"/>
      <c r="M147" s="623"/>
      <c r="N147" s="623"/>
    </row>
    <row r="148" spans="1:14">
      <c r="A148" s="623"/>
      <c r="B148" s="623"/>
      <c r="C148" s="623"/>
      <c r="D148" s="623"/>
      <c r="E148" s="623"/>
      <c r="F148" s="623"/>
      <c r="G148" s="623"/>
      <c r="H148" s="623"/>
      <c r="I148" s="623"/>
      <c r="J148" s="623"/>
      <c r="K148" s="623"/>
      <c r="L148" s="623"/>
      <c r="M148" s="623"/>
      <c r="N148" s="623"/>
    </row>
    <row r="149" spans="1:14">
      <c r="A149" s="623"/>
      <c r="B149" s="623"/>
      <c r="C149" s="623"/>
      <c r="D149" s="623"/>
      <c r="E149" s="623"/>
      <c r="F149" s="623"/>
      <c r="G149" s="623"/>
      <c r="H149" s="623"/>
      <c r="I149" s="623"/>
      <c r="J149" s="623"/>
      <c r="K149" s="623"/>
      <c r="L149" s="623"/>
      <c r="M149" s="623"/>
      <c r="N149" s="623"/>
    </row>
    <row r="150" spans="1:14" ht="15">
      <c r="N150" s="67"/>
    </row>
    <row r="178" spans="1:19">
      <c r="A178" s="13"/>
      <c r="P178" s="13"/>
      <c r="S178" s="13"/>
    </row>
    <row r="179" spans="1:19">
      <c r="A179" s="13"/>
      <c r="P179" s="13"/>
      <c r="S179" s="13"/>
    </row>
    <row r="180" spans="1:19">
      <c r="A180" s="13"/>
      <c r="P180" s="13"/>
      <c r="S180" s="13"/>
    </row>
  </sheetData>
  <mergeCells count="21">
    <mergeCell ref="A130:C130"/>
    <mergeCell ref="A9:B9"/>
    <mergeCell ref="A27:B27"/>
    <mergeCell ref="A47:B47"/>
    <mergeCell ref="A73:B73"/>
    <mergeCell ref="A96:C96"/>
    <mergeCell ref="A106:B106"/>
    <mergeCell ref="A109:C109"/>
    <mergeCell ref="A110:C110"/>
    <mergeCell ref="P9:Q9"/>
    <mergeCell ref="P27:Q27"/>
    <mergeCell ref="P47:Q47"/>
    <mergeCell ref="P73:Q73"/>
    <mergeCell ref="P106:Q106"/>
    <mergeCell ref="P96:Q96"/>
    <mergeCell ref="S9:T9"/>
    <mergeCell ref="S27:T27"/>
    <mergeCell ref="S47:T47"/>
    <mergeCell ref="S73:T73"/>
    <mergeCell ref="S106:T106"/>
    <mergeCell ref="S96:T96"/>
  </mergeCells>
  <phoneticPr fontId="0" type="noConversion"/>
  <pageMargins left="0.23622047244094491" right="0.15748031496062992" top="0.23622047244094491" bottom="0.23622047244094491" header="0.19685039370078741" footer="0.19685039370078741"/>
  <pageSetup paperSize="9" scale="35" orientation="portrait" cellComments="asDisplayed" r:id="rId1"/>
  <headerFooter alignWithMargins="0"/>
  <rowBreaks count="1" manualBreakCount="1">
    <brk id="89" max="16383" man="1"/>
  </rowBreaks>
  <drawing r:id="rId2"/>
  <legacyDrawing r:id="rId3"/>
</worksheet>
</file>

<file path=xl/worksheets/sheet31.xml><?xml version="1.0" encoding="utf-8"?>
<worksheet xmlns="http://schemas.openxmlformats.org/spreadsheetml/2006/main" xmlns:r="http://schemas.openxmlformats.org/officeDocument/2006/relationships">
  <sheetPr codeName="Feuil2">
    <tabColor rgb="FF00B050"/>
    <pageSetUpPr fitToPage="1"/>
  </sheetPr>
  <dimension ref="A1:AH93"/>
  <sheetViews>
    <sheetView zoomScaleNormal="100" workbookViewId="0">
      <selection activeCell="E51" sqref="E51"/>
    </sheetView>
  </sheetViews>
  <sheetFormatPr baseColWidth="10" defaultColWidth="11.42578125" defaultRowHeight="12.75" outlineLevelCol="1"/>
  <cols>
    <col min="1" max="1" width="15" style="514" customWidth="1"/>
    <col min="2" max="2" width="13.42578125" style="514" customWidth="1"/>
    <col min="3" max="3" width="9.7109375" style="514" customWidth="1"/>
    <col min="4" max="4" width="9.28515625" style="514" customWidth="1"/>
    <col min="5" max="9" width="12.140625" style="514" customWidth="1"/>
    <col min="10" max="10" width="10.85546875" style="1593" customWidth="1"/>
    <col min="11" max="11" width="44.28515625" style="514" hidden="1" customWidth="1" outlineLevel="1"/>
    <col min="12" max="12" width="43.5703125" style="514" hidden="1" customWidth="1" outlineLevel="1"/>
    <col min="13" max="13" width="20.140625" style="514" hidden="1" customWidth="1" outlineLevel="1"/>
    <col min="14" max="14" width="14.28515625" style="514" hidden="1" customWidth="1" outlineLevel="1"/>
    <col min="15" max="15" width="11.28515625" style="514" hidden="1" customWidth="1" outlineLevel="1"/>
    <col min="16" max="16" width="9.28515625" style="514" hidden="1" customWidth="1" outlineLevel="1"/>
    <col min="17" max="17" width="13.7109375" style="514" hidden="1" customWidth="1" outlineLevel="1"/>
    <col min="18" max="18" width="15.5703125" style="514" hidden="1" customWidth="1" outlineLevel="1"/>
    <col min="19" max="20" width="8.85546875" style="514" hidden="1" customWidth="1" outlineLevel="1"/>
    <col min="21" max="21" width="46.42578125" style="1247" hidden="1" customWidth="1" outlineLevel="1"/>
    <col min="22" max="22" width="62.85546875" style="1247" hidden="1" customWidth="1" outlineLevel="1"/>
    <col min="23" max="23" width="38" style="1247" hidden="1" customWidth="1" outlineLevel="1"/>
    <col min="24" max="24" width="16.85546875" style="1247" hidden="1" customWidth="1" outlineLevel="1"/>
    <col min="25" max="25" width="99.28515625" style="1247" hidden="1" customWidth="1" outlineLevel="1"/>
    <col min="26" max="26" width="17" style="1247" hidden="1" customWidth="1" outlineLevel="1"/>
    <col min="27" max="27" width="13.140625" style="1247" hidden="1" customWidth="1" outlineLevel="1"/>
    <col min="28" max="28" width="23.7109375" style="1247" hidden="1" customWidth="1" outlineLevel="1"/>
    <col min="29" max="29" width="8.85546875" style="1247" hidden="1" customWidth="1" outlineLevel="1"/>
    <col min="30" max="30" width="11.42578125" style="514" hidden="1" customWidth="1" outlineLevel="1"/>
    <col min="31" max="31" width="10.42578125" style="514" hidden="1" customWidth="1" outlineLevel="1"/>
    <col min="32" max="32" width="25.5703125" style="514" hidden="1" customWidth="1" outlineLevel="1"/>
    <col min="33" max="33" width="16.5703125" style="514" hidden="1" customWidth="1" outlineLevel="1"/>
    <col min="34" max="34" width="16.5703125" style="514" customWidth="1" collapsed="1"/>
    <col min="35" max="16384" width="11.42578125" style="514"/>
  </cols>
  <sheetData>
    <row r="1" spans="1:34" ht="25.5" customHeight="1">
      <c r="D1" s="515" t="s">
        <v>278</v>
      </c>
      <c r="N1" s="515" t="s">
        <v>662</v>
      </c>
      <c r="X1" s="1248" t="s">
        <v>683</v>
      </c>
      <c r="AF1" t="s">
        <v>1060</v>
      </c>
      <c r="AG1" t="s">
        <v>1060</v>
      </c>
    </row>
    <row r="2" spans="1:34" ht="5.25" customHeight="1">
      <c r="I2" s="516"/>
      <c r="J2" s="1594"/>
      <c r="S2" s="516"/>
      <c r="T2" s="516"/>
      <c r="AC2" s="1249"/>
      <c r="AF2" s="1661" t="s">
        <v>872</v>
      </c>
      <c r="AG2" t="s">
        <v>873</v>
      </c>
    </row>
    <row r="3" spans="1:34" ht="15.75" customHeight="1">
      <c r="A3" s="1649" t="s">
        <v>279</v>
      </c>
      <c r="B3" s="1650"/>
      <c r="C3" s="2888" t="str">
        <f>'Cpte exploitation ARG'!E4</f>
        <v>xxxxxx</v>
      </c>
      <c r="D3" s="2888"/>
      <c r="E3" s="2888"/>
      <c r="F3" s="2888"/>
      <c r="G3" s="2888"/>
      <c r="H3" s="2888"/>
      <c r="I3" s="2889"/>
      <c r="J3" s="1595"/>
      <c r="K3" s="517" t="s">
        <v>279</v>
      </c>
      <c r="L3" s="517"/>
      <c r="M3" s="517"/>
      <c r="N3" s="517"/>
      <c r="O3" s="517"/>
      <c r="P3" s="517"/>
      <c r="Q3" s="518"/>
      <c r="R3" s="517"/>
      <c r="S3" s="517"/>
      <c r="T3" s="517"/>
      <c r="U3" s="1250" t="s">
        <v>279</v>
      </c>
      <c r="V3" s="1250"/>
      <c r="W3" s="1250"/>
      <c r="X3" s="1250"/>
      <c r="Y3" s="1250"/>
      <c r="Z3" s="1250"/>
      <c r="AA3" s="1251"/>
      <c r="AB3" s="1250"/>
      <c r="AC3" s="1250"/>
      <c r="AF3" s="1661" t="s">
        <v>1243</v>
      </c>
      <c r="AG3" t="s">
        <v>874</v>
      </c>
      <c r="AH3" s="514" t="s">
        <v>1330</v>
      </c>
    </row>
    <row r="4" spans="1:34" ht="6" customHeight="1">
      <c r="A4" s="1849"/>
      <c r="B4" s="1849"/>
      <c r="C4" s="1849"/>
      <c r="D4" s="1849"/>
      <c r="E4" s="1849"/>
      <c r="F4" s="1849"/>
      <c r="G4" s="1849"/>
      <c r="H4" s="1849"/>
      <c r="I4" s="1849"/>
      <c r="J4" s="1596"/>
      <c r="K4" s="519"/>
      <c r="L4" s="519"/>
      <c r="M4" s="519"/>
      <c r="N4" s="519"/>
      <c r="O4" s="519"/>
      <c r="P4" s="519"/>
      <c r="Q4" s="519"/>
      <c r="R4" s="519"/>
      <c r="S4" s="519"/>
      <c r="T4" s="519"/>
      <c r="U4" s="1252"/>
      <c r="V4" s="1252"/>
      <c r="W4" s="1252"/>
      <c r="X4" s="1252"/>
      <c r="Y4" s="1252"/>
      <c r="Z4" s="1252"/>
      <c r="AA4" s="1252"/>
      <c r="AB4" s="1252"/>
      <c r="AC4" s="1252"/>
      <c r="AF4" s="1661" t="s">
        <v>1244</v>
      </c>
      <c r="AG4" t="s">
        <v>875</v>
      </c>
    </row>
    <row r="5" spans="1:34" ht="12.75" customHeight="1">
      <c r="A5" s="1651" t="s">
        <v>863</v>
      </c>
      <c r="B5" s="1652"/>
      <c r="C5" s="2890" t="str">
        <f>'Cpte exploitation ARG'!E6</f>
        <v>xxxxx</v>
      </c>
      <c r="D5" s="2891"/>
      <c r="E5" s="2892"/>
      <c r="F5" s="1850"/>
      <c r="G5" s="1851" t="s">
        <v>864</v>
      </c>
      <c r="H5" s="1652"/>
      <c r="I5" s="1818" t="s">
        <v>1060</v>
      </c>
      <c r="J5" s="2276"/>
      <c r="K5" s="520" t="s">
        <v>281</v>
      </c>
      <c r="L5" s="520"/>
      <c r="M5" s="1090"/>
      <c r="N5" s="520"/>
      <c r="O5" s="522" t="s">
        <v>553</v>
      </c>
      <c r="P5" s="523"/>
      <c r="Q5" s="524" t="s">
        <v>233</v>
      </c>
      <c r="R5" s="1653" t="s">
        <v>923</v>
      </c>
      <c r="S5" s="525"/>
      <c r="T5" s="1191"/>
      <c r="U5" s="1253" t="s">
        <v>281</v>
      </c>
      <c r="V5" s="1253"/>
      <c r="W5" s="1254"/>
      <c r="X5" s="1253"/>
      <c r="Y5" s="1255" t="s">
        <v>553</v>
      </c>
      <c r="Z5" s="1256"/>
      <c r="AA5" s="1257" t="s">
        <v>233</v>
      </c>
      <c r="AB5" s="1653" t="s">
        <v>923</v>
      </c>
      <c r="AC5" s="1258"/>
      <c r="AF5" s="1661" t="s">
        <v>876</v>
      </c>
      <c r="AG5" t="s">
        <v>873</v>
      </c>
    </row>
    <row r="6" spans="1:34" ht="12.75" customHeight="1">
      <c r="A6" s="1654" t="s">
        <v>282</v>
      </c>
      <c r="B6" s="1655"/>
      <c r="C6" s="2893" t="str">
        <f>'Cpte exploitation ARG'!E7</f>
        <v>xxxxx</v>
      </c>
      <c r="D6" s="2894"/>
      <c r="E6" s="2895"/>
      <c r="F6" s="1850"/>
      <c r="G6" s="1852" t="s">
        <v>865</v>
      </c>
      <c r="H6" s="1817"/>
      <c r="I6" s="1818" t="s">
        <v>1389</v>
      </c>
      <c r="J6" s="1192"/>
      <c r="K6" s="526" t="s">
        <v>282</v>
      </c>
      <c r="L6" s="526"/>
      <c r="M6" s="521"/>
      <c r="N6" s="526"/>
      <c r="O6" s="527" t="s">
        <v>553</v>
      </c>
      <c r="P6" s="523"/>
      <c r="Q6" s="524" t="s">
        <v>318</v>
      </c>
      <c r="R6" s="528" t="s">
        <v>495</v>
      </c>
      <c r="S6" s="529"/>
      <c r="T6" s="1192"/>
      <c r="U6" s="1259" t="s">
        <v>282</v>
      </c>
      <c r="V6" s="1259"/>
      <c r="W6" s="1254"/>
      <c r="X6" s="1259"/>
      <c r="Y6" s="1260" t="s">
        <v>553</v>
      </c>
      <c r="Z6" s="1256"/>
      <c r="AA6" s="1257" t="s">
        <v>810</v>
      </c>
      <c r="AB6" s="1261" t="s">
        <v>495</v>
      </c>
      <c r="AC6" s="1262"/>
      <c r="AF6" s="1661" t="s">
        <v>877</v>
      </c>
      <c r="AG6" t="s">
        <v>874</v>
      </c>
    </row>
    <row r="7" spans="1:34" ht="6" customHeight="1">
      <c r="A7" s="1850"/>
      <c r="B7" s="1850"/>
      <c r="C7" s="1850"/>
      <c r="D7" s="1850"/>
      <c r="E7" s="1850"/>
      <c r="F7" s="1850"/>
      <c r="G7" s="1850"/>
      <c r="H7" s="1850"/>
      <c r="I7" s="1850"/>
      <c r="J7" s="1597"/>
      <c r="K7" s="523"/>
      <c r="L7" s="523"/>
      <c r="M7" s="523"/>
      <c r="N7" s="523"/>
      <c r="O7" s="523"/>
      <c r="P7" s="523"/>
      <c r="Q7" s="523"/>
      <c r="R7" s="523"/>
      <c r="S7" s="523"/>
      <c r="T7" s="523"/>
      <c r="U7" s="1256"/>
      <c r="V7" s="1256"/>
      <c r="W7" s="1256"/>
      <c r="X7" s="1256"/>
      <c r="Y7" s="1256"/>
      <c r="Z7" s="1256"/>
      <c r="AA7" s="1256"/>
      <c r="AB7" s="1256"/>
      <c r="AC7" s="1256"/>
      <c r="AF7" s="1661" t="s">
        <v>898</v>
      </c>
      <c r="AG7" t="s">
        <v>873</v>
      </c>
    </row>
    <row r="8" spans="1:34" ht="12.95" customHeight="1">
      <c r="A8" s="1651" t="s">
        <v>866</v>
      </c>
      <c r="B8" s="1656"/>
      <c r="C8" s="2890" t="s">
        <v>1060</v>
      </c>
      <c r="D8" s="2891"/>
      <c r="E8" s="2892"/>
      <c r="F8" s="1850"/>
      <c r="G8" s="1851" t="s">
        <v>867</v>
      </c>
      <c r="H8" s="2897" t="s">
        <v>819</v>
      </c>
      <c r="I8" s="2898"/>
      <c r="J8" s="2228"/>
      <c r="K8" s="520" t="s">
        <v>283</v>
      </c>
      <c r="L8" s="526"/>
      <c r="M8" s="521"/>
      <c r="N8" s="526"/>
      <c r="O8" s="527" t="s">
        <v>284</v>
      </c>
      <c r="P8" s="523"/>
      <c r="Q8" s="524" t="s">
        <v>285</v>
      </c>
      <c r="R8" s="2965" t="s">
        <v>819</v>
      </c>
      <c r="S8" s="2966"/>
      <c r="T8" s="1193"/>
      <c r="U8" s="1253" t="s">
        <v>283</v>
      </c>
      <c r="V8" s="1259"/>
      <c r="W8" s="1254"/>
      <c r="X8" s="1259"/>
      <c r="Y8" s="1260" t="s">
        <v>284</v>
      </c>
      <c r="Z8" s="1256"/>
      <c r="AA8" s="1257" t="s">
        <v>835</v>
      </c>
      <c r="AB8" s="2923" t="s">
        <v>549</v>
      </c>
      <c r="AC8" s="2924"/>
      <c r="AF8" s="1661" t="s">
        <v>899</v>
      </c>
      <c r="AG8" t="s">
        <v>874</v>
      </c>
    </row>
    <row r="9" spans="1:34" s="523" customFormat="1" ht="12.95" customHeight="1">
      <c r="A9" s="1657" t="s">
        <v>286</v>
      </c>
      <c r="B9" s="1655"/>
      <c r="C9" s="2896" t="s">
        <v>1060</v>
      </c>
      <c r="D9" s="2894"/>
      <c r="E9" s="2895"/>
      <c r="F9" s="1850"/>
      <c r="G9" s="1852" t="s">
        <v>287</v>
      </c>
      <c r="H9" s="2899" t="s">
        <v>1390</v>
      </c>
      <c r="I9" s="2900"/>
      <c r="J9" s="2228"/>
      <c r="K9" s="520" t="s">
        <v>286</v>
      </c>
      <c r="L9" s="526"/>
      <c r="M9" s="521"/>
      <c r="N9" s="526"/>
      <c r="O9" s="527" t="s">
        <v>284</v>
      </c>
      <c r="Q9" s="524" t="s">
        <v>287</v>
      </c>
      <c r="R9" s="2965" t="s">
        <v>550</v>
      </c>
      <c r="S9" s="2966"/>
      <c r="T9" s="1193"/>
      <c r="U9" s="1253" t="s">
        <v>286</v>
      </c>
      <c r="V9" s="1259"/>
      <c r="W9" s="1254"/>
      <c r="X9" s="1259"/>
      <c r="Y9" s="1260" t="s">
        <v>284</v>
      </c>
      <c r="Z9" s="1256"/>
      <c r="AA9" s="1257" t="s">
        <v>287</v>
      </c>
      <c r="AB9" s="2923" t="s">
        <v>911</v>
      </c>
      <c r="AC9" s="2924"/>
      <c r="AF9" s="1661" t="s">
        <v>878</v>
      </c>
      <c r="AG9" t="s">
        <v>873</v>
      </c>
    </row>
    <row r="10" spans="1:34" ht="5.25" customHeight="1">
      <c r="A10" s="1853"/>
      <c r="B10" s="1853"/>
      <c r="C10" s="1853"/>
      <c r="D10" s="1853"/>
      <c r="E10" s="1853"/>
      <c r="F10" s="1853"/>
      <c r="G10" s="1850"/>
      <c r="H10" s="1850"/>
      <c r="I10" s="1850"/>
      <c r="J10" s="1597"/>
      <c r="K10" s="530"/>
      <c r="L10" s="530"/>
      <c r="M10" s="530"/>
      <c r="N10" s="530"/>
      <c r="O10" s="530"/>
      <c r="P10" s="530"/>
      <c r="Q10" s="523"/>
      <c r="R10" s="523"/>
      <c r="S10" s="523"/>
      <c r="T10" s="523"/>
      <c r="U10" s="1263"/>
      <c r="V10" s="1263"/>
      <c r="W10" s="1263"/>
      <c r="X10" s="1263"/>
      <c r="Y10" s="1263"/>
      <c r="Z10" s="1263"/>
      <c r="AA10" s="1256"/>
      <c r="AB10" s="1256"/>
      <c r="AC10" s="1256"/>
      <c r="AF10" s="1661" t="s">
        <v>893</v>
      </c>
      <c r="AG10" t="s">
        <v>873</v>
      </c>
    </row>
    <row r="11" spans="1:34" ht="12.95" customHeight="1">
      <c r="A11" s="1651" t="s">
        <v>868</v>
      </c>
      <c r="B11" s="1656"/>
      <c r="C11" s="2909" t="s">
        <v>1060</v>
      </c>
      <c r="D11" s="2910"/>
      <c r="E11" s="2911"/>
      <c r="F11" s="2227"/>
      <c r="G11" s="2278"/>
      <c r="H11" s="2912"/>
      <c r="I11" s="2912"/>
      <c r="J11" s="1192"/>
      <c r="K11" s="520" t="s">
        <v>288</v>
      </c>
      <c r="L11" s="526"/>
      <c r="M11" s="531" t="s">
        <v>289</v>
      </c>
      <c r="N11" s="531"/>
      <c r="O11" s="527"/>
      <c r="P11" s="523"/>
      <c r="Q11" s="532" t="s">
        <v>290</v>
      </c>
      <c r="R11" s="533" t="s">
        <v>291</v>
      </c>
      <c r="S11" s="529"/>
      <c r="T11" s="1192"/>
      <c r="U11" s="1253" t="s">
        <v>791</v>
      </c>
      <c r="V11" s="1259"/>
      <c r="W11" s="1259" t="s">
        <v>792</v>
      </c>
      <c r="X11" s="1259"/>
      <c r="Y11" s="1260"/>
      <c r="Z11" s="1256"/>
      <c r="AA11" s="1264" t="s">
        <v>290</v>
      </c>
      <c r="AB11" s="1261" t="s">
        <v>291</v>
      </c>
      <c r="AC11" s="1262"/>
      <c r="AF11" s="1661" t="s">
        <v>894</v>
      </c>
      <c r="AG11" t="s">
        <v>873</v>
      </c>
    </row>
    <row r="12" spans="1:34" ht="12.95" customHeight="1">
      <c r="A12" s="1658" t="s">
        <v>292</v>
      </c>
      <c r="B12" s="1854" t="str">
        <f>VLOOKUP(C11,AF1:AG37,2,FALSE)</f>
        <v>XXXXX</v>
      </c>
      <c r="C12" s="1659" t="s">
        <v>293</v>
      </c>
      <c r="D12" s="1659"/>
      <c r="E12" s="1660" t="str">
        <f>IF(B12="XXXXX","XXXXX",IF(B12="A","oui","non"))</f>
        <v>XXXXX</v>
      </c>
      <c r="F12" s="2227"/>
      <c r="G12" s="2279" t="s">
        <v>482</v>
      </c>
      <c r="H12" s="2952" t="s">
        <v>1060</v>
      </c>
      <c r="I12" s="2900"/>
      <c r="J12" s="1192"/>
      <c r="K12" s="520" t="s">
        <v>292</v>
      </c>
      <c r="L12" s="534" t="s">
        <v>280</v>
      </c>
      <c r="M12" s="531" t="s">
        <v>293</v>
      </c>
      <c r="N12" s="531"/>
      <c r="O12" s="535"/>
      <c r="P12" s="523"/>
      <c r="Q12" s="532" t="s">
        <v>482</v>
      </c>
      <c r="R12" s="533" t="s">
        <v>291</v>
      </c>
      <c r="S12" s="529"/>
      <c r="T12" s="1192"/>
      <c r="U12" s="1253" t="s">
        <v>794</v>
      </c>
      <c r="V12" s="1265" t="s">
        <v>280</v>
      </c>
      <c r="W12" s="1259" t="s">
        <v>793</v>
      </c>
      <c r="X12" s="1259"/>
      <c r="Y12" s="1266"/>
      <c r="Z12" s="1256"/>
      <c r="AA12" s="1264" t="s">
        <v>482</v>
      </c>
      <c r="AB12" s="1261" t="s">
        <v>291</v>
      </c>
      <c r="AC12" s="1262"/>
      <c r="AF12" s="1661" t="s">
        <v>879</v>
      </c>
      <c r="AG12" t="s">
        <v>873</v>
      </c>
    </row>
    <row r="13" spans="1:34" ht="12.95" customHeight="1">
      <c r="A13" s="2274"/>
      <c r="B13" s="2275"/>
      <c r="C13" s="2275"/>
      <c r="D13" s="2275"/>
      <c r="E13" s="2275"/>
      <c r="F13" s="2227"/>
      <c r="G13" s="2278"/>
      <c r="J13" s="1192"/>
      <c r="K13" s="520"/>
      <c r="L13" s="534"/>
      <c r="M13" s="531"/>
      <c r="N13" s="531"/>
      <c r="O13" s="535"/>
      <c r="P13" s="523"/>
      <c r="Q13" s="1624"/>
      <c r="R13" s="1625"/>
      <c r="S13" s="1192"/>
      <c r="T13" s="1192"/>
      <c r="U13" s="1253"/>
      <c r="V13" s="1265"/>
      <c r="W13" s="1259"/>
      <c r="X13" s="1259"/>
      <c r="Y13" s="1266"/>
      <c r="Z13" s="1256"/>
      <c r="AA13" s="1626"/>
      <c r="AB13" s="1627"/>
      <c r="AC13" s="1627"/>
      <c r="AF13" s="1661" t="s">
        <v>880</v>
      </c>
      <c r="AG13" t="s">
        <v>873</v>
      </c>
    </row>
    <row r="14" spans="1:34" ht="5.25" customHeight="1">
      <c r="A14" s="536"/>
      <c r="B14" s="536"/>
      <c r="C14" s="536"/>
      <c r="D14" s="536"/>
      <c r="E14" s="536"/>
      <c r="F14" s="536"/>
      <c r="G14" s="536"/>
      <c r="H14" s="536"/>
      <c r="I14" s="536"/>
      <c r="J14" s="1598"/>
      <c r="K14" s="536"/>
      <c r="L14" s="536"/>
      <c r="M14" s="536"/>
      <c r="N14" s="536"/>
      <c r="O14" s="536"/>
      <c r="P14" s="536"/>
      <c r="Q14" s="536"/>
      <c r="R14" s="536"/>
      <c r="S14" s="536"/>
      <c r="T14" s="536"/>
      <c r="U14" s="1267"/>
      <c r="V14" s="1267"/>
      <c r="W14" s="1267"/>
      <c r="X14" s="1267"/>
      <c r="Y14" s="1267"/>
      <c r="Z14" s="1267"/>
      <c r="AA14" s="1267"/>
      <c r="AB14" s="1267"/>
      <c r="AC14" s="1267"/>
      <c r="AF14" s="1661" t="s">
        <v>881</v>
      </c>
      <c r="AG14" t="s">
        <v>873</v>
      </c>
    </row>
    <row r="15" spans="1:34" s="537" customFormat="1" ht="15.75">
      <c r="A15" s="2967" t="s">
        <v>294</v>
      </c>
      <c r="B15" s="2968"/>
      <c r="C15" s="2968"/>
      <c r="D15" s="2968"/>
      <c r="E15" s="2968"/>
      <c r="F15" s="2968"/>
      <c r="G15" s="2968"/>
      <c r="H15" s="2968"/>
      <c r="I15" s="2969"/>
      <c r="J15" s="1599"/>
      <c r="K15" s="2967" t="s">
        <v>663</v>
      </c>
      <c r="L15" s="2968"/>
      <c r="M15" s="2968"/>
      <c r="N15" s="2968"/>
      <c r="O15" s="2968"/>
      <c r="P15" s="2968"/>
      <c r="Q15" s="2968"/>
      <c r="R15" s="2968"/>
      <c r="S15" s="2969"/>
      <c r="T15" s="1780"/>
      <c r="U15" s="2925" t="s">
        <v>664</v>
      </c>
      <c r="V15" s="2926"/>
      <c r="W15" s="2926"/>
      <c r="X15" s="2926"/>
      <c r="Y15" s="2926"/>
      <c r="Z15" s="2926"/>
      <c r="AA15" s="2926"/>
      <c r="AB15" s="2926"/>
      <c r="AC15" s="2927"/>
      <c r="AF15" s="1661" t="s">
        <v>882</v>
      </c>
      <c r="AG15" t="s">
        <v>873</v>
      </c>
    </row>
    <row r="16" spans="1:34" s="537" customFormat="1" ht="13.5">
      <c r="A16" s="2991" t="s">
        <v>869</v>
      </c>
      <c r="B16" s="2992"/>
      <c r="C16" s="2992"/>
      <c r="D16" s="2992"/>
      <c r="E16" s="2992"/>
      <c r="F16" s="2992"/>
      <c r="G16" s="2992"/>
      <c r="H16" s="2992"/>
      <c r="I16" s="2993"/>
      <c r="J16" s="1194"/>
      <c r="K16" s="538" t="s">
        <v>295</v>
      </c>
      <c r="L16" s="539"/>
      <c r="M16" s="539"/>
      <c r="N16" s="539"/>
      <c r="O16" s="539"/>
      <c r="P16" s="539"/>
      <c r="Q16" s="539"/>
      <c r="R16" s="539"/>
      <c r="S16" s="540"/>
      <c r="T16" s="1194"/>
      <c r="U16" s="1268" t="s">
        <v>811</v>
      </c>
      <c r="V16" s="1263"/>
      <c r="W16" s="1263"/>
      <c r="X16" s="1263"/>
      <c r="Y16" s="1263"/>
      <c r="Z16" s="1263"/>
      <c r="AA16" s="1263"/>
      <c r="AB16" s="1263"/>
      <c r="AC16" s="1269"/>
      <c r="AF16" s="1661" t="s">
        <v>883</v>
      </c>
      <c r="AG16" t="s">
        <v>873</v>
      </c>
    </row>
    <row r="17" spans="1:33" s="537" customFormat="1" ht="13.5">
      <c r="A17" s="2980"/>
      <c r="B17" s="2981"/>
      <c r="C17" s="2981"/>
      <c r="D17" s="2981"/>
      <c r="E17" s="2981"/>
      <c r="F17" s="2981"/>
      <c r="G17" s="2981"/>
      <c r="H17" s="2981"/>
      <c r="I17" s="2982"/>
      <c r="J17" s="1194"/>
      <c r="K17" s="1582"/>
      <c r="L17" s="539"/>
      <c r="M17" s="539"/>
      <c r="N17" s="539"/>
      <c r="O17" s="539"/>
      <c r="P17" s="539"/>
      <c r="Q17" s="539"/>
      <c r="R17" s="539"/>
      <c r="S17" s="540"/>
      <c r="T17" s="1194"/>
      <c r="U17" s="1270"/>
      <c r="V17" s="1263"/>
      <c r="W17" s="1263"/>
      <c r="X17" s="1263"/>
      <c r="Y17" s="1263"/>
      <c r="Z17" s="1263"/>
      <c r="AA17" s="1263"/>
      <c r="AB17" s="1263"/>
      <c r="AC17" s="1269"/>
      <c r="AF17" s="1661" t="s">
        <v>884</v>
      </c>
      <c r="AG17" t="s">
        <v>873</v>
      </c>
    </row>
    <row r="18" spans="1:33" s="537" customFormat="1" ht="13.5">
      <c r="A18" s="2980"/>
      <c r="B18" s="2981"/>
      <c r="C18" s="2981"/>
      <c r="D18" s="2981"/>
      <c r="E18" s="2981"/>
      <c r="F18" s="2981"/>
      <c r="G18" s="2981"/>
      <c r="H18" s="2981"/>
      <c r="I18" s="2982"/>
      <c r="J18" s="1194"/>
      <c r="K18" s="542"/>
      <c r="L18" s="539"/>
      <c r="M18" s="539"/>
      <c r="N18" s="539"/>
      <c r="O18" s="539"/>
      <c r="P18" s="539"/>
      <c r="Q18" s="539"/>
      <c r="R18" s="539"/>
      <c r="S18" s="540"/>
      <c r="T18" s="1194"/>
      <c r="U18" s="1271"/>
      <c r="V18" s="1263"/>
      <c r="W18" s="1263"/>
      <c r="X18" s="1263"/>
      <c r="Y18" s="1263"/>
      <c r="Z18" s="1263"/>
      <c r="AA18" s="1263"/>
      <c r="AB18" s="1263"/>
      <c r="AC18" s="1269"/>
      <c r="AF18" s="1661" t="s">
        <v>1245</v>
      </c>
      <c r="AG18" t="s">
        <v>874</v>
      </c>
    </row>
    <row r="19" spans="1:33" s="537" customFormat="1" ht="13.5">
      <c r="A19" s="2980"/>
      <c r="B19" s="2981"/>
      <c r="C19" s="2981"/>
      <c r="D19" s="2981"/>
      <c r="E19" s="2981"/>
      <c r="F19" s="2981"/>
      <c r="G19" s="2981"/>
      <c r="H19" s="2981"/>
      <c r="I19" s="2982"/>
      <c r="J19" s="1194"/>
      <c r="K19" s="542"/>
      <c r="L19" s="539"/>
      <c r="M19" s="539"/>
      <c r="N19" s="539"/>
      <c r="O19" s="539"/>
      <c r="P19" s="539"/>
      <c r="Q19" s="539"/>
      <c r="R19" s="539"/>
      <c r="S19" s="540"/>
      <c r="T19" s="1194"/>
      <c r="U19" s="1271"/>
      <c r="V19" s="1263"/>
      <c r="W19" s="1263"/>
      <c r="X19" s="1263"/>
      <c r="Y19" s="1263"/>
      <c r="Z19" s="1263"/>
      <c r="AA19" s="1263"/>
      <c r="AB19" s="1263"/>
      <c r="AC19" s="1269"/>
      <c r="AF19" s="1661" t="s">
        <v>1246</v>
      </c>
      <c r="AG19" s="1681" t="s">
        <v>875</v>
      </c>
    </row>
    <row r="20" spans="1:33" s="537" customFormat="1" ht="13.5">
      <c r="A20" s="2988" t="s">
        <v>870</v>
      </c>
      <c r="B20" s="2989"/>
      <c r="C20" s="2989"/>
      <c r="D20" s="2989"/>
      <c r="E20" s="2989"/>
      <c r="F20" s="2989"/>
      <c r="G20" s="2989"/>
      <c r="H20" s="2989"/>
      <c r="I20" s="2990"/>
      <c r="J20" s="1194"/>
      <c r="K20" s="543" t="s">
        <v>296</v>
      </c>
      <c r="L20" s="539"/>
      <c r="M20" s="539"/>
      <c r="N20" s="539"/>
      <c r="O20" s="539"/>
      <c r="P20" s="539"/>
      <c r="Q20" s="539"/>
      <c r="R20" s="539"/>
      <c r="S20" s="540"/>
      <c r="T20" s="1194"/>
      <c r="U20" s="1272" t="s">
        <v>815</v>
      </c>
      <c r="V20" s="1263"/>
      <c r="W20" s="1263"/>
      <c r="X20" s="1263"/>
      <c r="Y20" s="1263"/>
      <c r="Z20" s="1263"/>
      <c r="AA20" s="1263"/>
      <c r="AB20" s="1263"/>
      <c r="AC20" s="1269"/>
      <c r="AF20" s="1680" t="s">
        <v>895</v>
      </c>
      <c r="AG20" t="s">
        <v>873</v>
      </c>
    </row>
    <row r="21" spans="1:33" s="537" customFormat="1" ht="13.5">
      <c r="A21" s="2980"/>
      <c r="B21" s="2981"/>
      <c r="C21" s="2981"/>
      <c r="D21" s="2981"/>
      <c r="E21" s="2981"/>
      <c r="F21" s="2981"/>
      <c r="G21" s="2981"/>
      <c r="H21" s="2981"/>
      <c r="I21" s="2982"/>
      <c r="J21" s="1194"/>
      <c r="K21" s="542"/>
      <c r="L21" s="539"/>
      <c r="M21" s="539"/>
      <c r="N21" s="539"/>
      <c r="O21" s="539"/>
      <c r="P21" s="539"/>
      <c r="Q21" s="539"/>
      <c r="R21" s="539"/>
      <c r="S21" s="540"/>
      <c r="T21" s="1194"/>
      <c r="U21" s="1271"/>
      <c r="V21" s="1263"/>
      <c r="W21" s="1263"/>
      <c r="X21" s="1263"/>
      <c r="Y21" s="1263"/>
      <c r="Z21" s="1263"/>
      <c r="AA21" s="1263"/>
      <c r="AB21" s="1263"/>
      <c r="AC21" s="1269"/>
      <c r="AF21" s="1680" t="s">
        <v>1247</v>
      </c>
      <c r="AG21" t="s">
        <v>874</v>
      </c>
    </row>
    <row r="22" spans="1:33" s="537" customFormat="1" ht="13.5">
      <c r="A22" s="2980"/>
      <c r="B22" s="2981"/>
      <c r="C22" s="2981"/>
      <c r="D22" s="2981"/>
      <c r="E22" s="2981"/>
      <c r="F22" s="2981"/>
      <c r="G22" s="2981"/>
      <c r="H22" s="2981"/>
      <c r="I22" s="2982"/>
      <c r="J22" s="1194"/>
      <c r="K22" s="542"/>
      <c r="L22" s="539"/>
      <c r="M22" s="539"/>
      <c r="N22" s="539"/>
      <c r="O22" s="539"/>
      <c r="P22" s="539"/>
      <c r="Q22" s="539"/>
      <c r="R22" s="539"/>
      <c r="S22" s="540"/>
      <c r="T22" s="1194"/>
      <c r="U22" s="1271"/>
      <c r="V22" s="1263"/>
      <c r="W22" s="1263"/>
      <c r="X22" s="1263"/>
      <c r="Y22" s="1263"/>
      <c r="Z22" s="1263"/>
      <c r="AA22" s="1263"/>
      <c r="AB22" s="1263"/>
      <c r="AC22" s="1269"/>
      <c r="AF22" s="1680" t="s">
        <v>1248</v>
      </c>
      <c r="AG22" t="s">
        <v>875</v>
      </c>
    </row>
    <row r="23" spans="1:33" s="537" customFormat="1" ht="13.5">
      <c r="A23" s="2980"/>
      <c r="B23" s="2981"/>
      <c r="C23" s="2981"/>
      <c r="D23" s="2981"/>
      <c r="E23" s="2981"/>
      <c r="F23" s="2981"/>
      <c r="G23" s="2981"/>
      <c r="H23" s="2981"/>
      <c r="I23" s="2982"/>
      <c r="J23" s="1194"/>
      <c r="K23" s="541"/>
      <c r="L23" s="539"/>
      <c r="M23" s="539"/>
      <c r="N23" s="539"/>
      <c r="O23" s="539"/>
      <c r="P23" s="539"/>
      <c r="Q23" s="539"/>
      <c r="R23" s="539"/>
      <c r="S23" s="540"/>
      <c r="T23" s="1194"/>
      <c r="U23" s="1270"/>
      <c r="V23" s="1263"/>
      <c r="W23" s="1263"/>
      <c r="X23" s="1263"/>
      <c r="Y23" s="1263"/>
      <c r="Z23" s="1263"/>
      <c r="AA23" s="1263"/>
      <c r="AB23" s="1263"/>
      <c r="AC23" s="1269"/>
      <c r="AF23" s="1680" t="s">
        <v>896</v>
      </c>
      <c r="AG23" t="s">
        <v>873</v>
      </c>
    </row>
    <row r="24" spans="1:33" s="537" customFormat="1" ht="13.5">
      <c r="A24" s="2994" t="s">
        <v>871</v>
      </c>
      <c r="B24" s="2995"/>
      <c r="C24" s="2995"/>
      <c r="D24" s="2995"/>
      <c r="E24" s="2995"/>
      <c r="F24" s="2995"/>
      <c r="G24" s="2995"/>
      <c r="H24" s="2995"/>
      <c r="I24" s="2996"/>
      <c r="J24" s="1194"/>
      <c r="K24" s="543" t="s">
        <v>297</v>
      </c>
      <c r="L24" s="539"/>
      <c r="M24" s="539"/>
      <c r="N24" s="539"/>
      <c r="O24" s="539"/>
      <c r="P24" s="539"/>
      <c r="Q24" s="539"/>
      <c r="R24" s="539"/>
      <c r="S24" s="540"/>
      <c r="T24" s="1194"/>
      <c r="U24" s="1272" t="s">
        <v>816</v>
      </c>
      <c r="V24" s="1263"/>
      <c r="W24" s="1263"/>
      <c r="X24" s="1263"/>
      <c r="Y24" s="1263"/>
      <c r="Z24" s="1263"/>
      <c r="AA24" s="1263"/>
      <c r="AB24" s="1263"/>
      <c r="AC24" s="1269"/>
      <c r="AF24" s="1680" t="s">
        <v>901</v>
      </c>
      <c r="AG24" t="s">
        <v>874</v>
      </c>
    </row>
    <row r="25" spans="1:33" s="537" customFormat="1" ht="13.5">
      <c r="A25" s="2980"/>
      <c r="B25" s="2981"/>
      <c r="C25" s="2981"/>
      <c r="D25" s="2981"/>
      <c r="E25" s="2981"/>
      <c r="F25" s="2981"/>
      <c r="G25" s="2981"/>
      <c r="H25" s="2981"/>
      <c r="I25" s="2982"/>
      <c r="J25" s="1194"/>
      <c r="K25" s="544"/>
      <c r="L25" s="539"/>
      <c r="M25" s="539"/>
      <c r="N25" s="539"/>
      <c r="O25" s="539"/>
      <c r="P25" s="539"/>
      <c r="Q25" s="539"/>
      <c r="R25" s="539"/>
      <c r="S25" s="540"/>
      <c r="T25" s="1194"/>
      <c r="U25" s="1273"/>
      <c r="V25" s="1263"/>
      <c r="W25" s="1263"/>
      <c r="X25" s="1263"/>
      <c r="Y25" s="1263"/>
      <c r="Z25" s="1263"/>
      <c r="AA25" s="1263"/>
      <c r="AB25" s="1263"/>
      <c r="AC25" s="1269"/>
      <c r="AF25" s="1680" t="s">
        <v>897</v>
      </c>
      <c r="AG25" t="s">
        <v>873</v>
      </c>
    </row>
    <row r="26" spans="1:33" s="537" customFormat="1" ht="13.5">
      <c r="A26" s="2980"/>
      <c r="B26" s="2981"/>
      <c r="C26" s="2981"/>
      <c r="D26" s="2981"/>
      <c r="E26" s="2981"/>
      <c r="F26" s="2981"/>
      <c r="G26" s="2981"/>
      <c r="H26" s="2981"/>
      <c r="I26" s="2982"/>
      <c r="J26" s="1194"/>
      <c r="K26" s="543"/>
      <c r="L26" s="539"/>
      <c r="M26" s="539"/>
      <c r="N26" s="539"/>
      <c r="O26" s="539"/>
      <c r="P26" s="539"/>
      <c r="Q26" s="539"/>
      <c r="R26" s="539"/>
      <c r="S26" s="540"/>
      <c r="T26" s="1194"/>
      <c r="U26" s="1272"/>
      <c r="V26" s="1263"/>
      <c r="W26" s="1263"/>
      <c r="X26" s="1263"/>
      <c r="Y26" s="1263"/>
      <c r="Z26" s="1263"/>
      <c r="AA26" s="1263"/>
      <c r="AB26" s="1263"/>
      <c r="AC26" s="1269"/>
      <c r="AF26" s="1680" t="s">
        <v>900</v>
      </c>
      <c r="AG26" t="s">
        <v>874</v>
      </c>
    </row>
    <row r="27" spans="1:33" s="537" customFormat="1" ht="13.5">
      <c r="A27" s="2983"/>
      <c r="B27" s="2984"/>
      <c r="C27" s="2984"/>
      <c r="D27" s="2984"/>
      <c r="E27" s="2984"/>
      <c r="F27" s="2984"/>
      <c r="G27" s="2984"/>
      <c r="H27" s="2984"/>
      <c r="I27" s="2985"/>
      <c r="J27" s="1194"/>
      <c r="K27" s="545" t="s">
        <v>298</v>
      </c>
      <c r="L27" s="546"/>
      <c r="M27" s="546"/>
      <c r="N27" s="546"/>
      <c r="O27" s="933" t="s">
        <v>280</v>
      </c>
      <c r="P27" s="546"/>
      <c r="Q27" s="546"/>
      <c r="R27" s="546"/>
      <c r="S27" s="547"/>
      <c r="T27" s="1783"/>
      <c r="U27" s="1274" t="s">
        <v>817</v>
      </c>
      <c r="V27" s="1275"/>
      <c r="W27" s="1275"/>
      <c r="X27" s="1275"/>
      <c r="Y27" s="1276" t="s">
        <v>280</v>
      </c>
      <c r="Z27" s="1275"/>
      <c r="AA27" s="1275"/>
      <c r="AB27" s="1275"/>
      <c r="AC27" s="1277"/>
      <c r="AF27" s="1680" t="s">
        <v>902</v>
      </c>
      <c r="AG27" t="s">
        <v>873</v>
      </c>
    </row>
    <row r="28" spans="1:33" s="537" customFormat="1" ht="13.5">
      <c r="A28" s="539"/>
      <c r="B28" s="539"/>
      <c r="C28" s="539"/>
      <c r="D28" s="539"/>
      <c r="E28" s="539"/>
      <c r="F28" s="539"/>
      <c r="G28" s="539"/>
      <c r="H28" s="539"/>
      <c r="I28" s="539"/>
      <c r="J28" s="1194"/>
      <c r="K28" s="539"/>
      <c r="L28" s="539"/>
      <c r="M28" s="539"/>
      <c r="N28" s="539"/>
      <c r="O28" s="539"/>
      <c r="P28" s="539"/>
      <c r="Q28" s="539"/>
      <c r="R28" s="539"/>
      <c r="S28" s="539"/>
      <c r="T28" s="539"/>
      <c r="U28" s="1263"/>
      <c r="V28" s="1263"/>
      <c r="W28" s="1263"/>
      <c r="X28" s="1263"/>
      <c r="Y28" s="1263"/>
      <c r="Z28" s="1263"/>
      <c r="AA28" s="1263"/>
      <c r="AB28" s="1263"/>
      <c r="AC28" s="1263"/>
      <c r="AF28" s="1680" t="s">
        <v>903</v>
      </c>
      <c r="AG28" t="s">
        <v>873</v>
      </c>
    </row>
    <row r="29" spans="1:33" s="537" customFormat="1" ht="15.75">
      <c r="A29" s="1125" t="str">
        <f>IF('Mode Opératoire'!$I$1="Français",+'Synthèse projet'!K29,'Synthèse projet'!U29)</f>
        <v>Nature des Engagements</v>
      </c>
      <c r="B29" s="1126"/>
      <c r="C29" s="1127" t="str">
        <f>IF('Mode Opératoire'!$I$1="Français",+'Synthèse projet'!M29,'Synthèse projet'!W29)</f>
        <v>Investissement k€</v>
      </c>
      <c r="D29" s="548"/>
      <c r="E29" s="1127" t="str">
        <f>IF('Mode Opératoire'!$I$1="Français",+'Synthèse projet'!O29,'Synthèse projet'!Y29)</f>
        <v>Location k€</v>
      </c>
      <c r="F29" s="549"/>
      <c r="G29" s="550"/>
      <c r="H29" s="1127" t="str">
        <f>IF('Mode Opératoire'!$I$1="Français",+'Synthèse projet'!R29,'Synthèse projet'!AB29)</f>
        <v>Projet : Coûts "one shot"</v>
      </c>
      <c r="I29" s="548"/>
      <c r="J29" s="1600"/>
      <c r="K29" s="1125" t="s">
        <v>299</v>
      </c>
      <c r="L29" s="1126"/>
      <c r="M29" s="1127" t="s">
        <v>300</v>
      </c>
      <c r="N29" s="548"/>
      <c r="O29" s="1127" t="s">
        <v>67</v>
      </c>
      <c r="P29" s="549"/>
      <c r="Q29" s="550"/>
      <c r="R29" s="2974" t="s">
        <v>1073</v>
      </c>
      <c r="S29" s="2975"/>
      <c r="T29" s="1784"/>
      <c r="U29" s="1278" t="s">
        <v>665</v>
      </c>
      <c r="V29" s="1279"/>
      <c r="W29" s="1280" t="s">
        <v>666</v>
      </c>
      <c r="X29" s="1281"/>
      <c r="Y29" s="1280" t="s">
        <v>667</v>
      </c>
      <c r="Z29" s="1282"/>
      <c r="AA29" s="1252"/>
      <c r="AB29" s="1127" t="s">
        <v>1038</v>
      </c>
      <c r="AC29" s="548"/>
      <c r="AF29" s="1680" t="s">
        <v>904</v>
      </c>
      <c r="AG29" t="s">
        <v>873</v>
      </c>
    </row>
    <row r="30" spans="1:33" s="537" customFormat="1" ht="13.5" customHeight="1">
      <c r="A30" s="2288" t="str">
        <f>IF('Mode Opératoire'!$I$1="Français",+'Synthèse projet'!K30,'Synthèse projet'!U30)</f>
        <v>Terrain</v>
      </c>
      <c r="B30" s="2289"/>
      <c r="C30" s="2290"/>
      <c r="D30" s="2291">
        <f>+Immobilier!$D$24</f>
        <v>0</v>
      </c>
      <c r="E30" s="2292"/>
      <c r="F30" s="2293"/>
      <c r="G30" s="949"/>
      <c r="H30" s="2315"/>
      <c r="I30" s="2291"/>
      <c r="J30" s="1600"/>
      <c r="K30" s="1128" t="s">
        <v>7</v>
      </c>
      <c r="L30" s="1129"/>
      <c r="M30" s="2970"/>
      <c r="N30" s="2971"/>
      <c r="O30" s="2972"/>
      <c r="P30" s="2973"/>
      <c r="Q30" s="949"/>
      <c r="R30" s="1613"/>
      <c r="S30" s="1614"/>
      <c r="T30" s="1784"/>
      <c r="U30" s="1283" t="s">
        <v>668</v>
      </c>
      <c r="V30" s="1284"/>
      <c r="W30" s="2932"/>
      <c r="X30" s="2933"/>
      <c r="Y30" s="2934"/>
      <c r="Z30" s="2935"/>
      <c r="AA30" s="1285"/>
      <c r="AB30" s="1613"/>
      <c r="AC30" s="1614">
        <f>+Immobilier!$D$24</f>
        <v>0</v>
      </c>
      <c r="AF30" s="1680" t="s">
        <v>905</v>
      </c>
      <c r="AG30" t="s">
        <v>873</v>
      </c>
    </row>
    <row r="31" spans="1:33" s="537" customFormat="1" ht="16.5">
      <c r="A31" s="2294" t="str">
        <f>IF('Mode Opératoire'!$I$1="Français",+'Synthèse projet'!K31,'Synthèse projet'!U31)</f>
        <v>Construction et agencements</v>
      </c>
      <c r="B31" s="2295"/>
      <c r="C31" s="2296"/>
      <c r="D31" s="2297">
        <f>+Immobilier!$D$33-Immobilier!$D$24</f>
        <v>0</v>
      </c>
      <c r="E31" s="2298"/>
      <c r="F31" s="2297">
        <f>+Immobilier!$H$32</f>
        <v>0</v>
      </c>
      <c r="G31" s="949"/>
      <c r="H31" s="2298"/>
      <c r="I31" s="2297">
        <f>+Immobilier!D42</f>
        <v>0</v>
      </c>
      <c r="J31" s="1601"/>
      <c r="K31" s="552" t="s">
        <v>301</v>
      </c>
      <c r="L31" s="553"/>
      <c r="M31" s="2961"/>
      <c r="N31" s="2962"/>
      <c r="O31" s="2961"/>
      <c r="P31" s="2962"/>
      <c r="Q31" s="949"/>
      <c r="R31" s="1612"/>
      <c r="S31" s="1615"/>
      <c r="U31" s="1286" t="s">
        <v>669</v>
      </c>
      <c r="V31" s="1287"/>
      <c r="W31" s="2936"/>
      <c r="X31" s="2937"/>
      <c r="Y31" s="2936"/>
      <c r="Z31" s="2937"/>
      <c r="AA31" s="1285"/>
      <c r="AB31" s="1612"/>
      <c r="AC31" s="1615">
        <f>+Immobilier!$D$33-Immobilier!$D$24</f>
        <v>0</v>
      </c>
      <c r="AF31" s="1680" t="s">
        <v>906</v>
      </c>
      <c r="AG31" t="s">
        <v>873</v>
      </c>
    </row>
    <row r="32" spans="1:33" s="537" customFormat="1" ht="16.5">
      <c r="A32" s="2294" t="str">
        <f>IF('Mode Opératoire'!$I$1="Français",+'Synthèse projet'!K32,'Synthèse projet'!U32)</f>
        <v>Equipements</v>
      </c>
      <c r="B32" s="2295"/>
      <c r="C32" s="2296"/>
      <c r="D32" s="2297">
        <f>+Equipement!$G$47</f>
        <v>0</v>
      </c>
      <c r="E32" s="2298"/>
      <c r="F32" s="2297">
        <f>+Equipement!$G$48</f>
        <v>0</v>
      </c>
      <c r="G32" s="949"/>
      <c r="H32" s="2298"/>
      <c r="I32" s="2297"/>
      <c r="J32" s="1601"/>
      <c r="K32" s="552" t="s">
        <v>302</v>
      </c>
      <c r="L32" s="553"/>
      <c r="M32" s="2961"/>
      <c r="N32" s="2962"/>
      <c r="O32" s="2961"/>
      <c r="P32" s="2962"/>
      <c r="Q32" s="949"/>
      <c r="R32" s="1612"/>
      <c r="S32" s="1615"/>
      <c r="U32" s="1286" t="s">
        <v>670</v>
      </c>
      <c r="V32" s="1287"/>
      <c r="W32" s="2936"/>
      <c r="X32" s="2937"/>
      <c r="Y32" s="2936"/>
      <c r="Z32" s="2937"/>
      <c r="AA32" s="1285"/>
      <c r="AB32" s="1612"/>
      <c r="AC32" s="1615">
        <f>+Equipement!$G$47</f>
        <v>0</v>
      </c>
      <c r="AF32" s="1680" t="s">
        <v>907</v>
      </c>
      <c r="AG32" t="s">
        <v>873</v>
      </c>
    </row>
    <row r="33" spans="1:33" s="537" customFormat="1" ht="16.5">
      <c r="A33" s="2294" t="str">
        <f>IF('Mode Opératoire'!$I$1="Français",+'Synthèse projet'!K33,'Synthèse projet'!U33)</f>
        <v xml:space="preserve">Informatique </v>
      </c>
      <c r="B33" s="2295"/>
      <c r="C33" s="2296"/>
      <c r="D33" s="2297">
        <f>Informatique!I50</f>
        <v>0</v>
      </c>
      <c r="E33" s="2299"/>
      <c r="F33" s="2297">
        <f>Informatique!I52</f>
        <v>0</v>
      </c>
      <c r="G33" s="949"/>
      <c r="H33" s="2298"/>
      <c r="I33" s="2297">
        <f>Informatique!I23+Informatique!I41</f>
        <v>0</v>
      </c>
      <c r="J33" s="1601"/>
      <c r="K33" s="552" t="s">
        <v>66</v>
      </c>
      <c r="L33" s="553"/>
      <c r="M33" s="2961"/>
      <c r="N33" s="2962"/>
      <c r="O33" s="2963"/>
      <c r="P33" s="2964"/>
      <c r="Q33" s="949"/>
      <c r="R33" s="1612"/>
      <c r="S33" s="1615"/>
      <c r="U33" s="1286" t="s">
        <v>671</v>
      </c>
      <c r="V33" s="1287"/>
      <c r="W33" s="2936"/>
      <c r="X33" s="2937"/>
      <c r="Y33" s="2938"/>
      <c r="Z33" s="2939"/>
      <c r="AA33" s="1285"/>
      <c r="AB33" s="1612"/>
      <c r="AC33" s="1615">
        <f>+Informatique!$I$50-$C$34</f>
        <v>0</v>
      </c>
      <c r="AF33" s="1680" t="s">
        <v>908</v>
      </c>
      <c r="AG33" t="s">
        <v>873</v>
      </c>
    </row>
    <row r="34" spans="1:33" s="537" customFormat="1" ht="16.5">
      <c r="A34" s="2300" t="str">
        <f>IF('Mode Opératoire'!$I$1="Français",+'Synthèse projet'!K34,'Synthèse projet'!U34)</f>
        <v>Immobilisations incorporelles</v>
      </c>
      <c r="B34" s="2301"/>
      <c r="C34" s="2302"/>
      <c r="D34" s="2303">
        <f>Informatique!I51</f>
        <v>0</v>
      </c>
      <c r="E34" s="2299"/>
      <c r="F34" s="2303">
        <f>Informatique!I53</f>
        <v>0</v>
      </c>
      <c r="G34" s="949"/>
      <c r="H34" s="2316"/>
      <c r="I34" s="2303"/>
      <c r="J34" s="1601"/>
      <c r="K34" s="554" t="s">
        <v>303</v>
      </c>
      <c r="L34" s="555"/>
      <c r="M34" s="2955"/>
      <c r="N34" s="2956"/>
      <c r="O34" s="2946"/>
      <c r="P34" s="2947"/>
      <c r="Q34" s="949"/>
      <c r="R34" s="1616"/>
      <c r="S34" s="1617"/>
      <c r="U34" s="1288" t="s">
        <v>672</v>
      </c>
      <c r="V34" s="1289"/>
      <c r="W34" s="2942"/>
      <c r="X34" s="2943"/>
      <c r="Y34" s="2944"/>
      <c r="Z34" s="2945"/>
      <c r="AA34" s="1285"/>
      <c r="AB34" s="1616"/>
      <c r="AC34" s="1617">
        <f>+Informatique!AI36+Informatique!$I$18</f>
        <v>0</v>
      </c>
      <c r="AF34" s="1680" t="s">
        <v>909</v>
      </c>
      <c r="AG34" t="s">
        <v>873</v>
      </c>
    </row>
    <row r="35" spans="1:33" s="537" customFormat="1" ht="16.5">
      <c r="A35" s="2304" t="str">
        <f>IF('Mode Opératoire'!$I$1="Français",+'Synthèse projet'!K35,'Synthèse projet'!U35)</f>
        <v>TOTAL</v>
      </c>
      <c r="B35" s="2305"/>
      <c r="C35" s="2306"/>
      <c r="D35" s="2307">
        <f>SUM(D30:D34)</f>
        <v>0</v>
      </c>
      <c r="E35" s="2308"/>
      <c r="F35" s="2309">
        <f>SUM(F30:F34)</f>
        <v>0</v>
      </c>
      <c r="H35" s="2306"/>
      <c r="I35" s="2307">
        <f>SUM(I30:I34)</f>
        <v>0</v>
      </c>
      <c r="J35" s="1601"/>
      <c r="K35" s="556" t="s">
        <v>1200</v>
      </c>
      <c r="L35" s="546"/>
      <c r="M35" s="2948"/>
      <c r="N35" s="2949"/>
      <c r="O35" s="2948"/>
      <c r="P35" s="2949"/>
      <c r="Q35" s="950">
        <f>SUM(M35:P35)</f>
        <v>0</v>
      </c>
      <c r="R35" s="1618"/>
      <c r="S35" s="1619"/>
      <c r="U35" s="1290" t="s">
        <v>176</v>
      </c>
      <c r="V35" s="1275"/>
      <c r="W35" s="2917"/>
      <c r="X35" s="2918"/>
      <c r="Y35" s="2917"/>
      <c r="Z35" s="2918"/>
      <c r="AB35" s="1618"/>
      <c r="AC35" s="1619">
        <f>SUM(AC30:AC34)</f>
        <v>0</v>
      </c>
      <c r="AF35" s="1680" t="s">
        <v>910</v>
      </c>
      <c r="AG35" t="s">
        <v>873</v>
      </c>
    </row>
    <row r="36" spans="1:33" s="537" customFormat="1" ht="16.5">
      <c r="A36" s="2310" t="str">
        <f>IF('Mode Opératoire'!$I$1="Français",+'Synthèse projet'!K36,'Synthèse projet'!U36)</f>
        <v>TOTAL des Engagements</v>
      </c>
      <c r="B36" s="2311"/>
      <c r="C36" s="2312"/>
      <c r="D36" s="2312"/>
      <c r="E36" s="2313"/>
      <c r="F36" s="2314">
        <f>SUM(C35:F35)</f>
        <v>0</v>
      </c>
      <c r="G36" s="1749"/>
      <c r="H36" s="2317"/>
      <c r="I36" s="2314">
        <f>SUM(F35:I35)</f>
        <v>0</v>
      </c>
      <c r="J36" s="1601"/>
      <c r="K36" s="1746" t="s">
        <v>1201</v>
      </c>
      <c r="L36" s="539"/>
      <c r="M36" s="1744"/>
      <c r="N36" s="1744"/>
      <c r="O36" s="1744"/>
      <c r="P36" s="1744"/>
      <c r="Q36" s="1745"/>
      <c r="S36" s="950"/>
      <c r="U36" s="1747" t="s">
        <v>1202</v>
      </c>
      <c r="V36" s="1263"/>
      <c r="W36" s="1748"/>
      <c r="X36" s="1748"/>
      <c r="Y36" s="1748"/>
      <c r="Z36" s="1291"/>
      <c r="AA36" s="1748"/>
      <c r="AC36" s="950">
        <f>SUM(Z35:AC35)</f>
        <v>0</v>
      </c>
      <c r="AF36" s="1680" t="s">
        <v>1249</v>
      </c>
      <c r="AG36" t="s">
        <v>874</v>
      </c>
    </row>
    <row r="37" spans="1:33" s="537" customFormat="1" ht="13.5">
      <c r="A37" s="557"/>
      <c r="B37" s="557"/>
      <c r="C37" s="558"/>
      <c r="D37" s="557"/>
      <c r="E37" s="559"/>
      <c r="F37" s="559"/>
      <c r="G37" s="557"/>
      <c r="H37" s="557"/>
      <c r="I37" s="539"/>
      <c r="J37" s="1194"/>
      <c r="K37" s="557"/>
      <c r="L37" s="557"/>
      <c r="M37" s="558"/>
      <c r="N37" s="557"/>
      <c r="O37" s="559"/>
      <c r="P37" s="559"/>
      <c r="Q37" s="557"/>
      <c r="R37" s="557"/>
      <c r="S37" s="539"/>
      <c r="T37" s="539"/>
      <c r="U37" s="1256"/>
      <c r="V37" s="1256"/>
      <c r="W37" s="1292"/>
      <c r="X37" s="1256"/>
      <c r="Y37" s="1293"/>
      <c r="Z37" s="1293"/>
      <c r="AA37" s="1256"/>
      <c r="AB37" s="1256"/>
      <c r="AC37" s="1263"/>
      <c r="AF37" s="1680" t="s">
        <v>1250</v>
      </c>
      <c r="AG37" s="1681" t="s">
        <v>875</v>
      </c>
    </row>
    <row r="38" spans="1:33" s="537" customFormat="1" ht="15.75">
      <c r="A38" s="560" t="str">
        <f>IF('Mode Opératoire'!$I$1="Français",+'Synthèse projet'!K38,'Synthèse projet'!U38)</f>
        <v>Principaux indicateurs financiers</v>
      </c>
      <c r="B38" s="561"/>
      <c r="C38" s="561"/>
      <c r="D38" s="561"/>
      <c r="E38" s="561"/>
      <c r="F38" s="561"/>
      <c r="G38" s="561"/>
      <c r="H38" s="562"/>
      <c r="I38" s="584"/>
      <c r="J38" s="1586"/>
      <c r="K38" s="560" t="s">
        <v>304</v>
      </c>
      <c r="L38" s="561"/>
      <c r="M38" s="561"/>
      <c r="N38" s="561"/>
      <c r="O38" s="561"/>
      <c r="P38" s="561"/>
      <c r="Q38" s="561"/>
      <c r="R38" s="562"/>
      <c r="S38" s="584"/>
      <c r="T38" s="562"/>
      <c r="U38" s="1294" t="s">
        <v>673</v>
      </c>
      <c r="V38" s="1295"/>
      <c r="W38" s="1295"/>
      <c r="X38" s="1295"/>
      <c r="Y38" s="1295"/>
      <c r="Z38" s="1295"/>
      <c r="AA38" s="1295"/>
      <c r="AB38" s="1296"/>
      <c r="AC38" s="1297"/>
    </row>
    <row r="39" spans="1:33" s="557" customFormat="1" ht="16.5" customHeight="1">
      <c r="A39" s="2329" t="str">
        <f>IF('Mode Opératoire'!$I$1="Français",+'Synthèse projet'!K39,'Synthèse projet'!U39)</f>
        <v>Rotation CE</v>
      </c>
      <c r="B39" s="2330" t="e">
        <f>MAX(Financier!D103:I103)</f>
        <v>#REF!</v>
      </c>
      <c r="C39" s="2329" t="s">
        <v>61</v>
      </c>
      <c r="D39" s="2331" t="e">
        <f>MAX(Financier!D104:I104)</f>
        <v>#REF!</v>
      </c>
      <c r="E39" s="2329" t="s">
        <v>62</v>
      </c>
      <c r="F39" s="2332" t="e">
        <f>MAX(Financier!D125:N125)</f>
        <v>#REF!</v>
      </c>
      <c r="G39" s="2333" t="str">
        <f>IF('Mode Opératoire'!$I$1="Français",+'Synthèse projet'!Q39,'Synthèse projet'!AA39)</f>
        <v>Délai de retour</v>
      </c>
      <c r="H39" s="2334"/>
      <c r="I39" s="2335" t="e">
        <f>SUM(Financier!D126:I126)</f>
        <v>#REF!</v>
      </c>
      <c r="J39" s="1587"/>
      <c r="K39" s="563" t="s">
        <v>552</v>
      </c>
      <c r="L39" s="564" t="e">
        <f>MAX(Financier!N103:S103)</f>
        <v>#REF!</v>
      </c>
      <c r="M39" s="563" t="s">
        <v>61</v>
      </c>
      <c r="N39" s="564" t="e">
        <f>MAX(Financier!N104:S104)</f>
        <v>#REF!</v>
      </c>
      <c r="O39" s="563" t="s">
        <v>62</v>
      </c>
      <c r="P39" s="565" t="e">
        <f>MAX(Financier!N125:S125)</f>
        <v>#REF!</v>
      </c>
      <c r="Q39" s="566" t="s">
        <v>37</v>
      </c>
      <c r="R39" s="567"/>
      <c r="S39" s="1089" t="e">
        <f>SUM(Financier!N126:S126)</f>
        <v>#REF!</v>
      </c>
      <c r="T39" s="1785"/>
      <c r="U39" s="1298" t="s">
        <v>552</v>
      </c>
      <c r="V39" s="1299">
        <f>MAX(Financier!W103:AB103)</f>
        <v>0</v>
      </c>
      <c r="W39" s="1298" t="s">
        <v>61</v>
      </c>
      <c r="X39" s="1299">
        <f>MAX(Financier!W104:AB104)</f>
        <v>0</v>
      </c>
      <c r="Y39" s="1298" t="s">
        <v>62</v>
      </c>
      <c r="Z39" s="1300">
        <f>MAX(Financier!W125:AB125)</f>
        <v>0</v>
      </c>
      <c r="AA39" s="1301" t="s">
        <v>674</v>
      </c>
      <c r="AB39" s="1302"/>
      <c r="AC39" s="1303">
        <f>SUM(Financier!W126:AB126)</f>
        <v>0</v>
      </c>
      <c r="AF39" s="537" t="s">
        <v>1060</v>
      </c>
      <c r="AG39" s="537"/>
    </row>
    <row r="40" spans="1:33" s="537" customFormat="1" ht="15.75" customHeight="1">
      <c r="A40" s="2907"/>
      <c r="B40" s="2908"/>
      <c r="C40" s="2908"/>
      <c r="D40" s="2908"/>
      <c r="E40" s="568">
        <f>+'Cpte exploitation 1+2+3'!D13</f>
        <v>2014</v>
      </c>
      <c r="F40" s="568">
        <f>+'Cpte exploitation 1+2+3'!E13</f>
        <v>2015</v>
      </c>
      <c r="G40" s="568">
        <f>+'Cpte exploitation 1+2+3'!F13</f>
        <v>2016</v>
      </c>
      <c r="H40" s="568">
        <f>+'Cpte exploitation 1+2+3'!G13</f>
        <v>2017</v>
      </c>
      <c r="I40" s="2272">
        <f>+'Cpte exploitation 1+2+3'!H13</f>
        <v>2018</v>
      </c>
      <c r="J40" s="1588"/>
      <c r="K40" s="2907"/>
      <c r="L40" s="2908"/>
      <c r="M40" s="2908"/>
      <c r="N40" s="2908"/>
      <c r="O40" s="568">
        <f>+'Cpte exploitation 1+2+3'!M13</f>
        <v>0</v>
      </c>
      <c r="P40" s="568" t="str">
        <f>+'Cpte exploitation 1+2+3'!N13</f>
        <v>Year 1</v>
      </c>
      <c r="Q40" s="568" t="str">
        <f>+'Cpte exploitation 1+2+3'!O13</f>
        <v>Year 2</v>
      </c>
      <c r="R40" s="568" t="str">
        <f>+'Cpte exploitation 1+2+3'!P13</f>
        <v>Year 3</v>
      </c>
      <c r="S40" s="568" t="str">
        <f>+'Cpte exploitation 1+2+3'!Q13</f>
        <v>Year 4</v>
      </c>
      <c r="T40" s="1786"/>
      <c r="U40" s="2919"/>
      <c r="V40" s="2920"/>
      <c r="W40" s="2920"/>
      <c r="X40" s="2920"/>
      <c r="Y40" s="1304" t="str">
        <f>+'Cpte exploitation 1+2+3'!V13</f>
        <v>Change in this spreadsheet the fisrt year of the Business Plan if necessary. This will impact all spreadsheets</v>
      </c>
      <c r="Z40" s="1304">
        <f>+'Cpte exploitation 1+2+3'!W13</f>
        <v>0</v>
      </c>
      <c r="AA40" s="1304">
        <f>+'Cpte exploitation 1+2+3'!X13</f>
        <v>0</v>
      </c>
      <c r="AB40" s="1304">
        <f>+'Cpte exploitation 1+2+3'!Y13</f>
        <v>0</v>
      </c>
      <c r="AC40" s="1304">
        <f>+'Cpte exploitation 1+2+3'!Z13</f>
        <v>0</v>
      </c>
      <c r="AF40" s="537" t="s">
        <v>890</v>
      </c>
    </row>
    <row r="41" spans="1:33" s="537" customFormat="1" ht="15.75" customHeight="1">
      <c r="A41" s="2986" t="str">
        <f>IF('Mode Opératoire'!$I$1="Français",+'Synthèse projet'!K41,'Synthèse projet'!U41)</f>
        <v>Evolution des ventes</v>
      </c>
      <c r="B41" s="2987">
        <f>IF('Mode Opératoire'!$I$1="Français",+'Synthèse projet'!L41,'Synthèse projet'!V41)</f>
        <v>0</v>
      </c>
      <c r="C41" s="2987">
        <f>IF('Mode Opératoire'!$I$1="Français",+'Synthèse projet'!M41,'Synthèse projet'!W41)</f>
        <v>0</v>
      </c>
      <c r="D41" s="2318" t="s">
        <v>4</v>
      </c>
      <c r="E41" s="2319" t="e">
        <f>+'Cpte exploitation 1+2+3'!D19</f>
        <v>#REF!</v>
      </c>
      <c r="F41" s="2319" t="e">
        <f>+'Cpte exploitation 1+2+3'!E19</f>
        <v>#REF!</v>
      </c>
      <c r="G41" s="2319" t="e">
        <f>+'Cpte exploitation 1+2+3'!F19</f>
        <v>#REF!</v>
      </c>
      <c r="H41" s="2319" t="e">
        <f>+'Cpte exploitation 1+2+3'!G19</f>
        <v>#REF!</v>
      </c>
      <c r="I41" s="2320" t="e">
        <f>+'Cpte exploitation 1+2+3'!H19</f>
        <v>#REF!</v>
      </c>
      <c r="J41" s="1589"/>
      <c r="K41" s="2950" t="s">
        <v>305</v>
      </c>
      <c r="L41" s="2951"/>
      <c r="M41" s="2951"/>
      <c r="N41" s="569" t="s">
        <v>4</v>
      </c>
      <c r="O41" s="1130"/>
      <c r="P41" s="1130"/>
      <c r="Q41" s="1130"/>
      <c r="R41" s="1130"/>
      <c r="S41" s="1131"/>
      <c r="T41" s="1787"/>
      <c r="U41" s="2921" t="s">
        <v>799</v>
      </c>
      <c r="V41" s="2922"/>
      <c r="W41" s="2922"/>
      <c r="X41" s="1305"/>
      <c r="Y41" s="1306"/>
      <c r="Z41" s="1306"/>
      <c r="AA41" s="1306"/>
      <c r="AB41" s="1306"/>
      <c r="AC41" s="1307"/>
      <c r="AF41" s="537" t="s">
        <v>891</v>
      </c>
    </row>
    <row r="42" spans="1:33" s="571" customFormat="1" ht="16.5">
      <c r="A42" s="2901" t="str">
        <f>IF('Mode Opératoire'!$I$1="Français",+'Synthèse projet'!K42,'Synthèse projet'!U42)</f>
        <v>Marge commerciale (% des ventes)</v>
      </c>
      <c r="B42" s="2902">
        <f>IF('Mode Opératoire'!$I$1="Français",+'Synthèse projet'!L42,'Synthèse projet'!V42)</f>
        <v>0</v>
      </c>
      <c r="C42" s="2902">
        <f>IF('Mode Opératoire'!$I$1="Français",+'Synthèse projet'!M42,'Synthèse projet'!W42)</f>
        <v>0</v>
      </c>
      <c r="D42" s="2321" t="s">
        <v>63</v>
      </c>
      <c r="E42" s="2322" t="e">
        <f>+'Cpte exploitation 1+2+3'!D26</f>
        <v>#REF!</v>
      </c>
      <c r="F42" s="2322" t="e">
        <f>+'Cpte exploitation 1+2+3'!E26</f>
        <v>#REF!</v>
      </c>
      <c r="G42" s="2322" t="e">
        <f>+'Cpte exploitation 1+2+3'!F26</f>
        <v>#REF!</v>
      </c>
      <c r="H42" s="2322" t="e">
        <f>+'Cpte exploitation 1+2+3'!G26</f>
        <v>#REF!</v>
      </c>
      <c r="I42" s="2323" t="e">
        <f>+'Cpte exploitation 1+2+3'!H26</f>
        <v>#REF!</v>
      </c>
      <c r="J42" s="1590"/>
      <c r="K42" s="2957" t="s">
        <v>1036</v>
      </c>
      <c r="L42" s="2958"/>
      <c r="M42" s="2958"/>
      <c r="N42" s="570" t="s">
        <v>63</v>
      </c>
      <c r="O42" s="1132"/>
      <c r="P42" s="1132"/>
      <c r="Q42" s="1132"/>
      <c r="R42" s="1132"/>
      <c r="S42" s="1133"/>
      <c r="T42" s="1788"/>
      <c r="U42" s="2913" t="s">
        <v>675</v>
      </c>
      <c r="V42" s="2914"/>
      <c r="W42" s="2914"/>
      <c r="X42" s="1308"/>
      <c r="Y42" s="1309"/>
      <c r="Z42" s="1309"/>
      <c r="AA42" s="1309"/>
      <c r="AB42" s="1309"/>
      <c r="AC42" s="1310"/>
      <c r="AF42" s="537" t="s">
        <v>892</v>
      </c>
      <c r="AG42" s="537"/>
    </row>
    <row r="43" spans="1:33" s="571" customFormat="1" ht="16.5">
      <c r="A43" s="2901" t="str">
        <f>IF('Mode Opératoire'!$I$1="Français",+'Synthèse projet'!K43,'Synthèse projet'!U43)</f>
        <v>Taux de résultat d'activité</v>
      </c>
      <c r="B43" s="2902">
        <f>IF('Mode Opératoire'!$I$1="Français",+'Synthèse projet'!L43,'Synthèse projet'!V43)</f>
        <v>0</v>
      </c>
      <c r="C43" s="2902">
        <f>IF('Mode Opératoire'!$I$1="Français",+'Synthèse projet'!M43,'Synthèse projet'!W43)</f>
        <v>0</v>
      </c>
      <c r="D43" s="2321" t="s">
        <v>63</v>
      </c>
      <c r="E43" s="2322" t="e">
        <f>+'Cpte exploitation 1+2+3'!D59</f>
        <v>#REF!</v>
      </c>
      <c r="F43" s="2322" t="e">
        <f>+'Cpte exploitation 1+2+3'!E59</f>
        <v>#REF!</v>
      </c>
      <c r="G43" s="2322" t="e">
        <f>+'Cpte exploitation 1+2+3'!F59</f>
        <v>#REF!</v>
      </c>
      <c r="H43" s="2322" t="e">
        <f>+'Cpte exploitation 1+2+3'!G59</f>
        <v>#REF!</v>
      </c>
      <c r="I43" s="2323" t="e">
        <f>+'Cpte exploitation 1+2+3'!H59</f>
        <v>#REF!</v>
      </c>
      <c r="J43" s="1590"/>
      <c r="K43" s="2957" t="s">
        <v>306</v>
      </c>
      <c r="L43" s="2958"/>
      <c r="M43" s="2958"/>
      <c r="N43" s="570" t="s">
        <v>63</v>
      </c>
      <c r="O43" s="1132"/>
      <c r="P43" s="1132"/>
      <c r="Q43" s="1132"/>
      <c r="R43" s="1132"/>
      <c r="S43" s="1133"/>
      <c r="T43" s="1788"/>
      <c r="U43" s="2913" t="s">
        <v>676</v>
      </c>
      <c r="V43" s="2914"/>
      <c r="W43" s="2914"/>
      <c r="X43" s="1308"/>
      <c r="Y43" s="1309"/>
      <c r="Z43" s="1309"/>
      <c r="AA43" s="1309"/>
      <c r="AB43" s="1309"/>
      <c r="AC43" s="1310"/>
      <c r="AF43" s="537"/>
      <c r="AG43" s="537"/>
    </row>
    <row r="44" spans="1:33" s="537" customFormat="1" ht="15.75" customHeight="1">
      <c r="A44" s="2903" t="str">
        <f>IF('Mode Opératoire'!$I$1="Français",+'Synthèse projet'!K44,'Synthèse projet'!U44)</f>
        <v>Résultat Opérationel Courant</v>
      </c>
      <c r="B44" s="2904">
        <f>IF('Mode Opératoire'!$I$1="Français",+'Synthèse projet'!L44,'Synthèse projet'!V44)</f>
        <v>0</v>
      </c>
      <c r="C44" s="2904">
        <f>IF('Mode Opératoire'!$I$1="Français",+'Synthèse projet'!M44,'Synthèse projet'!W44)</f>
        <v>0</v>
      </c>
      <c r="D44" s="2321" t="s">
        <v>4</v>
      </c>
      <c r="E44" s="2319" t="e">
        <f>+'Cpte exploitation 1+2+3'!D64</f>
        <v>#REF!</v>
      </c>
      <c r="F44" s="2319" t="e">
        <f>+'Cpte exploitation 1+2+3'!E64</f>
        <v>#REF!</v>
      </c>
      <c r="G44" s="2319" t="e">
        <f>+'Cpte exploitation 1+2+3'!F64</f>
        <v>#REF!</v>
      </c>
      <c r="H44" s="2319" t="e">
        <f>+'Cpte exploitation 1+2+3'!G64</f>
        <v>#REF!</v>
      </c>
      <c r="I44" s="2320" t="e">
        <f>+'Cpte exploitation 1+2+3'!H64</f>
        <v>#REF!</v>
      </c>
      <c r="J44" s="1589"/>
      <c r="K44" s="2959" t="s">
        <v>307</v>
      </c>
      <c r="L44" s="2960"/>
      <c r="M44" s="2960"/>
      <c r="N44" s="570" t="s">
        <v>4</v>
      </c>
      <c r="O44" s="1130"/>
      <c r="P44" s="1130"/>
      <c r="Q44" s="1130"/>
      <c r="R44" s="1130"/>
      <c r="S44" s="1131"/>
      <c r="T44" s="1787"/>
      <c r="U44" s="2915" t="s">
        <v>677</v>
      </c>
      <c r="V44" s="2916"/>
      <c r="W44" s="2916"/>
      <c r="X44" s="1308"/>
      <c r="Y44" s="1306"/>
      <c r="Z44" s="1306"/>
      <c r="AA44" s="1306"/>
      <c r="AB44" s="1306"/>
      <c r="AC44" s="1307"/>
    </row>
    <row r="45" spans="1:33" s="537" customFormat="1" ht="15.75" customHeight="1">
      <c r="A45" s="2901" t="str">
        <f>IF('Mode Opératoire'!$I$1="Français",+'Synthèse projet'!K45,'Synthèse projet'!U45)</f>
        <v>Taux de ROC</v>
      </c>
      <c r="B45" s="2902">
        <f>IF('Mode Opératoire'!$I$1="Français",+'Synthèse projet'!L45,'Synthèse projet'!V45)</f>
        <v>0</v>
      </c>
      <c r="C45" s="2902">
        <f>IF('Mode Opératoire'!$I$1="Français",+'Synthèse projet'!M45,'Synthèse projet'!W45)</f>
        <v>0</v>
      </c>
      <c r="D45" s="2321" t="s">
        <v>63</v>
      </c>
      <c r="E45" s="2322" t="e">
        <f>+'Cpte exploitation 1+2+3'!D65</f>
        <v>#REF!</v>
      </c>
      <c r="F45" s="2322" t="e">
        <f>+'Cpte exploitation 1+2+3'!E65</f>
        <v>#REF!</v>
      </c>
      <c r="G45" s="2322" t="e">
        <f>+'Cpte exploitation 1+2+3'!F65</f>
        <v>#REF!</v>
      </c>
      <c r="H45" s="2322" t="e">
        <f>+'Cpte exploitation 1+2+3'!G65</f>
        <v>#REF!</v>
      </c>
      <c r="I45" s="2323" t="e">
        <f>+'Cpte exploitation 1+2+3'!H65</f>
        <v>#REF!</v>
      </c>
      <c r="J45" s="1589"/>
      <c r="K45" s="2957" t="s">
        <v>937</v>
      </c>
      <c r="L45" s="2958"/>
      <c r="M45" s="2958"/>
      <c r="N45" s="1684" t="s">
        <v>63</v>
      </c>
      <c r="O45" s="1685"/>
      <c r="P45" s="1685"/>
      <c r="Q45" s="1685"/>
      <c r="R45" s="1685"/>
      <c r="S45" s="1686"/>
      <c r="T45" s="1787"/>
      <c r="U45" s="2913" t="s">
        <v>938</v>
      </c>
      <c r="V45" s="2914"/>
      <c r="W45" s="2914"/>
      <c r="X45" s="1687"/>
      <c r="Y45" s="1688"/>
      <c r="Z45" s="1688"/>
      <c r="AA45" s="1688"/>
      <c r="AB45" s="1688"/>
      <c r="AC45" s="1689"/>
    </row>
    <row r="46" spans="1:33" s="537" customFormat="1" ht="15.75" customHeight="1">
      <c r="A46" s="2903" t="str">
        <f>IF('Mode Opératoire'!$I$1="Français",+'Synthèse projet'!K46,'Synthèse projet'!U46)</f>
        <v xml:space="preserve">Résultat Net  </v>
      </c>
      <c r="B46" s="2904">
        <f>IF('Mode Opératoire'!$I$1="Français",+'Synthèse projet'!L46,'Synthèse projet'!V46)</f>
        <v>0</v>
      </c>
      <c r="C46" s="2904">
        <f>IF('Mode Opératoire'!$I$1="Français",+'Synthèse projet'!M46,'Synthèse projet'!W46)</f>
        <v>0</v>
      </c>
      <c r="D46" s="2321" t="s">
        <v>4</v>
      </c>
      <c r="E46" s="2319" t="e">
        <f>Financier!D66</f>
        <v>#REF!</v>
      </c>
      <c r="F46" s="2319" t="e">
        <f>Financier!E66</f>
        <v>#REF!</v>
      </c>
      <c r="G46" s="2319" t="e">
        <f>Financier!F66</f>
        <v>#REF!</v>
      </c>
      <c r="H46" s="2319" t="e">
        <f>Financier!G66</f>
        <v>#REF!</v>
      </c>
      <c r="I46" s="2320" t="e">
        <f>Financier!H66</f>
        <v>#REF!</v>
      </c>
      <c r="J46" s="1589"/>
      <c r="K46" s="2959" t="s">
        <v>1035</v>
      </c>
      <c r="L46" s="2960"/>
      <c r="M46" s="2960"/>
      <c r="N46" s="570" t="s">
        <v>4</v>
      </c>
      <c r="O46" s="1685"/>
      <c r="P46" s="1685"/>
      <c r="Q46" s="1685"/>
      <c r="R46" s="1685"/>
      <c r="S46" s="1686"/>
      <c r="T46" s="1787"/>
      <c r="U46" s="2915" t="s">
        <v>982</v>
      </c>
      <c r="V46" s="2916"/>
      <c r="W46" s="2916"/>
      <c r="X46" s="1308"/>
      <c r="Y46" s="1688"/>
      <c r="Z46" s="1688"/>
      <c r="AA46" s="1688"/>
      <c r="AB46" s="1688"/>
      <c r="AC46" s="1689"/>
    </row>
    <row r="47" spans="1:33" s="537" customFormat="1" ht="15.75" customHeight="1">
      <c r="A47" s="2901" t="str">
        <f>IF('Mode Opératoire'!$I$1="Français",+'Synthèse projet'!K47,'Synthèse projet'!U47)</f>
        <v>Taux de RN</v>
      </c>
      <c r="B47" s="2902">
        <f>IF('Mode Opératoire'!$I$1="Français",+'Synthèse projet'!L47,'Synthèse projet'!V47)</f>
        <v>0</v>
      </c>
      <c r="C47" s="2902">
        <f>IF('Mode Opératoire'!$I$1="Français",+'Synthèse projet'!M47,'Synthèse projet'!W47)</f>
        <v>0</v>
      </c>
      <c r="D47" s="2321" t="s">
        <v>63</v>
      </c>
      <c r="E47" s="2322" t="e">
        <f>Financier!D67</f>
        <v>#REF!</v>
      </c>
      <c r="F47" s="2322" t="e">
        <f>Financier!E67</f>
        <v>#REF!</v>
      </c>
      <c r="G47" s="2322" t="e">
        <f>Financier!F67</f>
        <v>#REF!</v>
      </c>
      <c r="H47" s="2322" t="e">
        <f>Financier!G67</f>
        <v>#REF!</v>
      </c>
      <c r="I47" s="2323" t="e">
        <f>Financier!H67</f>
        <v>#REF!</v>
      </c>
      <c r="J47" s="1589"/>
      <c r="K47" s="2957" t="s">
        <v>980</v>
      </c>
      <c r="L47" s="2958"/>
      <c r="M47" s="2958"/>
      <c r="N47" s="1684" t="s">
        <v>63</v>
      </c>
      <c r="O47" s="1685"/>
      <c r="P47" s="1685"/>
      <c r="Q47" s="1685"/>
      <c r="R47" s="1685"/>
      <c r="S47" s="1686"/>
      <c r="T47" s="1787"/>
      <c r="U47" s="2913" t="s">
        <v>981</v>
      </c>
      <c r="V47" s="2914"/>
      <c r="W47" s="2914"/>
      <c r="X47" s="1687"/>
      <c r="Y47" s="1688"/>
      <c r="Z47" s="1688"/>
      <c r="AA47" s="1688"/>
      <c r="AB47" s="1688"/>
      <c r="AC47" s="1689"/>
    </row>
    <row r="48" spans="1:33" s="537" customFormat="1" ht="15.75" customHeight="1">
      <c r="A48" s="2903" t="str">
        <f>IF('Mode Opératoire'!$I$1="Français",+'Synthèse projet'!K48,'Synthèse projet'!U48)</f>
        <v>EBITDA</v>
      </c>
      <c r="B48" s="2904">
        <f>IF('Mode Opératoire'!$I$1="Français",+'Synthèse projet'!L48,'Synthèse projet'!V48)</f>
        <v>0</v>
      </c>
      <c r="C48" s="2904">
        <f>IF('Mode Opératoire'!$I$1="Français",+'Synthèse projet'!M48,'Synthèse projet'!W48)</f>
        <v>0</v>
      </c>
      <c r="D48" s="2321" t="s">
        <v>4</v>
      </c>
      <c r="E48" s="2319" t="e">
        <f>+Financier!D69</f>
        <v>#REF!</v>
      </c>
      <c r="F48" s="2319" t="e">
        <f>+Financier!E69</f>
        <v>#REF!</v>
      </c>
      <c r="G48" s="2319" t="e">
        <f>+Financier!F69</f>
        <v>#REF!</v>
      </c>
      <c r="H48" s="2319" t="e">
        <f>+Financier!G69</f>
        <v>#REF!</v>
      </c>
      <c r="I48" s="2320" t="e">
        <f>+Financier!H69</f>
        <v>#REF!</v>
      </c>
      <c r="J48" s="1589"/>
      <c r="K48" s="1690" t="s">
        <v>943</v>
      </c>
      <c r="L48" s="1691"/>
      <c r="M48" s="1691"/>
      <c r="N48" s="570" t="s">
        <v>4</v>
      </c>
      <c r="O48" s="1685"/>
      <c r="P48" s="1685"/>
      <c r="Q48" s="1685"/>
      <c r="R48" s="1685"/>
      <c r="S48" s="1686"/>
      <c r="T48" s="1787"/>
      <c r="U48" s="1692" t="s">
        <v>943</v>
      </c>
      <c r="V48" s="1693"/>
      <c r="W48" s="1693"/>
      <c r="X48" s="1687" t="s">
        <v>4</v>
      </c>
      <c r="Y48" s="1688"/>
      <c r="Z48" s="1688"/>
      <c r="AA48" s="1688"/>
      <c r="AB48" s="1688"/>
      <c r="AC48" s="1689"/>
    </row>
    <row r="49" spans="1:33" s="537" customFormat="1" ht="15.75" customHeight="1">
      <c r="A49" s="2901" t="str">
        <f>IF('Mode Opératoire'!$I$1="Français",+'Synthèse projet'!K49,'Synthèse projet'!U49)</f>
        <v>Taux EBITDA</v>
      </c>
      <c r="B49" s="2902">
        <f>IF('Mode Opératoire'!$I$1="Français",+'Synthèse projet'!L49,'Synthèse projet'!V49)</f>
        <v>0</v>
      </c>
      <c r="C49" s="2902">
        <f>IF('Mode Opératoire'!$I$1="Français",+'Synthèse projet'!M49,'Synthèse projet'!W49)</f>
        <v>0</v>
      </c>
      <c r="D49" s="2321" t="s">
        <v>63</v>
      </c>
      <c r="E49" s="2324" t="e">
        <f>+Financier!D70</f>
        <v>#REF!</v>
      </c>
      <c r="F49" s="2324" t="e">
        <f>+Financier!E70</f>
        <v>#REF!</v>
      </c>
      <c r="G49" s="2324" t="e">
        <f>+Financier!F70</f>
        <v>#REF!</v>
      </c>
      <c r="H49" s="2324" t="e">
        <f>+Financier!G70</f>
        <v>#REF!</v>
      </c>
      <c r="I49" s="2325" t="e">
        <f>+Financier!H70</f>
        <v>#REF!</v>
      </c>
      <c r="J49" s="1589"/>
      <c r="K49" s="1690" t="s">
        <v>946</v>
      </c>
      <c r="L49" s="1691"/>
      <c r="M49" s="1691"/>
      <c r="N49" s="1684" t="s">
        <v>63</v>
      </c>
      <c r="O49" s="1685"/>
      <c r="P49" s="1685"/>
      <c r="Q49" s="1685"/>
      <c r="R49" s="1685"/>
      <c r="S49" s="1686"/>
      <c r="T49" s="1787"/>
      <c r="U49" s="1692" t="s">
        <v>947</v>
      </c>
      <c r="V49" s="1693"/>
      <c r="W49" s="1693"/>
      <c r="X49" s="1687" t="s">
        <v>63</v>
      </c>
      <c r="Y49" s="1688"/>
      <c r="Z49" s="1688"/>
      <c r="AA49" s="1688"/>
      <c r="AB49" s="1688"/>
      <c r="AC49" s="1689"/>
    </row>
    <row r="50" spans="1:33" s="537" customFormat="1" ht="15.75" customHeight="1">
      <c r="A50" s="2905" t="str">
        <f>IF('Mode Opératoire'!$I$1="Français",+'Synthèse projet'!K50,'Synthèse projet'!U50)</f>
        <v>Evolution de l’effectif opérationnel (fin d'année)</v>
      </c>
      <c r="B50" s="2906">
        <f>IF('Mode Opératoire'!$I$1="Français",+'Synthèse projet'!L50,'Synthèse projet'!V50)</f>
        <v>0</v>
      </c>
      <c r="C50" s="2906">
        <f>IF('Mode Opératoire'!$I$1="Français",+'Synthèse projet'!M50,'Synthèse projet'!W50)</f>
        <v>0</v>
      </c>
      <c r="D50" s="2326" t="s">
        <v>64</v>
      </c>
      <c r="E50" s="2327">
        <f>+'Cpte exploitation 1+2+3'!D71</f>
        <v>0</v>
      </c>
      <c r="F50" s="2327">
        <f>+'Cpte exploitation 1+2+3'!E71</f>
        <v>0</v>
      </c>
      <c r="G50" s="2327">
        <f>+'Cpte exploitation 1+2+3'!F71</f>
        <v>0</v>
      </c>
      <c r="H50" s="2327">
        <f>+'Cpte exploitation 1+2+3'!G71</f>
        <v>0</v>
      </c>
      <c r="I50" s="2328">
        <f>+'Cpte exploitation 1+2+3'!H71</f>
        <v>0</v>
      </c>
      <c r="J50" s="1589"/>
      <c r="K50" s="2953" t="s">
        <v>308</v>
      </c>
      <c r="L50" s="2954"/>
      <c r="M50" s="2954"/>
      <c r="N50" s="572" t="s">
        <v>64</v>
      </c>
      <c r="O50" s="1134"/>
      <c r="P50" s="1134"/>
      <c r="Q50" s="1134"/>
      <c r="R50" s="1134"/>
      <c r="S50" s="1135"/>
      <c r="T50" s="1789"/>
      <c r="U50" s="2940" t="s">
        <v>818</v>
      </c>
      <c r="V50" s="2941"/>
      <c r="W50" s="2941"/>
      <c r="X50" s="1311"/>
      <c r="Y50" s="1312"/>
      <c r="Z50" s="1312"/>
      <c r="AA50" s="1312"/>
      <c r="AB50" s="1312"/>
      <c r="AC50" s="1313"/>
    </row>
    <row r="51" spans="1:33" s="537" customFormat="1" ht="15.75" customHeight="1">
      <c r="A51" s="2336" t="str">
        <f>IF('Mode Opératoire'!$I$1="Français",+'Synthèse projet'!K51,'Synthèse projet'!U51)</f>
        <v>Date de livraison</v>
      </c>
      <c r="B51" s="2337"/>
      <c r="C51" s="2338" t="s">
        <v>280</v>
      </c>
      <c r="D51" s="2339"/>
      <c r="E51" s="2340" t="str">
        <f>IF('Mode Opératoire'!$I$1="Français",+'Synthèse projet'!O51,'Synthèse projet'!Y51)</f>
        <v>Date de mise en service</v>
      </c>
      <c r="F51" s="2341"/>
      <c r="G51" s="2342"/>
      <c r="H51" s="2343"/>
      <c r="I51" s="2338" t="s">
        <v>280</v>
      </c>
      <c r="J51" s="1591"/>
      <c r="K51" s="1141" t="s">
        <v>309</v>
      </c>
      <c r="L51" s="1142"/>
      <c r="M51" s="1140" t="s">
        <v>280</v>
      </c>
      <c r="N51" s="546"/>
      <c r="O51" s="1136" t="s">
        <v>74</v>
      </c>
      <c r="P51" s="1137"/>
      <c r="Q51" s="1138"/>
      <c r="R51" s="1139"/>
      <c r="S51" s="1140" t="s">
        <v>280</v>
      </c>
      <c r="T51" s="1790"/>
      <c r="U51" s="1314" t="s">
        <v>678</v>
      </c>
      <c r="V51" s="1315"/>
      <c r="W51" s="1316" t="s">
        <v>280</v>
      </c>
      <c r="X51" s="1275"/>
      <c r="Y51" s="1317" t="s">
        <v>830</v>
      </c>
      <c r="Z51" s="1318"/>
      <c r="AA51" s="1319"/>
      <c r="AB51" s="1320"/>
      <c r="AC51" s="1316" t="s">
        <v>280</v>
      </c>
    </row>
    <row r="52" spans="1:33" s="537" customFormat="1" ht="5.25" customHeight="1">
      <c r="A52" s="573"/>
      <c r="B52" s="574"/>
      <c r="C52" s="573"/>
      <c r="D52" s="557"/>
      <c r="E52" s="575"/>
      <c r="F52" s="576"/>
      <c r="G52" s="577"/>
      <c r="H52" s="578"/>
      <c r="I52" s="578"/>
      <c r="J52" s="1592"/>
      <c r="K52" s="573"/>
      <c r="L52" s="574"/>
      <c r="M52" s="573"/>
      <c r="N52" s="557"/>
      <c r="O52" s="575"/>
      <c r="P52" s="576"/>
      <c r="Q52" s="577"/>
      <c r="R52" s="578"/>
      <c r="S52" s="578"/>
      <c r="T52" s="578"/>
      <c r="U52" s="1321"/>
      <c r="V52" s="1322"/>
      <c r="W52" s="1321"/>
      <c r="X52" s="1256"/>
      <c r="Y52" s="1323"/>
      <c r="Z52" s="1324"/>
      <c r="AA52" s="1325"/>
      <c r="AB52" s="1326"/>
      <c r="AC52" s="1326"/>
    </row>
    <row r="53" spans="1:33" s="537" customFormat="1" ht="15.75" customHeight="1">
      <c r="A53" s="2976" t="str">
        <f>IF('Mode Opératoire'!$I$1="Français",+'Synthèse projet'!K53,'Synthèse projet'!U53)</f>
        <v xml:space="preserve">Mode de Financement : </v>
      </c>
      <c r="B53" s="2977"/>
      <c r="C53" s="2978" t="s">
        <v>1391</v>
      </c>
      <c r="D53" s="2979"/>
      <c r="E53" s="2344"/>
      <c r="F53" s="2344"/>
      <c r="G53" s="2344"/>
      <c r="H53" s="2345" t="str">
        <f>IF('Mode Opératoire'!$I$1="Français",+'Synthèse projet'!R53,'Synthèse projet'!AB53)</f>
        <v>Consolidant</v>
      </c>
      <c r="I53" s="2346" t="s">
        <v>1392</v>
      </c>
      <c r="J53" s="1592"/>
      <c r="K53" s="579" t="s">
        <v>310</v>
      </c>
      <c r="L53" s="580"/>
      <c r="M53" s="581" t="s">
        <v>625</v>
      </c>
      <c r="N53" s="582"/>
      <c r="O53" s="578"/>
      <c r="P53" s="578"/>
      <c r="Q53" s="578"/>
      <c r="R53" s="1781" t="s">
        <v>3</v>
      </c>
      <c r="S53" s="1782" t="s">
        <v>319</v>
      </c>
      <c r="T53" s="1791"/>
      <c r="U53" s="1327" t="s">
        <v>681</v>
      </c>
      <c r="V53" s="1328"/>
      <c r="W53" s="1329" t="s">
        <v>625</v>
      </c>
      <c r="X53" s="1330"/>
      <c r="Y53" s="1326"/>
      <c r="Z53" s="1326"/>
      <c r="AA53" s="1326"/>
      <c r="AB53" s="2928" t="s">
        <v>680</v>
      </c>
      <c r="AC53" s="2930" t="s">
        <v>390</v>
      </c>
    </row>
    <row r="54" spans="1:33" s="537" customFormat="1" ht="5.25" customHeight="1">
      <c r="A54" s="573"/>
      <c r="B54" s="583"/>
      <c r="C54" s="583"/>
      <c r="D54" s="583"/>
      <c r="E54" s="578"/>
      <c r="F54" s="578"/>
      <c r="G54" s="578"/>
      <c r="H54" s="578"/>
      <c r="I54" s="578"/>
      <c r="J54" s="1592"/>
      <c r="K54" s="573"/>
      <c r="L54" s="583"/>
      <c r="M54" s="583"/>
      <c r="N54" s="583"/>
      <c r="O54" s="578"/>
      <c r="P54" s="578"/>
      <c r="Q54" s="578"/>
      <c r="R54" s="578"/>
      <c r="S54" s="578"/>
      <c r="T54" s="578"/>
      <c r="U54" s="1321"/>
      <c r="V54" s="1331"/>
      <c r="W54" s="1331"/>
      <c r="X54" s="1331"/>
      <c r="Y54" s="1326"/>
      <c r="Z54" s="1326"/>
      <c r="AA54" s="1326"/>
      <c r="AB54" s="2929"/>
      <c r="AC54" s="2931"/>
    </row>
    <row r="55" spans="1:33" s="537" customFormat="1" ht="15.75">
      <c r="A55" s="560" t="str">
        <f>IF('Mode Opératoire'!$I$1="Français",+'Synthèse projet'!K55,'Synthèse projet'!U55)</f>
        <v>Remarques des signataires</v>
      </c>
      <c r="B55" s="561"/>
      <c r="C55" s="561"/>
      <c r="D55" s="561"/>
      <c r="E55" s="561"/>
      <c r="F55" s="561"/>
      <c r="G55" s="561"/>
      <c r="H55" s="562"/>
      <c r="I55" s="584"/>
      <c r="J55" s="1586"/>
      <c r="K55" s="560" t="s">
        <v>65</v>
      </c>
      <c r="L55" s="561"/>
      <c r="M55" s="561"/>
      <c r="N55" s="561"/>
      <c r="O55" s="561"/>
      <c r="P55" s="561"/>
      <c r="Q55" s="561"/>
      <c r="R55" s="562"/>
      <c r="S55" s="584"/>
      <c r="T55" s="562"/>
      <c r="U55" s="1294" t="s">
        <v>823</v>
      </c>
      <c r="V55" s="1295"/>
      <c r="W55" s="1295"/>
      <c r="X55" s="1295"/>
      <c r="Y55" s="1295"/>
      <c r="Z55" s="1295"/>
      <c r="AA55" s="1295"/>
      <c r="AB55" s="1296"/>
      <c r="AC55" s="1297"/>
    </row>
    <row r="56" spans="1:33" s="537" customFormat="1" ht="13.5">
      <c r="A56" s="2876"/>
      <c r="B56" s="2877"/>
      <c r="C56" s="2877"/>
      <c r="D56" s="2877"/>
      <c r="E56" s="2877"/>
      <c r="F56" s="2877"/>
      <c r="G56" s="2877"/>
      <c r="H56" s="2877"/>
      <c r="I56" s="2878"/>
      <c r="J56" s="1194"/>
      <c r="K56" s="542"/>
      <c r="L56" s="539"/>
      <c r="M56" s="539"/>
      <c r="N56" s="539"/>
      <c r="O56" s="539"/>
      <c r="P56" s="539"/>
      <c r="Q56" s="539"/>
      <c r="R56" s="539"/>
      <c r="S56" s="585"/>
      <c r="T56" s="539"/>
      <c r="U56" s="1271"/>
      <c r="V56" s="1263"/>
      <c r="W56" s="1263"/>
      <c r="X56" s="1263"/>
      <c r="Y56" s="1263"/>
      <c r="Z56" s="1263"/>
      <c r="AA56" s="1263"/>
      <c r="AB56" s="1263"/>
      <c r="AC56" s="1269"/>
    </row>
    <row r="57" spans="1:33" s="537" customFormat="1" ht="13.5">
      <c r="A57" s="2879"/>
      <c r="B57" s="2880"/>
      <c r="C57" s="2880"/>
      <c r="D57" s="2880"/>
      <c r="E57" s="2880"/>
      <c r="F57" s="2880"/>
      <c r="G57" s="2880"/>
      <c r="H57" s="2880"/>
      <c r="I57" s="2881"/>
      <c r="J57" s="1194"/>
      <c r="K57" s="586"/>
      <c r="L57" s="539"/>
      <c r="M57" s="539"/>
      <c r="N57" s="539"/>
      <c r="O57" s="539"/>
      <c r="P57" s="539"/>
      <c r="Q57" s="539"/>
      <c r="R57" s="539"/>
      <c r="S57" s="585"/>
      <c r="T57" s="539"/>
      <c r="U57" s="1332"/>
      <c r="V57" s="1263"/>
      <c r="W57" s="1263"/>
      <c r="X57" s="1263"/>
      <c r="Y57" s="1263"/>
      <c r="Z57" s="1263"/>
      <c r="AA57" s="1263"/>
      <c r="AB57" s="1263"/>
      <c r="AC57" s="1269"/>
    </row>
    <row r="58" spans="1:33" s="537" customFormat="1" ht="13.5">
      <c r="A58" s="2879"/>
      <c r="B58" s="2880"/>
      <c r="C58" s="2880"/>
      <c r="D58" s="2880"/>
      <c r="E58" s="2880"/>
      <c r="F58" s="2880"/>
      <c r="G58" s="2880"/>
      <c r="H58" s="2880"/>
      <c r="I58" s="2881"/>
      <c r="J58" s="1194"/>
      <c r="K58" s="544"/>
      <c r="L58" s="587"/>
      <c r="M58" s="587"/>
      <c r="N58" s="587"/>
      <c r="O58" s="587"/>
      <c r="P58" s="539"/>
      <c r="Q58" s="539"/>
      <c r="R58" s="539"/>
      <c r="S58" s="585"/>
      <c r="T58" s="539"/>
      <c r="U58" s="1273"/>
      <c r="V58" s="1333"/>
      <c r="W58" s="1333"/>
      <c r="X58" s="1333"/>
      <c r="Y58" s="1333"/>
      <c r="Z58" s="1263"/>
      <c r="AA58" s="1263"/>
      <c r="AB58" s="1263"/>
      <c r="AC58" s="1269"/>
    </row>
    <row r="59" spans="1:33" s="537" customFormat="1" ht="13.5">
      <c r="A59" s="2879"/>
      <c r="B59" s="2880"/>
      <c r="C59" s="2880"/>
      <c r="D59" s="2880"/>
      <c r="E59" s="2880"/>
      <c r="F59" s="2880"/>
      <c r="G59" s="2880"/>
      <c r="H59" s="2880"/>
      <c r="I59" s="2881"/>
      <c r="J59" s="1194"/>
      <c r="K59" s="586"/>
      <c r="L59" s="539"/>
      <c r="M59" s="539"/>
      <c r="N59" s="539"/>
      <c r="O59" s="539"/>
      <c r="P59" s="539"/>
      <c r="Q59" s="539"/>
      <c r="R59" s="539"/>
      <c r="S59" s="585"/>
      <c r="T59" s="539"/>
      <c r="U59" s="1332"/>
      <c r="V59" s="1263"/>
      <c r="W59" s="1263"/>
      <c r="X59" s="1263"/>
      <c r="Y59" s="1263"/>
      <c r="Z59" s="1263"/>
      <c r="AA59" s="1263"/>
      <c r="AB59" s="1263"/>
      <c r="AC59" s="1269"/>
      <c r="AG59" s="557"/>
    </row>
    <row r="60" spans="1:33" s="537" customFormat="1" ht="13.5">
      <c r="A60" s="2879"/>
      <c r="B60" s="2880"/>
      <c r="C60" s="2880"/>
      <c r="D60" s="2880"/>
      <c r="E60" s="2880"/>
      <c r="F60" s="2880"/>
      <c r="G60" s="2880"/>
      <c r="H60" s="2880"/>
      <c r="I60" s="2881"/>
      <c r="J60" s="1194"/>
      <c r="K60" s="544"/>
      <c r="L60" s="587"/>
      <c r="M60" s="587"/>
      <c r="N60" s="587"/>
      <c r="O60" s="539"/>
      <c r="P60" s="539"/>
      <c r="Q60" s="539"/>
      <c r="R60" s="539"/>
      <c r="S60" s="585"/>
      <c r="T60" s="539"/>
      <c r="U60" s="1273"/>
      <c r="V60" s="1333"/>
      <c r="W60" s="1333"/>
      <c r="X60" s="1333"/>
      <c r="Y60" s="1263"/>
      <c r="Z60" s="1263"/>
      <c r="AA60" s="1263"/>
      <c r="AB60" s="1263"/>
      <c r="AC60" s="1269"/>
      <c r="AF60" s="557"/>
    </row>
    <row r="61" spans="1:33" s="537" customFormat="1" ht="13.5">
      <c r="A61" s="2879"/>
      <c r="B61" s="2880"/>
      <c r="C61" s="2880"/>
      <c r="D61" s="2880"/>
      <c r="E61" s="2880"/>
      <c r="F61" s="2880"/>
      <c r="G61" s="2880"/>
      <c r="H61" s="2880"/>
      <c r="I61" s="2881"/>
      <c r="J61" s="1194"/>
      <c r="K61" s="586"/>
      <c r="L61" s="539"/>
      <c r="M61" s="539"/>
      <c r="N61" s="539"/>
      <c r="O61" s="539"/>
      <c r="P61" s="539"/>
      <c r="Q61" s="539"/>
      <c r="R61" s="539"/>
      <c r="S61" s="585"/>
      <c r="T61" s="539"/>
      <c r="U61" s="1332"/>
      <c r="V61" s="1263"/>
      <c r="W61" s="1263"/>
      <c r="X61" s="1263"/>
      <c r="Y61" s="1263"/>
      <c r="Z61" s="1263"/>
      <c r="AA61" s="1263"/>
      <c r="AB61" s="1263"/>
      <c r="AC61" s="1269"/>
    </row>
    <row r="62" spans="1:33" s="537" customFormat="1" ht="13.5">
      <c r="A62" s="2879"/>
      <c r="B62" s="2880"/>
      <c r="C62" s="2880"/>
      <c r="D62" s="2880"/>
      <c r="E62" s="2880"/>
      <c r="F62" s="2880"/>
      <c r="G62" s="2880"/>
      <c r="H62" s="2880"/>
      <c r="I62" s="2881"/>
      <c r="J62" s="1194"/>
      <c r="K62" s="586"/>
      <c r="L62" s="539"/>
      <c r="M62" s="539"/>
      <c r="N62" s="539"/>
      <c r="O62" s="539"/>
      <c r="P62" s="539"/>
      <c r="Q62" s="539"/>
      <c r="R62" s="539"/>
      <c r="S62" s="585"/>
      <c r="T62" s="539"/>
      <c r="U62" s="1332"/>
      <c r="V62" s="1263"/>
      <c r="W62" s="1263"/>
      <c r="X62" s="1263"/>
      <c r="Y62" s="1263"/>
      <c r="Z62" s="1263"/>
      <c r="AA62" s="1263"/>
      <c r="AB62" s="1263"/>
      <c r="AC62" s="1269"/>
      <c r="AG62" s="571"/>
    </row>
    <row r="63" spans="1:33" s="537" customFormat="1" ht="13.5">
      <c r="A63" s="2882"/>
      <c r="B63" s="2883"/>
      <c r="C63" s="2883"/>
      <c r="D63" s="2883"/>
      <c r="E63" s="2883"/>
      <c r="F63" s="2883"/>
      <c r="G63" s="2883"/>
      <c r="H63" s="2883"/>
      <c r="I63" s="2884"/>
      <c r="J63" s="1194"/>
      <c r="K63" s="588"/>
      <c r="L63" s="546"/>
      <c r="M63" s="546"/>
      <c r="N63" s="546"/>
      <c r="O63" s="546"/>
      <c r="P63" s="546"/>
      <c r="Q63" s="546"/>
      <c r="R63" s="546"/>
      <c r="S63" s="589"/>
      <c r="T63" s="546"/>
      <c r="U63" s="1334"/>
      <c r="V63" s="1275"/>
      <c r="W63" s="1275"/>
      <c r="X63" s="1275"/>
      <c r="Y63" s="1275"/>
      <c r="Z63" s="1275"/>
      <c r="AA63" s="1275"/>
      <c r="AB63" s="1275"/>
      <c r="AC63" s="1277"/>
      <c r="AF63" s="571"/>
      <c r="AG63" s="571"/>
    </row>
    <row r="64" spans="1:33" s="537" customFormat="1" ht="13.5">
      <c r="A64" s="539"/>
      <c r="B64" s="539"/>
      <c r="C64" s="539"/>
      <c r="D64" s="539"/>
      <c r="E64" s="539"/>
      <c r="F64" s="539"/>
      <c r="G64" s="539"/>
      <c r="H64" s="539"/>
      <c r="I64" s="539"/>
      <c r="J64" s="1194"/>
      <c r="K64" s="539"/>
      <c r="L64" s="539"/>
      <c r="M64" s="539"/>
      <c r="N64" s="539"/>
      <c r="O64" s="539"/>
      <c r="P64" s="539"/>
      <c r="Q64" s="539"/>
      <c r="R64" s="539"/>
      <c r="S64" s="539"/>
      <c r="T64" s="539"/>
      <c r="U64" s="1263"/>
      <c r="V64" s="1263"/>
      <c r="W64" s="1263"/>
      <c r="X64" s="1263"/>
      <c r="Y64" s="1263"/>
      <c r="Z64" s="1263"/>
      <c r="AA64" s="1263"/>
      <c r="AB64" s="1263"/>
      <c r="AC64" s="1263"/>
      <c r="AF64" s="571"/>
    </row>
    <row r="65" spans="1:33" s="598" customFormat="1" ht="16.5" customHeight="1">
      <c r="A65" s="1662"/>
      <c r="B65" s="1663"/>
      <c r="C65" s="1664" t="s">
        <v>97</v>
      </c>
      <c r="D65" s="1665"/>
      <c r="E65" s="1666"/>
      <c r="F65" s="1667"/>
      <c r="G65" s="1664"/>
      <c r="H65" s="1668"/>
      <c r="I65" s="1673" t="s">
        <v>178</v>
      </c>
      <c r="J65" s="1602"/>
      <c r="K65" s="590"/>
      <c r="L65" s="591"/>
      <c r="M65" s="592" t="s">
        <v>97</v>
      </c>
      <c r="N65" s="593"/>
      <c r="O65" s="594"/>
      <c r="P65" s="595"/>
      <c r="Q65" s="592"/>
      <c r="R65" s="596"/>
      <c r="S65" s="597" t="s">
        <v>178</v>
      </c>
      <c r="T65" s="599"/>
      <c r="U65" s="1335"/>
      <c r="V65" s="1336"/>
      <c r="W65" s="1337" t="s">
        <v>97</v>
      </c>
      <c r="X65" s="1338"/>
      <c r="Y65" s="1339"/>
      <c r="Z65" s="1340"/>
      <c r="AA65" s="1337"/>
      <c r="AB65" s="1341"/>
      <c r="AC65" s="1342" t="s">
        <v>682</v>
      </c>
      <c r="AF65" s="537"/>
      <c r="AG65" s="537"/>
    </row>
    <row r="66" spans="1:33" s="598" customFormat="1" ht="16.5" customHeight="1">
      <c r="A66" s="1669"/>
      <c r="B66" s="1670" t="str">
        <f>IF('Mode Opératoire'!$I$1="Français",+'Synthèse projet'!L66,'Synthèse projet'!V66)</f>
        <v>Demandeur</v>
      </c>
      <c r="C66" s="1671" t="s">
        <v>134</v>
      </c>
      <c r="D66" s="1672" t="s">
        <v>180</v>
      </c>
      <c r="E66" s="1671" t="s">
        <v>181</v>
      </c>
      <c r="F66" s="1672" t="s">
        <v>60</v>
      </c>
      <c r="G66" s="1671" t="s">
        <v>146</v>
      </c>
      <c r="H66" s="1672" t="s">
        <v>179</v>
      </c>
      <c r="I66" s="1674" t="s">
        <v>182</v>
      </c>
      <c r="J66" s="1602"/>
      <c r="K66" s="599"/>
      <c r="L66" s="600" t="s">
        <v>311</v>
      </c>
      <c r="M66" s="597" t="s">
        <v>134</v>
      </c>
      <c r="N66" s="601" t="s">
        <v>180</v>
      </c>
      <c r="O66" s="602" t="s">
        <v>181</v>
      </c>
      <c r="P66" s="603" t="s">
        <v>60</v>
      </c>
      <c r="Q66" s="601" t="s">
        <v>146</v>
      </c>
      <c r="R66" s="596" t="s">
        <v>179</v>
      </c>
      <c r="S66" s="602" t="s">
        <v>182</v>
      </c>
      <c r="T66" s="599"/>
      <c r="U66" s="1343"/>
      <c r="V66" s="1344" t="s">
        <v>824</v>
      </c>
      <c r="W66" s="1342" t="s">
        <v>134</v>
      </c>
      <c r="X66" s="1345" t="s">
        <v>180</v>
      </c>
      <c r="Y66" s="1346" t="s">
        <v>181</v>
      </c>
      <c r="Z66" s="1347" t="s">
        <v>60</v>
      </c>
      <c r="AA66" s="1345" t="s">
        <v>146</v>
      </c>
      <c r="AB66" s="1341" t="s">
        <v>179</v>
      </c>
      <c r="AC66" s="1346" t="s">
        <v>182</v>
      </c>
      <c r="AF66" s="537"/>
      <c r="AG66" s="537"/>
    </row>
    <row r="67" spans="1:33" s="608" customFormat="1" ht="15" customHeight="1">
      <c r="A67" s="604"/>
      <c r="B67" s="1819"/>
      <c r="C67" s="1820"/>
      <c r="D67" s="1820"/>
      <c r="E67" s="1820"/>
      <c r="F67" s="2273" t="s">
        <v>1242</v>
      </c>
      <c r="G67" s="1820" t="s">
        <v>101</v>
      </c>
      <c r="H67" s="1820" t="s">
        <v>913</v>
      </c>
      <c r="I67" s="1821" t="s">
        <v>914</v>
      </c>
      <c r="J67" s="1603"/>
      <c r="K67" s="604"/>
      <c r="L67" s="605"/>
      <c r="M67" s="606"/>
      <c r="N67" s="606"/>
      <c r="O67" s="606"/>
      <c r="P67" s="589" t="s">
        <v>197</v>
      </c>
      <c r="Q67" s="588" t="s">
        <v>101</v>
      </c>
      <c r="R67" s="588" t="s">
        <v>196</v>
      </c>
      <c r="S67" s="607" t="s">
        <v>199</v>
      </c>
      <c r="T67" s="607"/>
      <c r="U67" s="1348"/>
      <c r="V67" s="1349"/>
      <c r="W67" s="1349"/>
      <c r="X67" s="1349"/>
      <c r="Y67" s="1349"/>
      <c r="Z67" s="1277" t="s">
        <v>197</v>
      </c>
      <c r="AA67" s="1334" t="s">
        <v>101</v>
      </c>
      <c r="AB67" s="1334" t="s">
        <v>196</v>
      </c>
      <c r="AC67" s="1350" t="s">
        <v>199</v>
      </c>
      <c r="AF67" s="537"/>
      <c r="AG67" s="537"/>
    </row>
    <row r="68" spans="1:33" s="537" customFormat="1" ht="15" customHeight="1">
      <c r="A68" s="609" t="s">
        <v>100</v>
      </c>
      <c r="B68" s="1822"/>
      <c r="C68" s="1822"/>
      <c r="D68" s="1822"/>
      <c r="E68" s="1823"/>
      <c r="F68" s="1822"/>
      <c r="G68" s="1824"/>
      <c r="H68" s="1822"/>
      <c r="I68" s="1822"/>
      <c r="J68" s="1194"/>
      <c r="K68" s="609" t="s">
        <v>100</v>
      </c>
      <c r="L68" s="610"/>
      <c r="M68" s="610"/>
      <c r="N68" s="610"/>
      <c r="O68" s="611"/>
      <c r="P68" s="610"/>
      <c r="Q68" s="612"/>
      <c r="R68" s="610"/>
      <c r="S68" s="610"/>
      <c r="T68" s="610"/>
      <c r="U68" s="1351" t="s">
        <v>100</v>
      </c>
      <c r="V68" s="1352"/>
      <c r="W68" s="1352"/>
      <c r="X68" s="1352"/>
      <c r="Y68" s="1353"/>
      <c r="Z68" s="1352"/>
      <c r="AA68" s="1354"/>
      <c r="AB68" s="1352"/>
      <c r="AC68" s="1352"/>
    </row>
    <row r="69" spans="1:33" s="537" customFormat="1" ht="13.5">
      <c r="A69" s="2885" t="s">
        <v>885</v>
      </c>
      <c r="B69" s="1825"/>
      <c r="C69" s="1825"/>
      <c r="D69" s="1825"/>
      <c r="E69" s="1825"/>
      <c r="F69" s="1826"/>
      <c r="G69" s="1827"/>
      <c r="H69" s="1826"/>
      <c r="I69" s="1826"/>
      <c r="J69" s="1194"/>
      <c r="K69" s="613" t="s">
        <v>825</v>
      </c>
      <c r="L69" s="611"/>
      <c r="M69" s="611"/>
      <c r="N69" s="611"/>
      <c r="O69" s="611"/>
      <c r="P69" s="610"/>
      <c r="Q69" s="612"/>
      <c r="R69" s="610"/>
      <c r="S69" s="610"/>
      <c r="T69" s="610"/>
      <c r="U69" s="1355" t="s">
        <v>827</v>
      </c>
      <c r="V69" s="1353"/>
      <c r="W69" s="1353"/>
      <c r="X69" s="1353"/>
      <c r="Y69" s="1353"/>
      <c r="Z69" s="1352"/>
      <c r="AA69" s="1354"/>
      <c r="AB69" s="1352"/>
      <c r="AC69" s="1352"/>
    </row>
    <row r="70" spans="1:33" s="537" customFormat="1" ht="13.5">
      <c r="A70" s="2886"/>
      <c r="B70" s="1828"/>
      <c r="C70" s="1828"/>
      <c r="D70" s="1828"/>
      <c r="E70" s="1828"/>
      <c r="F70" s="1829"/>
      <c r="G70" s="1830"/>
      <c r="H70" s="1829"/>
      <c r="I70" s="1829"/>
      <c r="J70" s="1194"/>
      <c r="K70" s="614" t="s">
        <v>826</v>
      </c>
      <c r="L70" s="542"/>
      <c r="M70" s="542"/>
      <c r="N70" s="542"/>
      <c r="O70" s="542"/>
      <c r="P70" s="615"/>
      <c r="Q70" s="585"/>
      <c r="R70" s="615"/>
      <c r="S70" s="615"/>
      <c r="T70" s="615"/>
      <c r="U70" s="1356" t="s">
        <v>828</v>
      </c>
      <c r="V70" s="1271"/>
      <c r="W70" s="1271"/>
      <c r="X70" s="1271"/>
      <c r="Y70" s="1271"/>
      <c r="Z70" s="1357"/>
      <c r="AA70" s="1269"/>
      <c r="AB70" s="1357"/>
      <c r="AC70" s="1357"/>
    </row>
    <row r="71" spans="1:33" s="537" customFormat="1" ht="13.5">
      <c r="A71" s="2886"/>
      <c r="B71" s="1828"/>
      <c r="C71" s="1828"/>
      <c r="D71" s="1828"/>
      <c r="E71" s="1828"/>
      <c r="F71" s="1829"/>
      <c r="G71" s="1830"/>
      <c r="H71" s="1829"/>
      <c r="I71" s="1829"/>
      <c r="J71" s="1194"/>
      <c r="K71" s="614" t="s">
        <v>57</v>
      </c>
      <c r="L71" s="542"/>
      <c r="M71" s="542"/>
      <c r="N71" s="542"/>
      <c r="O71" s="542"/>
      <c r="P71" s="615"/>
      <c r="Q71" s="585"/>
      <c r="R71" s="615"/>
      <c r="S71" s="615"/>
      <c r="T71" s="615"/>
      <c r="U71" s="1356" t="s">
        <v>829</v>
      </c>
      <c r="V71" s="1271"/>
      <c r="W71" s="1271"/>
      <c r="X71" s="1271"/>
      <c r="Y71" s="1271"/>
      <c r="Z71" s="1357"/>
      <c r="AA71" s="1269"/>
      <c r="AB71" s="1357"/>
      <c r="AC71" s="1357"/>
    </row>
    <row r="72" spans="1:33" s="537" customFormat="1" ht="4.5" customHeight="1">
      <c r="A72" s="2887"/>
      <c r="B72" s="1831"/>
      <c r="C72" s="1831"/>
      <c r="D72" s="1831"/>
      <c r="E72" s="1831"/>
      <c r="F72" s="1832"/>
      <c r="G72" s="1833"/>
      <c r="H72" s="1832"/>
      <c r="I72" s="1832"/>
      <c r="J72" s="1194"/>
      <c r="K72" s="616"/>
      <c r="L72" s="588"/>
      <c r="M72" s="588"/>
      <c r="N72" s="588"/>
      <c r="O72" s="588"/>
      <c r="P72" s="551"/>
      <c r="Q72" s="589"/>
      <c r="R72" s="551"/>
      <c r="S72" s="551"/>
      <c r="T72" s="551"/>
      <c r="U72" s="1358"/>
      <c r="V72" s="1334"/>
      <c r="W72" s="1334"/>
      <c r="X72" s="1334"/>
      <c r="Y72" s="1334"/>
      <c r="Z72" s="1359"/>
      <c r="AA72" s="1277"/>
      <c r="AB72" s="1359"/>
      <c r="AC72" s="1359"/>
    </row>
    <row r="73" spans="1:33" ht="13.5">
      <c r="B73" s="557"/>
      <c r="C73" s="557"/>
      <c r="D73" s="557"/>
      <c r="E73" s="557"/>
      <c r="F73" s="557"/>
      <c r="G73" s="557"/>
      <c r="H73" s="557"/>
      <c r="I73" s="617"/>
      <c r="J73" s="1194"/>
      <c r="L73" s="557"/>
      <c r="M73" s="557"/>
      <c r="N73" s="557"/>
      <c r="O73" s="557"/>
      <c r="P73" s="557"/>
      <c r="Q73" s="557"/>
      <c r="R73" s="557"/>
      <c r="S73" s="617"/>
      <c r="T73" s="539"/>
      <c r="V73" s="1256"/>
      <c r="W73" s="1256"/>
      <c r="X73" s="1256"/>
      <c r="Y73" s="1256"/>
      <c r="Z73" s="1256"/>
      <c r="AA73" s="1256"/>
      <c r="AB73" s="1256"/>
      <c r="AC73" s="1360"/>
      <c r="AF73" s="537"/>
      <c r="AG73" s="537"/>
    </row>
    <row r="74" spans="1:33" ht="13.5">
      <c r="B74" s="559" t="s">
        <v>312</v>
      </c>
      <c r="C74" s="557"/>
      <c r="E74" s="557"/>
      <c r="H74" s="557"/>
      <c r="I74" s="557"/>
      <c r="J74" s="1604"/>
      <c r="L74" s="559" t="s">
        <v>312</v>
      </c>
      <c r="M74" s="557"/>
      <c r="O74" s="557"/>
      <c r="R74" s="557"/>
      <c r="S74" s="557"/>
      <c r="T74" s="557"/>
      <c r="V74" s="1293" t="s">
        <v>800</v>
      </c>
      <c r="W74" s="1256"/>
      <c r="Y74" s="1256"/>
      <c r="AB74" s="1256"/>
      <c r="AC74" s="1256"/>
      <c r="AF74" s="537"/>
      <c r="AG74" s="537"/>
    </row>
    <row r="75" spans="1:33" ht="13.5">
      <c r="A75" s="557" t="s">
        <v>313</v>
      </c>
      <c r="B75" s="1675" t="s">
        <v>314</v>
      </c>
      <c r="C75" s="1834"/>
      <c r="D75" s="618" t="s">
        <v>1</v>
      </c>
      <c r="E75" s="1835"/>
      <c r="F75" s="618" t="s">
        <v>315</v>
      </c>
      <c r="G75" s="1835"/>
      <c r="H75" s="1675" t="s">
        <v>75</v>
      </c>
      <c r="I75" s="1835"/>
      <c r="J75" s="1605"/>
      <c r="K75" s="557" t="s">
        <v>313</v>
      </c>
      <c r="L75" s="618" t="s">
        <v>314</v>
      </c>
      <c r="M75" s="619" t="s">
        <v>73</v>
      </c>
      <c r="N75" s="618" t="s">
        <v>1</v>
      </c>
      <c r="O75" s="620"/>
      <c r="P75" s="618" t="s">
        <v>315</v>
      </c>
      <c r="Q75" s="620"/>
      <c r="R75" s="618" t="s">
        <v>75</v>
      </c>
      <c r="S75" s="620"/>
      <c r="T75" s="1792"/>
      <c r="U75" s="1256" t="s">
        <v>808</v>
      </c>
      <c r="V75" s="1361" t="s">
        <v>801</v>
      </c>
      <c r="W75" s="1362" t="s">
        <v>73</v>
      </c>
      <c r="X75" s="1361" t="s">
        <v>804</v>
      </c>
      <c r="Y75" s="1362"/>
      <c r="Z75" s="1361" t="s">
        <v>809</v>
      </c>
      <c r="AA75" s="1362"/>
      <c r="AB75" s="1361" t="s">
        <v>803</v>
      </c>
      <c r="AC75" s="1362"/>
      <c r="AF75" s="537"/>
      <c r="AG75" s="537"/>
    </row>
    <row r="76" spans="1:33" ht="13.5">
      <c r="A76" s="559" t="s">
        <v>886</v>
      </c>
      <c r="B76" s="1675" t="s">
        <v>627</v>
      </c>
      <c r="C76" s="1835"/>
      <c r="D76" s="618" t="s">
        <v>12</v>
      </c>
      <c r="E76" s="1835"/>
      <c r="F76" s="618" t="s">
        <v>54</v>
      </c>
      <c r="G76" s="1835"/>
      <c r="H76" s="618"/>
      <c r="I76" s="1834"/>
      <c r="J76" s="1605"/>
      <c r="L76" s="618" t="s">
        <v>316</v>
      </c>
      <c r="M76" s="620" t="s">
        <v>73</v>
      </c>
      <c r="N76" s="618" t="s">
        <v>12</v>
      </c>
      <c r="O76" s="620"/>
      <c r="P76" s="618" t="s">
        <v>54</v>
      </c>
      <c r="Q76" s="620"/>
      <c r="R76" s="618" t="s">
        <v>317</v>
      </c>
      <c r="S76" s="905"/>
      <c r="T76" s="1793"/>
      <c r="V76" s="1361" t="s">
        <v>802</v>
      </c>
      <c r="W76" s="1362" t="s">
        <v>73</v>
      </c>
      <c r="X76" s="1361" t="s">
        <v>806</v>
      </c>
      <c r="Y76" s="1362"/>
      <c r="Z76" s="1361" t="s">
        <v>805</v>
      </c>
      <c r="AA76" s="1362"/>
      <c r="AB76" s="1361" t="s">
        <v>807</v>
      </c>
      <c r="AC76" s="1362"/>
      <c r="AF76" s="537"/>
      <c r="AG76" s="537"/>
    </row>
    <row r="77" spans="1:33" ht="13.5">
      <c r="C77" s="557"/>
      <c r="D77" s="559"/>
      <c r="E77" s="557"/>
      <c r="F77" s="557"/>
      <c r="G77" s="557"/>
      <c r="H77" s="557"/>
      <c r="I77" s="557"/>
      <c r="J77" s="1604"/>
      <c r="M77" s="557"/>
      <c r="N77" s="559"/>
      <c r="O77" s="557"/>
      <c r="P77" s="557"/>
      <c r="Q77" s="557"/>
      <c r="R77" s="557"/>
      <c r="S77" s="557"/>
      <c r="T77" s="557"/>
      <c r="W77" s="1256"/>
      <c r="X77" s="1293"/>
      <c r="Y77" s="1256"/>
      <c r="Z77" s="1256"/>
      <c r="AA77" s="1256"/>
      <c r="AB77" s="1256"/>
      <c r="AC77" s="1256"/>
      <c r="AF77" s="537"/>
      <c r="AG77" s="537"/>
    </row>
    <row r="78" spans="1:33" ht="13.5">
      <c r="A78" s="557"/>
      <c r="B78" s="557"/>
      <c r="C78" s="557"/>
      <c r="D78" s="557"/>
      <c r="E78" s="557"/>
      <c r="F78" s="557"/>
      <c r="G78" s="557"/>
      <c r="H78" s="557"/>
      <c r="I78" s="557"/>
      <c r="J78" s="1604"/>
      <c r="K78" s="557"/>
      <c r="L78" s="557"/>
      <c r="M78" s="557"/>
      <c r="N78" s="557"/>
      <c r="O78" s="557"/>
      <c r="P78" s="557"/>
      <c r="Q78" s="557"/>
      <c r="R78" s="557"/>
      <c r="S78" s="557"/>
      <c r="T78" s="557"/>
      <c r="U78" s="1256"/>
      <c r="V78" s="1256"/>
      <c r="W78" s="1256"/>
      <c r="X78" s="1256"/>
      <c r="Y78" s="1256"/>
      <c r="Z78" s="1256"/>
      <c r="AA78" s="1256"/>
      <c r="AB78" s="1256"/>
      <c r="AC78" s="1256"/>
      <c r="AF78" s="537"/>
      <c r="AG78" s="537"/>
    </row>
    <row r="79" spans="1:33" ht="13.5">
      <c r="A79" s="557"/>
      <c r="B79" s="557"/>
      <c r="C79" s="557"/>
      <c r="D79" s="557"/>
      <c r="E79" s="557"/>
      <c r="F79" s="557"/>
      <c r="G79" s="557"/>
      <c r="H79" s="557"/>
      <c r="I79" s="557"/>
      <c r="J79" s="1604"/>
      <c r="K79" s="557"/>
      <c r="L79" s="557"/>
      <c r="M79" s="557"/>
      <c r="N79" s="557"/>
      <c r="O79" s="557"/>
      <c r="P79" s="557"/>
      <c r="Q79" s="557"/>
      <c r="R79" s="557"/>
      <c r="S79" s="557"/>
      <c r="T79" s="557"/>
      <c r="U79" s="1256"/>
      <c r="V79" s="1256"/>
      <c r="W79" s="1256"/>
      <c r="X79" s="1256"/>
      <c r="Y79" s="1256"/>
      <c r="Z79" s="1256"/>
      <c r="AA79" s="1256"/>
      <c r="AB79" s="1256"/>
      <c r="AC79" s="1256"/>
      <c r="AF79" s="537"/>
      <c r="AG79" s="537"/>
    </row>
    <row r="80" spans="1:33" ht="13.5">
      <c r="A80" s="557"/>
      <c r="B80" s="557"/>
      <c r="C80" s="557"/>
      <c r="D80" s="557"/>
      <c r="E80" s="557"/>
      <c r="F80" s="557"/>
      <c r="G80" s="557"/>
      <c r="H80" s="557"/>
      <c r="I80" s="557"/>
      <c r="J80" s="1604"/>
      <c r="K80" s="557"/>
      <c r="L80" s="557"/>
      <c r="M80" s="557"/>
      <c r="N80" s="557"/>
      <c r="O80" s="557"/>
      <c r="P80" s="557"/>
      <c r="Q80" s="557"/>
      <c r="R80" s="557"/>
      <c r="S80" s="557"/>
      <c r="T80" s="557"/>
      <c r="U80" s="1256"/>
      <c r="V80" s="1256"/>
      <c r="W80" s="1256"/>
      <c r="X80" s="1256"/>
      <c r="Y80" s="1256"/>
      <c r="Z80" s="1256"/>
      <c r="AA80" s="1256"/>
      <c r="AB80" s="1256"/>
      <c r="AC80" s="1256"/>
      <c r="AF80" s="537"/>
      <c r="AG80" s="598"/>
    </row>
    <row r="81" spans="1:33" ht="13.5">
      <c r="A81" s="557"/>
      <c r="B81" s="557"/>
      <c r="C81" s="557"/>
      <c r="D81" s="557"/>
      <c r="E81" s="557"/>
      <c r="F81" s="557"/>
      <c r="G81" s="557"/>
      <c r="H81" s="557"/>
      <c r="I81" s="557"/>
      <c r="J81" s="1604"/>
      <c r="K81" s="557"/>
      <c r="L81" s="557"/>
      <c r="M81" s="557"/>
      <c r="N81" s="557"/>
      <c r="O81" s="557"/>
      <c r="P81" s="557"/>
      <c r="Q81" s="557"/>
      <c r="R81" s="557"/>
      <c r="S81" s="557"/>
      <c r="T81" s="557"/>
      <c r="U81" s="1256"/>
      <c r="V81" s="1256"/>
      <c r="W81" s="1256"/>
      <c r="X81" s="1256"/>
      <c r="Y81" s="1256"/>
      <c r="Z81" s="1256"/>
      <c r="AA81" s="1256"/>
      <c r="AB81" s="1256"/>
      <c r="AC81" s="1256"/>
      <c r="AF81" s="598"/>
      <c r="AG81" s="598"/>
    </row>
    <row r="82" spans="1:33" ht="13.5">
      <c r="A82" s="557"/>
      <c r="B82" s="557"/>
      <c r="C82" s="557"/>
      <c r="D82" s="557"/>
      <c r="E82" s="557"/>
      <c r="F82" s="557"/>
      <c r="G82" s="557"/>
      <c r="H82" s="557"/>
      <c r="I82" s="557"/>
      <c r="J82" s="1604"/>
      <c r="K82" s="557"/>
      <c r="L82" s="557"/>
      <c r="M82" s="557"/>
      <c r="N82" s="557"/>
      <c r="O82" s="557"/>
      <c r="P82" s="557"/>
      <c r="Q82" s="557"/>
      <c r="R82" s="557"/>
      <c r="S82" s="557"/>
      <c r="T82" s="557"/>
      <c r="U82" s="1256"/>
      <c r="V82" s="1256"/>
      <c r="W82" s="1256"/>
      <c r="X82" s="1256"/>
      <c r="Y82" s="1256"/>
      <c r="Z82" s="1256"/>
      <c r="AA82" s="1256"/>
      <c r="AB82" s="1256"/>
      <c r="AC82" s="1256"/>
      <c r="AF82" s="598"/>
      <c r="AG82" s="608"/>
    </row>
    <row r="83" spans="1:33" ht="13.5">
      <c r="A83" s="557"/>
      <c r="B83" s="557"/>
      <c r="C83" s="557"/>
      <c r="D83" s="557"/>
      <c r="E83" s="557"/>
      <c r="F83" s="557"/>
      <c r="G83" s="557"/>
      <c r="H83" s="557"/>
      <c r="I83" s="557"/>
      <c r="J83" s="1604"/>
      <c r="K83" s="557"/>
      <c r="L83" s="557"/>
      <c r="M83" s="557"/>
      <c r="N83" s="557"/>
      <c r="O83" s="557"/>
      <c r="P83" s="557"/>
      <c r="Q83" s="557"/>
      <c r="R83" s="557"/>
      <c r="S83" s="557"/>
      <c r="T83" s="557"/>
      <c r="U83" s="1256"/>
      <c r="V83" s="1256"/>
      <c r="W83" s="1256"/>
      <c r="X83" s="1256"/>
      <c r="Y83" s="1256"/>
      <c r="Z83" s="1256"/>
      <c r="AA83" s="1256"/>
      <c r="AB83" s="1256"/>
      <c r="AC83" s="1256"/>
      <c r="AF83" s="608"/>
      <c r="AG83" s="537"/>
    </row>
    <row r="84" spans="1:33" ht="13.5">
      <c r="A84" s="557"/>
      <c r="B84" s="557"/>
      <c r="C84" s="557"/>
      <c r="D84" s="557"/>
      <c r="E84" s="557"/>
      <c r="F84" s="557"/>
      <c r="G84" s="557"/>
      <c r="H84" s="557"/>
      <c r="I84" s="557"/>
      <c r="J84" s="1604"/>
      <c r="K84" s="557"/>
      <c r="L84" s="557"/>
      <c r="M84" s="557"/>
      <c r="N84" s="557"/>
      <c r="O84" s="557"/>
      <c r="P84" s="557"/>
      <c r="Q84" s="557"/>
      <c r="R84" s="557"/>
      <c r="S84" s="557"/>
      <c r="T84" s="557"/>
      <c r="U84" s="1256"/>
      <c r="V84" s="1256"/>
      <c r="W84" s="1256"/>
      <c r="X84" s="1256"/>
      <c r="Y84" s="1256"/>
      <c r="Z84" s="1256"/>
      <c r="AA84" s="1256"/>
      <c r="AB84" s="1256"/>
      <c r="AC84" s="1256"/>
      <c r="AF84" s="537"/>
      <c r="AG84" s="537"/>
    </row>
    <row r="85" spans="1:33" ht="13.5">
      <c r="A85" s="557"/>
      <c r="B85" s="557"/>
      <c r="C85" s="557"/>
      <c r="D85" s="557"/>
      <c r="E85" s="557"/>
      <c r="F85" s="557"/>
      <c r="G85" s="557"/>
      <c r="H85" s="557"/>
      <c r="I85" s="557"/>
      <c r="J85" s="1604"/>
      <c r="K85" s="557"/>
      <c r="L85" s="557"/>
      <c r="M85" s="557"/>
      <c r="N85" s="557"/>
      <c r="O85" s="557"/>
      <c r="P85" s="557"/>
      <c r="Q85" s="557"/>
      <c r="R85" s="557"/>
      <c r="S85" s="557"/>
      <c r="T85" s="557"/>
      <c r="U85" s="1256"/>
      <c r="V85" s="1256"/>
      <c r="W85" s="1256"/>
      <c r="X85" s="1256"/>
      <c r="Y85" s="1256"/>
      <c r="Z85" s="1256"/>
      <c r="AA85" s="1256"/>
      <c r="AB85" s="1256"/>
      <c r="AC85" s="1256"/>
      <c r="AF85" s="537"/>
      <c r="AG85" s="537"/>
    </row>
    <row r="86" spans="1:33" ht="13.5">
      <c r="A86" s="557"/>
      <c r="B86" s="557"/>
      <c r="C86" s="557"/>
      <c r="D86" s="557"/>
      <c r="E86" s="557"/>
      <c r="F86" s="557"/>
      <c r="G86" s="557"/>
      <c r="H86" s="557"/>
      <c r="I86" s="557"/>
      <c r="J86" s="1604"/>
      <c r="K86" s="557"/>
      <c r="L86" s="557"/>
      <c r="M86" s="557"/>
      <c r="N86" s="557"/>
      <c r="O86" s="557"/>
      <c r="P86" s="557"/>
      <c r="Q86" s="557"/>
      <c r="R86" s="557"/>
      <c r="S86" s="557"/>
      <c r="T86" s="557"/>
      <c r="U86" s="1256"/>
      <c r="V86" s="1256"/>
      <c r="W86" s="1256"/>
      <c r="X86" s="1256"/>
      <c r="Y86" s="1256"/>
      <c r="Z86" s="1256"/>
      <c r="AA86" s="1256"/>
      <c r="AB86" s="1256"/>
      <c r="AC86" s="1256"/>
      <c r="AF86" s="537"/>
      <c r="AG86" s="537"/>
    </row>
    <row r="87" spans="1:33" ht="12.75" customHeight="1">
      <c r="AF87" s="537"/>
      <c r="AG87" s="537"/>
    </row>
    <row r="88" spans="1:33" ht="12.75" customHeight="1">
      <c r="AF88" s="537"/>
    </row>
    <row r="89" spans="1:33" ht="12.75" customHeight="1"/>
    <row r="90" spans="1:33" ht="12.75" customHeight="1"/>
    <row r="91" spans="1:33" ht="12.75" customHeight="1"/>
    <row r="92" spans="1:33" ht="12.75" customHeight="1"/>
    <row r="93" spans="1:33" ht="409.6" customHeight="1"/>
  </sheetData>
  <dataConsolidate/>
  <mergeCells count="83">
    <mergeCell ref="A53:B53"/>
    <mergeCell ref="C53:D53"/>
    <mergeCell ref="A15:I15"/>
    <mergeCell ref="A17:I19"/>
    <mergeCell ref="A25:I27"/>
    <mergeCell ref="A21:I23"/>
    <mergeCell ref="A45:C45"/>
    <mergeCell ref="A48:C48"/>
    <mergeCell ref="A49:C49"/>
    <mergeCell ref="A46:C46"/>
    <mergeCell ref="A41:C41"/>
    <mergeCell ref="A42:C42"/>
    <mergeCell ref="A20:I20"/>
    <mergeCell ref="A16:I16"/>
    <mergeCell ref="A24:I24"/>
    <mergeCell ref="R8:S8"/>
    <mergeCell ref="R9:S9"/>
    <mergeCell ref="K15:S15"/>
    <mergeCell ref="M30:N30"/>
    <mergeCell ref="O30:P30"/>
    <mergeCell ref="R29:S29"/>
    <mergeCell ref="O31:P31"/>
    <mergeCell ref="M32:N32"/>
    <mergeCell ref="O32:P32"/>
    <mergeCell ref="M33:N33"/>
    <mergeCell ref="O33:P33"/>
    <mergeCell ref="H12:I12"/>
    <mergeCell ref="K50:M50"/>
    <mergeCell ref="M34:N34"/>
    <mergeCell ref="K42:M42"/>
    <mergeCell ref="K43:M43"/>
    <mergeCell ref="K44:M44"/>
    <mergeCell ref="K45:M45"/>
    <mergeCell ref="K46:M46"/>
    <mergeCell ref="K47:M47"/>
    <mergeCell ref="M31:N31"/>
    <mergeCell ref="O34:P34"/>
    <mergeCell ref="M35:N35"/>
    <mergeCell ref="O35:P35"/>
    <mergeCell ref="K40:N40"/>
    <mergeCell ref="K41:M41"/>
    <mergeCell ref="AB8:AC8"/>
    <mergeCell ref="AB9:AC9"/>
    <mergeCell ref="U15:AC15"/>
    <mergeCell ref="AB53:AB54"/>
    <mergeCell ref="AC53:AC54"/>
    <mergeCell ref="W30:X30"/>
    <mergeCell ref="Y30:Z30"/>
    <mergeCell ref="W31:X31"/>
    <mergeCell ref="Y31:Z31"/>
    <mergeCell ref="W32:X32"/>
    <mergeCell ref="Y32:Z32"/>
    <mergeCell ref="W33:X33"/>
    <mergeCell ref="Y33:Z33"/>
    <mergeCell ref="U50:W50"/>
    <mergeCell ref="W34:X34"/>
    <mergeCell ref="Y34:Z34"/>
    <mergeCell ref="W35:X35"/>
    <mergeCell ref="Y35:Z35"/>
    <mergeCell ref="U40:X40"/>
    <mergeCell ref="U41:W41"/>
    <mergeCell ref="U42:W42"/>
    <mergeCell ref="U43:W43"/>
    <mergeCell ref="U44:W44"/>
    <mergeCell ref="U45:W45"/>
    <mergeCell ref="U46:W46"/>
    <mergeCell ref="U47:W47"/>
    <mergeCell ref="A56:I63"/>
    <mergeCell ref="A69:A72"/>
    <mergeCell ref="C3:I3"/>
    <mergeCell ref="C5:E5"/>
    <mergeCell ref="C6:E6"/>
    <mergeCell ref="C8:E8"/>
    <mergeCell ref="C9:E9"/>
    <mergeCell ref="H8:I8"/>
    <mergeCell ref="H9:I9"/>
    <mergeCell ref="A43:C43"/>
    <mergeCell ref="A44:C44"/>
    <mergeCell ref="A50:C50"/>
    <mergeCell ref="A40:D40"/>
    <mergeCell ref="C11:E11"/>
    <mergeCell ref="A47:C47"/>
    <mergeCell ref="H11:I11"/>
  </mergeCells>
  <conditionalFormatting sqref="Y27 O27">
    <cfRule type="containsText" dxfId="72" priority="40" stopIfTrue="1" operator="containsText" text="XXX">
      <formula>NOT(ISERROR(SEARCH("XXX",O27)))</formula>
    </cfRule>
    <cfRule type="containsText" dxfId="71" priority="41" stopIfTrue="1" operator="containsText" text="&quot;&quot;">
      <formula>NOT(ISERROR(SEARCH("""""",O27)))</formula>
    </cfRule>
    <cfRule type="cellIs" dxfId="70" priority="42" stopIfTrue="1" operator="greaterThan">
      <formula>""""""</formula>
    </cfRule>
  </conditionalFormatting>
  <conditionalFormatting sqref="A17:I19">
    <cfRule type="cellIs" dxfId="69" priority="32" operator="equal">
      <formula>0</formula>
    </cfRule>
  </conditionalFormatting>
  <conditionalFormatting sqref="A21:I23 A17:I19 A25:I27">
    <cfRule type="cellIs" dxfId="68" priority="31" operator="equal">
      <formula>0</formula>
    </cfRule>
  </conditionalFormatting>
  <conditionalFormatting sqref="C53:D53 H11:H12 H8:H9 I5:I6 C5:E6 C8:E9 C11:E11 I9 I53 I12">
    <cfRule type="cellIs" dxfId="67" priority="25" stopIfTrue="1" operator="equal">
      <formula>"xxxxx"</formula>
    </cfRule>
  </conditionalFormatting>
  <conditionalFormatting sqref="C3:I3">
    <cfRule type="cellIs" dxfId="66" priority="11" operator="equal">
      <formula>"XXXXX"</formula>
    </cfRule>
  </conditionalFormatting>
  <dataValidations count="13">
    <dataValidation type="list" allowBlank="1" showInputMessage="1" showErrorMessage="1" sqref="S53:T53 J29">
      <formula1>"Oui,Non"</formula1>
    </dataValidation>
    <dataValidation type="list" allowBlank="1" showInputMessage="1" showErrorMessage="1" sqref="W53 M53">
      <formula1>"?,Fond propre,Emprunt Gefco, Emprunt PSA,Emprunt Bancaire"</formula1>
    </dataValidation>
    <dataValidation type="list" allowBlank="1" showInputMessage="1" showErrorMessage="1" sqref="I53">
      <formula1>"XXXXX,Oui,Non,Yes,No"</formula1>
    </dataValidation>
    <dataValidation type="list" allowBlank="1" showInputMessage="1" showErrorMessage="1" sqref="AC53:AC54">
      <formula1>"Yes,No"</formula1>
    </dataValidation>
    <dataValidation type="list" showInputMessage="1" showErrorMessage="1" sqref="AB8">
      <formula1>"Global, Responsable, Majeur,Efficace"</formula1>
    </dataValidation>
    <dataValidation type="list" allowBlank="1" showInputMessage="1" showErrorMessage="1" sqref="AB9 R9">
      <formula1>"Etude,Réalisation,Déploiement,Evolution"</formula1>
    </dataValidation>
    <dataValidation type="list" showInputMessage="1" showErrorMessage="1" sqref="R8:T8">
      <formula1>"Global, Responsable/Responsible, Majeur/Major,Efficace/Efficient"</formula1>
    </dataValidation>
    <dataValidation type="list" allowBlank="1" showInputMessage="1" showErrorMessage="1" sqref="C11:E11">
      <formula1>$AF$1:$AF$37</formula1>
    </dataValidation>
    <dataValidation type="list" allowBlank="1" showInputMessage="1" showErrorMessage="1" sqref="H9:I9">
      <formula1>"XXXXX,Renouvellement/Renewal,Croissance/Growth,Normalisation/Normalization,Environnement/Environment"</formula1>
    </dataValidation>
    <dataValidation type="list" showInputMessage="1" showErrorMessage="1" sqref="AB5 R5">
      <formula1>"FVL,CTP,DIV,GMO,OvL,OvS,WRP,ILI,RPS,4PL-,DSF,DRHCO,DSI,DCPSA,DCM,Qualité,Mulli UO"</formula1>
    </dataValidation>
    <dataValidation type="list" showInputMessage="1" showErrorMessage="1" sqref="I5">
      <formula1>"XXXXX,FVL,CTP,DIV,GMO,OvL,OvS,WRP,WHS,RPS,4PL-,DSF,DRHCO,DSI,DCPSA,DCM,Qualité,C&amp;T,Mulli UO"</formula1>
    </dataValidation>
    <dataValidation type="list" showInputMessage="1" showErrorMessage="1" sqref="H8">
      <formula1>"XXXXX,Global, Responsable/Responsible, Majeur/Major,Efficace/Efficient"</formula1>
    </dataValidation>
    <dataValidation type="list" allowBlank="1" showInputMessage="1" showErrorMessage="1" sqref="C53:D53">
      <formula1>"XXXXX,Fond propre,Emprunt Gefco, Emprunt PSA,Emprunt Bancaire,Self-financing,Loan Gefco,Loan PSA,Loan Bank,"</formula1>
    </dataValidation>
  </dataValidations>
  <printOptions horizontalCentered="1"/>
  <pageMargins left="0" right="0" top="0.44" bottom="0.24" header="0.31496062992125984" footer="0.2"/>
  <pageSetup paperSize="9" scale="78" orientation="portrait" r:id="rId1"/>
  <drawing r:id="rId2"/>
  <legacyDrawing r:id="rId3"/>
</worksheet>
</file>

<file path=xl/worksheets/sheet32.xml><?xml version="1.0" encoding="utf-8"?>
<worksheet xmlns="http://schemas.openxmlformats.org/spreadsheetml/2006/main" xmlns:r="http://schemas.openxmlformats.org/officeDocument/2006/relationships">
  <sheetPr codeName="Sheet5">
    <tabColor rgb="FF00B050"/>
    <pageSetUpPr fitToPage="1"/>
  </sheetPr>
  <dimension ref="B2:AI21"/>
  <sheetViews>
    <sheetView zoomScale="70" zoomScaleNormal="70" workbookViewId="0">
      <selection activeCell="E51" sqref="E51"/>
    </sheetView>
  </sheetViews>
  <sheetFormatPr baseColWidth="10" defaultColWidth="11.42578125" defaultRowHeight="12.75"/>
  <cols>
    <col min="1" max="1" width="3.5703125" style="1768" customWidth="1"/>
    <col min="2" max="2" width="35" style="1768" customWidth="1"/>
    <col min="3" max="3" width="47" style="1768" customWidth="1"/>
    <col min="4" max="4" width="11.7109375" style="1768" customWidth="1"/>
    <col min="5" max="5" width="22.42578125" style="1768" customWidth="1"/>
    <col min="6" max="7" width="10.42578125" style="1768" customWidth="1"/>
    <col min="8" max="8" width="39.85546875" style="1768" customWidth="1"/>
    <col min="9" max="9" width="35.85546875" style="1768" customWidth="1"/>
    <col min="10" max="10" width="46.140625" style="1768" customWidth="1"/>
    <col min="11" max="11" width="20.28515625" style="1768" customWidth="1"/>
    <col min="12" max="12" width="11.42578125" style="1768"/>
    <col min="13" max="13" width="3.5703125" style="1768" customWidth="1"/>
    <col min="14" max="14" width="28.5703125" style="1768" customWidth="1"/>
    <col min="15" max="15" width="47" style="1768" customWidth="1"/>
    <col min="16" max="16" width="11" style="1768" customWidth="1"/>
    <col min="17" max="17" width="22.42578125" style="1768" customWidth="1"/>
    <col min="18" max="19" width="10.42578125" style="1768" customWidth="1"/>
    <col min="20" max="20" width="27.28515625" style="1768" customWidth="1"/>
    <col min="21" max="21" width="35.85546875" style="1768" customWidth="1"/>
    <col min="22" max="22" width="46.140625" style="1768" customWidth="1"/>
    <col min="23" max="23" width="20.28515625" style="1768" customWidth="1"/>
    <col min="24" max="25" width="11.42578125" style="1768"/>
    <col min="26" max="26" width="19.140625" style="1768" customWidth="1"/>
    <col min="27" max="33" width="11.42578125" style="1768"/>
    <col min="34" max="34" width="52.28515625" style="1768" customWidth="1"/>
    <col min="35" max="16384" width="11.42578125" style="1768"/>
  </cols>
  <sheetData>
    <row r="2" spans="2:35" s="514" customFormat="1" ht="23.25">
      <c r="B2" s="2474" t="s">
        <v>279</v>
      </c>
      <c r="C2" s="2287"/>
      <c r="D2" s="2997" t="str">
        <f>'Cpte exploitation ARG'!E4</f>
        <v>xxxxxx</v>
      </c>
      <c r="E2" s="2997"/>
      <c r="F2" s="2997"/>
      <c r="G2" s="2997"/>
      <c r="H2" s="2997"/>
      <c r="I2" s="2997"/>
      <c r="J2" s="2998"/>
      <c r="K2" s="2285"/>
      <c r="M2" s="517" t="s">
        <v>279</v>
      </c>
      <c r="N2" s="517"/>
      <c r="O2" s="517"/>
      <c r="P2" s="517"/>
      <c r="Q2" s="518"/>
      <c r="R2" s="517"/>
      <c r="S2" s="517"/>
      <c r="T2" s="517"/>
      <c r="U2" s="1250" t="s">
        <v>279</v>
      </c>
      <c r="V2" s="1250"/>
      <c r="W2" s="1250"/>
      <c r="X2" s="1250"/>
      <c r="Y2" s="1250"/>
      <c r="Z2" s="1250"/>
      <c r="AA2" s="1251"/>
      <c r="AB2" s="1250"/>
      <c r="AC2" s="1250"/>
      <c r="AF2" s="1661"/>
      <c r="AG2"/>
    </row>
    <row r="4" spans="2:35" ht="18">
      <c r="B4" s="3001" t="str">
        <f>IF('Mode Opératoire'!$I$1="Français",N4,Z4)</f>
        <v>PRINCIPAUX RISQUES DU PROJET</v>
      </c>
      <c r="C4" s="3001"/>
      <c r="D4" s="3001"/>
      <c r="E4" s="3001"/>
      <c r="F4" s="3001"/>
      <c r="G4" s="3001"/>
      <c r="H4" s="3001"/>
      <c r="N4" s="2999" t="s">
        <v>1005</v>
      </c>
      <c r="O4" s="2999"/>
      <c r="P4" s="2999"/>
      <c r="Q4" s="2999"/>
      <c r="R4" s="2999"/>
      <c r="S4" s="2999"/>
      <c r="T4" s="2999"/>
      <c r="Z4" s="2999" t="s">
        <v>1252</v>
      </c>
      <c r="AA4" s="2999"/>
      <c r="AB4" s="2999"/>
      <c r="AC4" s="2999"/>
      <c r="AD4" s="2999"/>
      <c r="AE4" s="2999"/>
      <c r="AF4" s="2999"/>
    </row>
    <row r="5" spans="2:35" ht="21" customHeight="1">
      <c r="B5" s="1769"/>
      <c r="C5" s="1769"/>
      <c r="D5" s="1769"/>
      <c r="E5" s="1769"/>
      <c r="F5" s="1769"/>
      <c r="G5" s="1769"/>
      <c r="H5" s="1769"/>
      <c r="I5" s="1769"/>
      <c r="J5" s="1769"/>
      <c r="N5" s="1769"/>
      <c r="O5" s="1769"/>
      <c r="P5" s="1769"/>
      <c r="Q5" s="1769"/>
      <c r="R5" s="1769"/>
      <c r="S5" s="1769"/>
      <c r="T5" s="1769"/>
      <c r="U5" s="1769"/>
      <c r="V5" s="1769"/>
      <c r="Z5" s="1769"/>
      <c r="AA5" s="1769"/>
      <c r="AB5" s="1769"/>
      <c r="AC5" s="1769"/>
      <c r="AD5" s="1769"/>
      <c r="AE5" s="1769"/>
      <c r="AF5" s="1769"/>
      <c r="AG5" s="1769"/>
      <c r="AH5" s="1769"/>
    </row>
    <row r="6" spans="2:35" ht="74.25" customHeight="1">
      <c r="B6" s="3002" t="str">
        <f>IF('Mode Opératoire'!$I$1="Français",N6,Z6)</f>
        <v>Pour évaluer de manière exhaustive et rigoureuse la criticité d'un projet, il est conseillé aux chefs de projet de : 
- passer en revue la liste des risques ci-dessous ; 
- d'évaluer pour chacun d'entre eux leur gravité et leur probabilité de survenance (ce qui aboutit à une note de criticité du risque) ;
- de reprendre le tableau et les représentations graphiques de ces risques dans la présentation PPT (copie écran).</v>
      </c>
      <c r="C6" s="3002"/>
      <c r="D6" s="3002"/>
      <c r="E6" s="3002"/>
      <c r="F6" s="3002"/>
      <c r="G6" s="3002"/>
      <c r="H6" s="3002"/>
      <c r="I6" s="3002"/>
      <c r="J6" s="2347"/>
      <c r="K6" s="2347"/>
      <c r="N6" s="3000" t="s">
        <v>1026</v>
      </c>
      <c r="O6" s="3000"/>
      <c r="P6" s="3000"/>
      <c r="Q6" s="3000"/>
      <c r="R6" s="3000"/>
      <c r="S6" s="3000"/>
      <c r="T6" s="3000"/>
      <c r="U6" s="3000"/>
      <c r="Z6" s="3000" t="s">
        <v>1251</v>
      </c>
      <c r="AA6" s="3000"/>
      <c r="AB6" s="3000"/>
      <c r="AC6" s="3000"/>
      <c r="AD6" s="3000"/>
      <c r="AE6" s="3000"/>
      <c r="AF6" s="3000"/>
      <c r="AG6" s="3000"/>
    </row>
    <row r="7" spans="2:35" ht="21" customHeight="1" thickBot="1">
      <c r="B7" s="2348"/>
      <c r="C7" s="2348"/>
      <c r="D7" s="2348"/>
      <c r="E7" s="2348"/>
      <c r="F7" s="2348"/>
      <c r="G7" s="2348"/>
      <c r="H7" s="2348"/>
      <c r="I7" s="2348"/>
      <c r="J7" s="2348"/>
      <c r="K7" s="2347"/>
      <c r="N7" s="1770"/>
      <c r="O7" s="1770"/>
      <c r="P7" s="1770"/>
      <c r="Q7" s="1770"/>
      <c r="R7" s="1770"/>
      <c r="S7" s="1770"/>
      <c r="T7" s="1770"/>
      <c r="U7" s="1770"/>
      <c r="V7" s="1770"/>
      <c r="Z7" s="1770"/>
      <c r="AA7" s="1770"/>
      <c r="AB7" s="1770"/>
      <c r="AC7" s="1770"/>
      <c r="AD7" s="1770"/>
      <c r="AE7" s="1770"/>
      <c r="AF7" s="1770"/>
      <c r="AG7" s="1770"/>
      <c r="AH7" s="1770"/>
    </row>
    <row r="8" spans="2:35" ht="39" thickTop="1">
      <c r="B8" s="2349" t="str">
        <f>IF('Mode Opératoire'!$I$1="Français",N8,Z8)</f>
        <v>Typologie des risques</v>
      </c>
      <c r="C8" s="2350" t="str">
        <f>IF('Mode Opératoire'!$I$1="Français",O8,AA8)</f>
        <v>Risques pour le projet</v>
      </c>
      <c r="D8" s="2351" t="str">
        <f>IF('Mode Opératoire'!$I$1="Français",P8,AB8)</f>
        <v>Gravité 
(de 0 à 3)</v>
      </c>
      <c r="E8" s="2352" t="str">
        <f>IF('Mode Opératoire'!$I$1="Français",Q8,AC8)</f>
        <v>Probabilité de survenance (de 0 à 3)</v>
      </c>
      <c r="F8" s="2353" t="str">
        <f>IF('Mode Opératoire'!$I$1="Français",R8,AD8)</f>
        <v>Criticité</v>
      </c>
      <c r="G8" s="2353" t="str">
        <f>IF('Mode Opératoire'!$I$1="Français",S8,AE8)</f>
        <v>Cible</v>
      </c>
      <c r="H8" s="2352" t="str">
        <f>IF('Mode Opératoire'!$I$1="Français",U8,AF8)</f>
        <v>Actions de correction</v>
      </c>
      <c r="I8" s="2352" t="str">
        <f>IF('Mode Opératoire'!$I$1="Français",U8,AG8)</f>
        <v>Actions de correction</v>
      </c>
      <c r="J8" s="2352" t="str">
        <f>IF('Mode Opératoire'!$I$1="Français",V8,AH8)</f>
        <v>Remarques</v>
      </c>
      <c r="K8" s="2352" t="str">
        <f>IF('Mode Opératoire'!$I$1="Français",W8,AI8)</f>
        <v>Votre correspondant Corporate</v>
      </c>
      <c r="N8" s="1771" t="s">
        <v>1006</v>
      </c>
      <c r="O8" s="1772" t="s">
        <v>1007</v>
      </c>
      <c r="P8" s="1773" t="s">
        <v>1008</v>
      </c>
      <c r="Q8" s="1774" t="s">
        <v>1009</v>
      </c>
      <c r="R8" s="1775" t="s">
        <v>1010</v>
      </c>
      <c r="S8" s="1775" t="s">
        <v>1011</v>
      </c>
      <c r="T8" s="1774" t="s">
        <v>1012</v>
      </c>
      <c r="U8" s="1774" t="s">
        <v>1013</v>
      </c>
      <c r="V8" s="1774" t="s">
        <v>1024</v>
      </c>
      <c r="W8" s="1774" t="s">
        <v>1057</v>
      </c>
      <c r="Z8" s="1771" t="s">
        <v>1253</v>
      </c>
      <c r="AA8" s="1772" t="s">
        <v>1254</v>
      </c>
      <c r="AB8" s="1773" t="s">
        <v>1255</v>
      </c>
      <c r="AC8" s="1774" t="s">
        <v>1256</v>
      </c>
      <c r="AD8" s="1775" t="s">
        <v>1257</v>
      </c>
      <c r="AE8" s="1775" t="s">
        <v>1258</v>
      </c>
      <c r="AF8" s="1774" t="s">
        <v>1259</v>
      </c>
      <c r="AG8" s="1774" t="s">
        <v>1260</v>
      </c>
      <c r="AH8" s="1774" t="s">
        <v>1261</v>
      </c>
      <c r="AI8" s="1774" t="s">
        <v>1262</v>
      </c>
    </row>
    <row r="9" spans="2:35" ht="38.25" customHeight="1">
      <c r="B9" s="2354" t="str">
        <f>IF('Mode Opératoire'!$I$1="Français",Risques!N9,Risques!Z9)</f>
        <v>Pilotage</v>
      </c>
      <c r="C9" s="2355"/>
      <c r="D9" s="2356"/>
      <c r="E9" s="2357"/>
      <c r="F9" s="2358">
        <f>D9*E9</f>
        <v>0</v>
      </c>
      <c r="G9" s="2358">
        <v>3</v>
      </c>
      <c r="H9" s="2359"/>
      <c r="I9" s="2360"/>
      <c r="J9" s="2354" t="str">
        <f>IF('Mode Opératoire'!$I$1="Français",Risques!V9,Risques!AH9)</f>
        <v>visibilité suivi du projet, pilotage du projet, risque pays</v>
      </c>
      <c r="K9" s="2354">
        <f>IF('Mode Opératoire'!$I$1="Français",Risques!W9,Risques!AI9)</f>
        <v>0</v>
      </c>
      <c r="N9" s="1794" t="s">
        <v>1017</v>
      </c>
      <c r="O9" s="1794"/>
      <c r="P9" s="1795">
        <v>1</v>
      </c>
      <c r="Q9" s="1796">
        <v>2</v>
      </c>
      <c r="R9" s="1797">
        <f>P9*Q9</f>
        <v>2</v>
      </c>
      <c r="S9" s="1797">
        <v>3</v>
      </c>
      <c r="T9" s="1798"/>
      <c r="U9" s="1799"/>
      <c r="V9" s="1799" t="s">
        <v>1022</v>
      </c>
      <c r="W9" s="1799"/>
      <c r="Z9" s="1794" t="s">
        <v>1270</v>
      </c>
      <c r="AA9" s="1794"/>
      <c r="AB9" s="1795"/>
      <c r="AC9" s="1796"/>
      <c r="AD9" s="1797"/>
      <c r="AE9" s="1797"/>
      <c r="AF9" s="1798"/>
      <c r="AG9" s="1799"/>
      <c r="AH9" s="1799" t="s">
        <v>1283</v>
      </c>
    </row>
    <row r="10" spans="2:35" ht="38.25" customHeight="1">
      <c r="B10" s="2354" t="str">
        <f>IF('Mode Opératoire'!$I$1="Français",Risques!N10,Risques!Z10)</f>
        <v>Gestion administrative et finances</v>
      </c>
      <c r="C10" s="2361"/>
      <c r="D10" s="2356"/>
      <c r="E10" s="2357"/>
      <c r="F10" s="2358">
        <f t="shared" ref="F10:F17" si="0">D10*E10</f>
        <v>0</v>
      </c>
      <c r="G10" s="2358">
        <v>3</v>
      </c>
      <c r="H10" s="2359"/>
      <c r="I10" s="2362"/>
      <c r="J10" s="2354" t="str">
        <f>IF('Mode Opératoire'!$I$1="Français",Risques!V10,Risques!AH10)</f>
        <v>Risque de change, risque fiscal, trésorerie, non maitrise des délais de paiement</v>
      </c>
      <c r="K10" s="2354">
        <f>IF('Mode Opératoire'!$I$1="Français",Risques!W10,Risques!AI10)</f>
        <v>0</v>
      </c>
      <c r="N10" s="1800" t="s">
        <v>1018</v>
      </c>
      <c r="O10" s="1800"/>
      <c r="P10" s="1795"/>
      <c r="Q10" s="1796"/>
      <c r="R10" s="1797">
        <f t="shared" ref="R10:R20" si="1">P10*Q10</f>
        <v>0</v>
      </c>
      <c r="S10" s="1797">
        <v>3</v>
      </c>
      <c r="T10" s="1798"/>
      <c r="U10" s="1801"/>
      <c r="V10" s="1801" t="s">
        <v>1023</v>
      </c>
      <c r="Z10" s="1800" t="s">
        <v>1271</v>
      </c>
      <c r="AA10" s="1800"/>
      <c r="AB10" s="1795"/>
      <c r="AC10" s="1796"/>
      <c r="AD10" s="1797"/>
      <c r="AE10" s="1797"/>
      <c r="AF10" s="1798"/>
      <c r="AG10" s="1801"/>
      <c r="AH10" s="1801" t="s">
        <v>1293</v>
      </c>
    </row>
    <row r="11" spans="2:35" ht="49.5">
      <c r="B11" s="2354" t="str">
        <f>IF('Mode Opératoire'!$I$1="Français",Risques!N11,Risques!Z11)</f>
        <v>Juridique</v>
      </c>
      <c r="C11" s="2363"/>
      <c r="D11" s="2364"/>
      <c r="E11" s="2365"/>
      <c r="F11" s="2358">
        <f t="shared" si="0"/>
        <v>0</v>
      </c>
      <c r="G11" s="2358">
        <v>3</v>
      </c>
      <c r="H11" s="2359"/>
      <c r="I11" s="2366"/>
      <c r="J11" s="2354" t="str">
        <f>IF('Mode Opératoire'!$I$1="Français",Risques!V11,Risques!AH11)</f>
        <v xml:space="preserve">Evolution défavorable de la réglementation, absence d'un agrément, d'un certificat ou d'une autorisation, droit du travail, maitrise des ressources </v>
      </c>
      <c r="K11" s="2354">
        <f>IF('Mode Opératoire'!$I$1="Français",Risques!W11,Risques!AI11)</f>
        <v>0</v>
      </c>
      <c r="N11" s="1802" t="s">
        <v>1014</v>
      </c>
      <c r="O11" s="1802"/>
      <c r="P11" s="1803"/>
      <c r="Q11" s="1804"/>
      <c r="R11" s="1797">
        <f t="shared" si="1"/>
        <v>0</v>
      </c>
      <c r="S11" s="1797">
        <v>3</v>
      </c>
      <c r="T11" s="1798"/>
      <c r="U11" s="1805"/>
      <c r="V11" s="1805" t="s">
        <v>1027</v>
      </c>
      <c r="Z11" s="1802" t="s">
        <v>1284</v>
      </c>
      <c r="AA11" s="1802"/>
      <c r="AB11" s="1803"/>
      <c r="AC11" s="1804"/>
      <c r="AD11" s="1797"/>
      <c r="AE11" s="1797"/>
      <c r="AF11" s="1798"/>
      <c r="AG11" s="1805"/>
      <c r="AH11" s="1805" t="s">
        <v>1285</v>
      </c>
    </row>
    <row r="12" spans="2:35" ht="38.25" customHeight="1">
      <c r="B12" s="2354" t="str">
        <f>IF('Mode Opératoire'!$I$1="Français",Risques!N12,Risques!Z12)</f>
        <v>Systèmes d'information</v>
      </c>
      <c r="C12" s="2363"/>
      <c r="D12" s="2364"/>
      <c r="E12" s="2365"/>
      <c r="F12" s="2358">
        <f t="shared" si="0"/>
        <v>0</v>
      </c>
      <c r="G12" s="2358">
        <v>3</v>
      </c>
      <c r="H12" s="2359"/>
      <c r="I12" s="2366"/>
      <c r="J12" s="2354" t="str">
        <f>IF('Mode Opératoire'!$I$1="Français",Risques!V12,Risques!AH12)</f>
        <v xml:space="preserve">Déploiement outil local, outil corporate, outil spécifique… </v>
      </c>
      <c r="K12" s="2354">
        <f>IF('Mode Opératoire'!$I$1="Français",Risques!W12,Risques!AI12)</f>
        <v>0</v>
      </c>
      <c r="N12" s="1802" t="s">
        <v>1015</v>
      </c>
      <c r="O12" s="1802"/>
      <c r="P12" s="1803"/>
      <c r="Q12" s="1804"/>
      <c r="R12" s="1797">
        <f t="shared" si="1"/>
        <v>0</v>
      </c>
      <c r="S12" s="1797">
        <v>3</v>
      </c>
      <c r="T12" s="1798"/>
      <c r="U12" s="1805"/>
      <c r="V12" s="1805" t="s">
        <v>1028</v>
      </c>
      <c r="Z12" s="1802" t="s">
        <v>1286</v>
      </c>
      <c r="AA12" s="1802"/>
      <c r="AB12" s="1803"/>
      <c r="AC12" s="1804"/>
      <c r="AD12" s="1797"/>
      <c r="AE12" s="1797"/>
      <c r="AF12" s="1798"/>
      <c r="AG12" s="1805"/>
      <c r="AH12" s="1805" t="s">
        <v>1294</v>
      </c>
    </row>
    <row r="13" spans="2:35" ht="38.25" customHeight="1">
      <c r="B13" s="2354" t="str">
        <f>IF('Mode Opératoire'!$I$1="Français",Risques!N13,Risques!Z13)</f>
        <v>Projet</v>
      </c>
      <c r="C13" s="2363"/>
      <c r="D13" s="2364"/>
      <c r="E13" s="2365"/>
      <c r="F13" s="2358">
        <f t="shared" si="0"/>
        <v>0</v>
      </c>
      <c r="G13" s="2358">
        <v>3</v>
      </c>
      <c r="H13" s="2359"/>
      <c r="I13" s="2366"/>
      <c r="J13" s="2354" t="str">
        <f>IF('Mode Opératoire'!$I$1="Français",Risques!V13,Risques!AH13)</f>
        <v>Risque de dérapage du planning, des coûts, dépendance à d'autres projets</v>
      </c>
      <c r="K13" s="2354">
        <f>IF('Mode Opératoire'!$I$1="Français",Risques!W13,Risques!AI13)</f>
        <v>0</v>
      </c>
      <c r="N13" s="1802" t="s">
        <v>1000</v>
      </c>
      <c r="O13" s="1802"/>
      <c r="P13" s="1803"/>
      <c r="Q13" s="1804"/>
      <c r="R13" s="1797">
        <f t="shared" si="1"/>
        <v>0</v>
      </c>
      <c r="S13" s="1797">
        <v>3</v>
      </c>
      <c r="T13" s="1798"/>
      <c r="U13" s="1805"/>
      <c r="V13" s="1805" t="s">
        <v>1025</v>
      </c>
      <c r="Z13" s="1802" t="s">
        <v>1287</v>
      </c>
      <c r="AA13" s="1802"/>
      <c r="AB13" s="1803"/>
      <c r="AC13" s="1804"/>
      <c r="AD13" s="1797"/>
      <c r="AE13" s="1797"/>
      <c r="AF13" s="1798"/>
      <c r="AG13" s="1805"/>
      <c r="AH13" s="1805" t="s">
        <v>1288</v>
      </c>
    </row>
    <row r="14" spans="2:35" ht="38.25" customHeight="1">
      <c r="B14" s="2354" t="str">
        <f>IF('Mode Opératoire'!$I$1="Français",Risques!N14,Risques!Z14)</f>
        <v>Client, commerce, service</v>
      </c>
      <c r="C14" s="2363"/>
      <c r="D14" s="2364"/>
      <c r="E14" s="2365"/>
      <c r="F14" s="2358">
        <f t="shared" si="0"/>
        <v>0</v>
      </c>
      <c r="G14" s="2358">
        <v>3</v>
      </c>
      <c r="H14" s="2359"/>
      <c r="I14" s="2366"/>
      <c r="J14" s="2354" t="str">
        <f>IF('Mode Opératoire'!$I$1="Français",Risques!V14,Risques!AH14)</f>
        <v>Incertitude du chiffre d'affaires, impératif client (délais, accompagnement…), inadéquation des attentes clients face au service proposé, perte du CA client</v>
      </c>
      <c r="K14" s="2354">
        <f>IF('Mode Opératoire'!$I$1="Français",Risques!W14,Risques!AI14)</f>
        <v>0</v>
      </c>
      <c r="N14" s="1802" t="s">
        <v>1019</v>
      </c>
      <c r="O14" s="1802"/>
      <c r="P14" s="1803"/>
      <c r="Q14" s="1804"/>
      <c r="R14" s="1797">
        <f t="shared" si="1"/>
        <v>0</v>
      </c>
      <c r="S14" s="1797">
        <v>3</v>
      </c>
      <c r="T14" s="1798"/>
      <c r="U14" s="1805"/>
      <c r="V14" s="1805" t="s">
        <v>1033</v>
      </c>
      <c r="Z14" s="1802" t="s">
        <v>1289</v>
      </c>
      <c r="AA14" s="1802"/>
      <c r="AB14" s="1803"/>
      <c r="AC14" s="1804"/>
      <c r="AD14" s="1797"/>
      <c r="AE14" s="1797"/>
      <c r="AF14" s="1798"/>
      <c r="AG14" s="1805"/>
      <c r="AH14" s="1805" t="s">
        <v>1290</v>
      </c>
    </row>
    <row r="15" spans="2:35" ht="38.25" customHeight="1">
      <c r="B15" s="2354" t="str">
        <f>IF('Mode Opératoire'!$I$1="Français",Risques!N15,Risques!Z15)</f>
        <v>Ressources humaines</v>
      </c>
      <c r="C15" s="2363"/>
      <c r="D15" s="2364"/>
      <c r="E15" s="2365"/>
      <c r="F15" s="2358">
        <f t="shared" si="0"/>
        <v>0</v>
      </c>
      <c r="G15" s="2358">
        <v>3</v>
      </c>
      <c r="H15" s="2359"/>
      <c r="I15" s="2366"/>
      <c r="J15" s="2354" t="str">
        <f>IF('Mode Opératoire'!$I$1="Français",Risques!V15,Risques!AH15)</f>
        <v>manque de ressources ou de compétences, risque social</v>
      </c>
      <c r="K15" s="2354">
        <f>IF('Mode Opératoire'!$I$1="Français",Risques!W15,Risques!AI15)</f>
        <v>0</v>
      </c>
      <c r="N15" s="1802" t="s">
        <v>1016</v>
      </c>
      <c r="O15" s="1802"/>
      <c r="P15" s="1803"/>
      <c r="Q15" s="1804"/>
      <c r="R15" s="1797">
        <f t="shared" si="1"/>
        <v>0</v>
      </c>
      <c r="S15" s="1797">
        <v>3</v>
      </c>
      <c r="T15" s="1798"/>
      <c r="U15" s="1805"/>
      <c r="V15" s="1805" t="s">
        <v>1032</v>
      </c>
      <c r="Z15" s="1802" t="s">
        <v>1291</v>
      </c>
      <c r="AA15" s="1802"/>
      <c r="AB15" s="1803"/>
      <c r="AC15" s="1804"/>
      <c r="AD15" s="1797"/>
      <c r="AE15" s="1797"/>
      <c r="AF15" s="1798"/>
      <c r="AG15" s="1805"/>
      <c r="AH15" s="1805" t="s">
        <v>1292</v>
      </c>
    </row>
    <row r="16" spans="2:35" ht="38.25" customHeight="1">
      <c r="B16" s="2354" t="str">
        <f>IF('Mode Opératoire'!$I$1="Français",Risques!N16,Risques!Z16)</f>
        <v>Exploitation</v>
      </c>
      <c r="C16" s="2363"/>
      <c r="D16" s="2364"/>
      <c r="E16" s="2365"/>
      <c r="F16" s="2358">
        <f t="shared" si="0"/>
        <v>0</v>
      </c>
      <c r="G16" s="2358">
        <v>3</v>
      </c>
      <c r="H16" s="2359"/>
      <c r="I16" s="2366"/>
      <c r="J16" s="2354" t="str">
        <f>IF('Mode Opératoire'!$I$1="Français",Risques!V16,Risques!AH16)</f>
        <v>impact sur le réseau, synergies, …</v>
      </c>
      <c r="K16" s="2354">
        <f>IF('Mode Opératoire'!$I$1="Français",Risques!W16,Risques!AI16)</f>
        <v>0</v>
      </c>
      <c r="N16" s="1802" t="s">
        <v>1020</v>
      </c>
      <c r="O16" s="1802"/>
      <c r="P16" s="1803"/>
      <c r="Q16" s="1804"/>
      <c r="R16" s="1797">
        <f t="shared" si="1"/>
        <v>0</v>
      </c>
      <c r="S16" s="1797">
        <v>3</v>
      </c>
      <c r="T16" s="1798"/>
      <c r="U16" s="1805"/>
      <c r="V16" s="1805" t="s">
        <v>1031</v>
      </c>
      <c r="Z16" s="1802" t="s">
        <v>1295</v>
      </c>
      <c r="AA16" s="1802"/>
      <c r="AB16" s="1803"/>
      <c r="AC16" s="1804"/>
      <c r="AD16" s="1797"/>
      <c r="AE16" s="1797"/>
      <c r="AF16" s="1798"/>
      <c r="AG16" s="1805"/>
      <c r="AH16" s="1805" t="s">
        <v>1296</v>
      </c>
    </row>
    <row r="17" spans="2:34" ht="38.25" customHeight="1">
      <c r="B17" s="2354" t="str">
        <f>IF('Mode Opératoire'!$I$1="Français",Risques!N17,Risques!Z17)</f>
        <v>Fournisseurs/ partenaires</v>
      </c>
      <c r="C17" s="2363"/>
      <c r="D17" s="2364"/>
      <c r="E17" s="2365"/>
      <c r="F17" s="2358">
        <f t="shared" si="0"/>
        <v>0</v>
      </c>
      <c r="G17" s="2358">
        <v>3</v>
      </c>
      <c r="H17" s="2359"/>
      <c r="I17" s="2366"/>
      <c r="J17" s="2354" t="str">
        <f>IF('Mode Opératoire'!$I$1="Français",Risques!V17,Risques!AH17)</f>
        <v>Risques contentieux, risque de défaillance, non-respect des conditions d'achat, monopole du fournisseur…</v>
      </c>
      <c r="K17" s="2354">
        <f>IF('Mode Opératoire'!$I$1="Français",Risques!W17,Risques!AI17)</f>
        <v>0</v>
      </c>
      <c r="N17" s="1802" t="s">
        <v>1021</v>
      </c>
      <c r="O17" s="1802"/>
      <c r="P17" s="1803"/>
      <c r="Q17" s="1804"/>
      <c r="R17" s="1797">
        <f t="shared" si="1"/>
        <v>0</v>
      </c>
      <c r="S17" s="1797">
        <v>3</v>
      </c>
      <c r="T17" s="1798"/>
      <c r="U17" s="1805"/>
      <c r="V17" s="1805" t="s">
        <v>1034</v>
      </c>
      <c r="Z17" s="1802" t="s">
        <v>1297</v>
      </c>
      <c r="AA17" s="1802"/>
      <c r="AB17" s="1803"/>
      <c r="AC17" s="1804"/>
      <c r="AD17" s="1797"/>
      <c r="AE17" s="1797"/>
      <c r="AF17" s="1798"/>
      <c r="AG17" s="1805"/>
      <c r="AH17" s="1805" t="s">
        <v>1298</v>
      </c>
    </row>
    <row r="18" spans="2:34" ht="38.25" customHeight="1">
      <c r="B18" s="2354" t="str">
        <f>IF('Mode Opératoire'!$I$1="Français",Risques!N18,Risques!Z18)</f>
        <v>Financement</v>
      </c>
      <c r="C18" s="2363"/>
      <c r="D18" s="2364"/>
      <c r="E18" s="2365"/>
      <c r="F18" s="2358">
        <f t="shared" ref="F18:F20" si="2">D18*E18</f>
        <v>0</v>
      </c>
      <c r="G18" s="2358">
        <v>3</v>
      </c>
      <c r="H18" s="2359"/>
      <c r="I18" s="2366"/>
      <c r="J18" s="2367" t="str">
        <f>IF('Mode Opératoire'!$I$1="Français",Risques!V18,Risques!AH18)</f>
        <v xml:space="preserve">fond propre, location, emprunts, capitalisation… </v>
      </c>
      <c r="K18" s="2354">
        <f>IF('Mode Opératoire'!$I$1="Français",Risques!W18,Risques!AI18)</f>
        <v>0</v>
      </c>
      <c r="N18" s="1802" t="s">
        <v>320</v>
      </c>
      <c r="O18" s="1806"/>
      <c r="P18" s="1803"/>
      <c r="Q18" s="1804"/>
      <c r="R18" s="1797">
        <f t="shared" si="1"/>
        <v>0</v>
      </c>
      <c r="S18" s="1797">
        <v>3</v>
      </c>
      <c r="T18" s="1807"/>
      <c r="U18" s="1805"/>
      <c r="V18" s="1805" t="s">
        <v>1029</v>
      </c>
      <c r="Z18" s="1802" t="s">
        <v>1299</v>
      </c>
      <c r="AA18" s="1806"/>
      <c r="AB18" s="1803"/>
      <c r="AC18" s="1804"/>
      <c r="AD18" s="1797"/>
      <c r="AE18" s="1797"/>
      <c r="AF18" s="1807"/>
      <c r="AG18" s="1805"/>
      <c r="AH18" s="1805" t="s">
        <v>1300</v>
      </c>
    </row>
    <row r="19" spans="2:34" ht="38.25" customHeight="1">
      <c r="B19" s="2354" t="str">
        <f>IF('Mode Opératoire'!$I$1="Français",Risques!N19,Risques!Z19)</f>
        <v>Fiscal</v>
      </c>
      <c r="C19" s="2363"/>
      <c r="D19" s="2364"/>
      <c r="E19" s="2365"/>
      <c r="F19" s="2358">
        <f t="shared" si="2"/>
        <v>0</v>
      </c>
      <c r="G19" s="2358">
        <v>3</v>
      </c>
      <c r="H19" s="2359"/>
      <c r="I19" s="2366"/>
      <c r="J19" s="2354">
        <f>IF('Mode Opératoire'!$I$1="Français",Risques!V19,Risques!AH19)</f>
        <v>0</v>
      </c>
      <c r="K19" s="2354">
        <f>IF('Mode Opératoire'!$I$1="Français",Risques!W19,Risques!AI19)</f>
        <v>0</v>
      </c>
      <c r="N19" s="1802" t="s">
        <v>1037</v>
      </c>
      <c r="O19" s="1806"/>
      <c r="P19" s="1803"/>
      <c r="Q19" s="1804"/>
      <c r="R19" s="1797">
        <f t="shared" si="1"/>
        <v>0</v>
      </c>
      <c r="S19" s="1797">
        <v>3</v>
      </c>
      <c r="T19" s="1807"/>
      <c r="U19" s="1805"/>
      <c r="V19" s="1805"/>
      <c r="Z19" s="1802" t="s">
        <v>1301</v>
      </c>
      <c r="AA19" s="1806"/>
      <c r="AB19" s="1803"/>
      <c r="AC19" s="1804"/>
      <c r="AD19" s="1797"/>
      <c r="AE19" s="1797"/>
      <c r="AF19" s="1807"/>
      <c r="AG19" s="1805"/>
      <c r="AH19" s="1805" t="s">
        <v>1302</v>
      </c>
    </row>
    <row r="20" spans="2:34" ht="38.25" customHeight="1">
      <c r="B20" s="2354" t="str">
        <f>IF('Mode Opératoire'!$I$1="Français",Risques!N20,Risques!Z20)</f>
        <v>Immobilier</v>
      </c>
      <c r="C20" s="2363"/>
      <c r="D20" s="2364"/>
      <c r="E20" s="2365"/>
      <c r="F20" s="2358">
        <f t="shared" si="2"/>
        <v>0</v>
      </c>
      <c r="G20" s="2358">
        <v>3</v>
      </c>
      <c r="H20" s="2359"/>
      <c r="I20" s="2366"/>
      <c r="J20" s="2354" t="str">
        <f>IF('Mode Opératoire'!$I$1="Français",Risques!V20,Risques!AH20)</f>
        <v xml:space="preserve">contrat client = contrat immobilier, risque de fin de bail,  </v>
      </c>
      <c r="K20" s="2354">
        <f>IF('Mode Opératoire'!$I$1="Français",Risques!W20,Risques!AI20)</f>
        <v>0</v>
      </c>
      <c r="N20" s="1802" t="s">
        <v>1</v>
      </c>
      <c r="O20" s="1802"/>
      <c r="P20" s="1808"/>
      <c r="Q20" s="1809"/>
      <c r="R20" s="1797">
        <f t="shared" si="1"/>
        <v>0</v>
      </c>
      <c r="S20" s="1797">
        <v>3</v>
      </c>
      <c r="T20" s="1807"/>
      <c r="U20" s="1805"/>
      <c r="V20" s="1805" t="s">
        <v>1030</v>
      </c>
      <c r="Z20" s="1802" t="s">
        <v>684</v>
      </c>
      <c r="AA20" s="1802"/>
      <c r="AB20" s="1808"/>
      <c r="AC20" s="1809"/>
      <c r="AD20" s="1797"/>
      <c r="AE20" s="1797"/>
      <c r="AF20" s="1807"/>
      <c r="AG20" s="1805"/>
      <c r="AH20" s="1805" t="s">
        <v>1303</v>
      </c>
    </row>
    <row r="21" spans="2:34">
      <c r="B21" s="1776"/>
      <c r="C21" s="1777"/>
      <c r="D21" s="1778"/>
      <c r="E21" s="1778"/>
      <c r="F21" s="1779"/>
      <c r="G21" s="1779"/>
      <c r="H21" s="1777"/>
      <c r="I21" s="1777"/>
      <c r="J21" s="1777"/>
      <c r="N21" s="1776"/>
      <c r="O21" s="1777"/>
      <c r="P21" s="1778"/>
      <c r="Q21" s="1778"/>
      <c r="R21" s="1779"/>
      <c r="S21" s="1779"/>
      <c r="T21" s="1777"/>
      <c r="U21" s="1777"/>
      <c r="V21" s="1777"/>
      <c r="Z21" s="1776"/>
      <c r="AA21" s="1777"/>
      <c r="AB21" s="1778"/>
      <c r="AC21" s="1778"/>
      <c r="AD21" s="1779"/>
      <c r="AE21" s="1779"/>
      <c r="AF21" s="1777"/>
      <c r="AG21" s="1777"/>
      <c r="AH21" s="1777"/>
    </row>
  </sheetData>
  <mergeCells count="7">
    <mergeCell ref="D2:J2"/>
    <mergeCell ref="Z4:AF4"/>
    <mergeCell ref="Z6:AG6"/>
    <mergeCell ref="B4:H4"/>
    <mergeCell ref="B6:I6"/>
    <mergeCell ref="N4:T4"/>
    <mergeCell ref="N6:U6"/>
  </mergeCells>
  <conditionalFormatting sqref="G9 S11:S21 AE11:AE21 G11:G21">
    <cfRule type="cellIs" dxfId="65" priority="35" operator="lessThan">
      <formula>F9</formula>
    </cfRule>
    <cfRule type="cellIs" dxfId="64" priority="36" operator="lessThan">
      <formula>$F$9</formula>
    </cfRule>
    <cfRule type="cellIs" dxfId="63" priority="37" operator="greaterThan">
      <formula>$F$9</formula>
    </cfRule>
  </conditionalFormatting>
  <conditionalFormatting sqref="G10">
    <cfRule type="cellIs" dxfId="62" priority="32" operator="lessThan">
      <formula>F10</formula>
    </cfRule>
    <cfRule type="cellIs" dxfId="61" priority="33" operator="lessThan">
      <formula>$F$9</formula>
    </cfRule>
    <cfRule type="cellIs" dxfId="60" priority="34" operator="greaterThan">
      <formula>$F$9</formula>
    </cfRule>
  </conditionalFormatting>
  <conditionalFormatting sqref="B21 H9:H17">
    <cfRule type="expression" dxfId="59" priority="28">
      <formula>G9&lt;F9</formula>
    </cfRule>
  </conditionalFormatting>
  <conditionalFormatting sqref="S9">
    <cfRule type="cellIs" dxfId="58" priority="24" operator="lessThan">
      <formula>R9</formula>
    </cfRule>
    <cfRule type="cellIs" dxfId="57" priority="25" operator="lessThan">
      <formula>$F$9</formula>
    </cfRule>
    <cfRule type="cellIs" dxfId="56" priority="26" operator="greaterThan">
      <formula>$F$9</formula>
    </cfRule>
  </conditionalFormatting>
  <conditionalFormatting sqref="S10">
    <cfRule type="cellIs" dxfId="55" priority="21" operator="lessThan">
      <formula>R10</formula>
    </cfRule>
    <cfRule type="cellIs" dxfId="54" priority="22" operator="lessThan">
      <formula>$F$9</formula>
    </cfRule>
    <cfRule type="cellIs" dxfId="53" priority="23" operator="greaterThan">
      <formula>$F$9</formula>
    </cfRule>
  </conditionalFormatting>
  <conditionalFormatting sqref="N21 T9:T17">
    <cfRule type="expression" dxfId="52" priority="20">
      <formula>S9&lt;R9</formula>
    </cfRule>
  </conditionalFormatting>
  <conditionalFormatting sqref="AE9">
    <cfRule type="cellIs" dxfId="51" priority="17" operator="lessThan">
      <formula>AD9</formula>
    </cfRule>
    <cfRule type="cellIs" dxfId="50" priority="18" operator="lessThan">
      <formula>$F$9</formula>
    </cfRule>
    <cfRule type="cellIs" dxfId="49" priority="19" operator="greaterThan">
      <formula>$F$9</formula>
    </cfRule>
  </conditionalFormatting>
  <conditionalFormatting sqref="AE10">
    <cfRule type="cellIs" dxfId="48" priority="14" operator="lessThan">
      <formula>AD10</formula>
    </cfRule>
    <cfRule type="cellIs" dxfId="47" priority="15" operator="lessThan">
      <formula>$F$9</formula>
    </cfRule>
    <cfRule type="cellIs" dxfId="46" priority="16" operator="greaterThan">
      <formula>$F$9</formula>
    </cfRule>
  </conditionalFormatting>
  <conditionalFormatting sqref="Z21 AF9:AF17">
    <cfRule type="expression" dxfId="45" priority="13">
      <formula>AE9&lt;AD9</formula>
    </cfRule>
  </conditionalFormatting>
  <conditionalFormatting sqref="AE9">
    <cfRule type="cellIs" dxfId="44" priority="10" operator="lessThan">
      <formula>AD9</formula>
    </cfRule>
    <cfRule type="cellIs" dxfId="43" priority="11" operator="lessThan">
      <formula>$F$9</formula>
    </cfRule>
    <cfRule type="cellIs" dxfId="42" priority="12" operator="greaterThan">
      <formula>$F$9</formula>
    </cfRule>
  </conditionalFormatting>
  <conditionalFormatting sqref="AE10">
    <cfRule type="cellIs" dxfId="41" priority="7" operator="lessThan">
      <formula>AD10</formula>
    </cfRule>
    <cfRule type="cellIs" dxfId="40" priority="8" operator="lessThan">
      <formula>$F$9</formula>
    </cfRule>
    <cfRule type="cellIs" dxfId="39" priority="9" operator="greaterThan">
      <formula>$F$9</formula>
    </cfRule>
  </conditionalFormatting>
  <conditionalFormatting sqref="AF9:AF17">
    <cfRule type="expression" dxfId="38" priority="6">
      <formula>AK9&lt;AJ9</formula>
    </cfRule>
  </conditionalFormatting>
  <conditionalFormatting sqref="H18:H20">
    <cfRule type="expression" dxfId="37" priority="4">
      <formula>M18&lt;L18</formula>
    </cfRule>
  </conditionalFormatting>
  <conditionalFormatting sqref="K2">
    <cfRule type="cellIs" dxfId="36" priority="2" operator="equal">
      <formula>0</formula>
    </cfRule>
  </conditionalFormatting>
  <conditionalFormatting sqref="K2">
    <cfRule type="cellIs" dxfId="35" priority="1" operator="equal">
      <formula>"XXXXX"</formula>
    </cfRule>
  </conditionalFormatting>
  <printOptions horizontalCentered="1" verticalCentered="1"/>
  <pageMargins left="0.39370078740157483" right="0.39370078740157483" top="0.31496062992125984" bottom="0.35433070866141736" header="0.39370078740157483" footer="0.31496062992125984"/>
  <pageSetup paperSize="9" scale="49" orientation="landscape" r:id="rId1"/>
  <headerFooter alignWithMargins="0"/>
  <rowBreaks count="1" manualBreakCount="1">
    <brk id="22" max="16383" man="1"/>
  </rowBreaks>
  <drawing r:id="rId2"/>
  <legacyDrawing r:id="rId3"/>
</worksheet>
</file>

<file path=xl/worksheets/sheet33.xml><?xml version="1.0" encoding="utf-8"?>
<worksheet xmlns="http://schemas.openxmlformats.org/spreadsheetml/2006/main" xmlns:r="http://schemas.openxmlformats.org/officeDocument/2006/relationships">
  <sheetPr codeName="Feuil4">
    <tabColor rgb="FF00B050"/>
    <pageSetUpPr fitToPage="1"/>
  </sheetPr>
  <dimension ref="B1:AA56"/>
  <sheetViews>
    <sheetView topLeftCell="A4" zoomScale="60" zoomScaleNormal="60" workbookViewId="0">
      <selection activeCell="E51" sqref="E51"/>
    </sheetView>
  </sheetViews>
  <sheetFormatPr baseColWidth="10" defaultColWidth="11.42578125" defaultRowHeight="14.25" outlineLevelCol="1"/>
  <cols>
    <col min="1" max="1" width="4" style="454" customWidth="1"/>
    <col min="2" max="2" width="14" style="454" customWidth="1"/>
    <col min="3" max="3" width="32.5703125" style="454" customWidth="1"/>
    <col min="4" max="4" width="16.7109375" style="454" customWidth="1"/>
    <col min="5" max="5" width="11.28515625" style="955" customWidth="1"/>
    <col min="6" max="6" width="54.7109375" style="454" customWidth="1"/>
    <col min="7" max="8" width="14" style="454" customWidth="1"/>
    <col min="9" max="9" width="8.28515625" style="467" customWidth="1"/>
    <col min="10" max="10" width="14" style="454" hidden="1" customWidth="1" outlineLevel="1"/>
    <col min="11" max="11" width="25.140625" style="454" hidden="1" customWidth="1" outlineLevel="1"/>
    <col min="12" max="12" width="16.7109375" style="454" hidden="1" customWidth="1" outlineLevel="1"/>
    <col min="13" max="13" width="11.28515625" style="955" hidden="1" customWidth="1" outlineLevel="1"/>
    <col min="14" max="14" width="30.7109375" style="454" hidden="1" customWidth="1" outlineLevel="1"/>
    <col min="15" max="16" width="14" style="454" hidden="1" customWidth="1" outlineLevel="1"/>
    <col min="17" max="17" width="11.42578125" style="454" hidden="1" customWidth="1" outlineLevel="1"/>
    <col min="18" max="18" width="14" style="1378" hidden="1" customWidth="1" outlineLevel="1"/>
    <col min="19" max="19" width="25.85546875" style="1378" hidden="1" customWidth="1" outlineLevel="1"/>
    <col min="20" max="20" width="16.7109375" style="1378" hidden="1" customWidth="1" outlineLevel="1"/>
    <col min="21" max="21" width="6" style="1378" hidden="1" customWidth="1" outlineLevel="1"/>
    <col min="22" max="22" width="32.42578125" style="1378" hidden="1" customWidth="1" outlineLevel="1"/>
    <col min="23" max="23" width="14" style="1378" hidden="1" customWidth="1" outlineLevel="1"/>
    <col min="24" max="24" width="14" style="1382" hidden="1" customWidth="1" outlineLevel="1"/>
    <col min="25" max="25" width="6.42578125" style="1364" hidden="1" customWidth="1" outlineLevel="1"/>
    <col min="26" max="26" width="11.42578125" style="1363" hidden="1" customWidth="1" outlineLevel="1"/>
    <col min="27" max="27" width="11.42578125" style="454" customWidth="1" collapsed="1"/>
    <col min="28" max="37" width="11.42578125" style="454" customWidth="1"/>
    <col min="38" max="16384" width="11.42578125" style="454"/>
  </cols>
  <sheetData>
    <row r="1" spans="2:26" ht="20.25">
      <c r="C1" s="475"/>
      <c r="E1" s="1859" t="str">
        <f>IF('Mode Opératoire'!$I$1="Français",Immobilier!M1,Immobilier!U1)</f>
        <v>Immobilier</v>
      </c>
      <c r="F1" s="475"/>
      <c r="G1" s="475"/>
      <c r="H1" s="475"/>
      <c r="K1" s="475"/>
      <c r="M1" s="954" t="s">
        <v>1</v>
      </c>
      <c r="N1" s="475"/>
      <c r="O1" s="475"/>
      <c r="P1" s="475"/>
      <c r="S1" s="1379"/>
      <c r="U1" s="1380" t="s">
        <v>684</v>
      </c>
      <c r="V1" s="1379"/>
      <c r="W1" s="1379"/>
      <c r="X1" s="1381"/>
    </row>
    <row r="2" spans="2:26" ht="7.5" customHeight="1"/>
    <row r="3" spans="2:26" s="106" customFormat="1" ht="18">
      <c r="B3" s="94" t="str">
        <f>+'Synthèse projet'!A3</f>
        <v>Nom projet / Project Name :</v>
      </c>
      <c r="C3" s="94"/>
      <c r="D3" s="94" t="str">
        <f>+'Synthèse projet'!C3</f>
        <v>xxxxxx</v>
      </c>
      <c r="E3" s="952"/>
      <c r="F3" s="94"/>
      <c r="G3" s="94"/>
      <c r="H3" s="94"/>
      <c r="I3" s="502"/>
      <c r="J3" s="1150">
        <f>+'Synthèse projet'!I3</f>
        <v>0</v>
      </c>
      <c r="K3" s="1150"/>
      <c r="L3" s="1150">
        <f>+'Synthèse projet'!L3</f>
        <v>0</v>
      </c>
      <c r="M3" s="1151"/>
      <c r="N3" s="1150"/>
      <c r="O3" s="1150"/>
      <c r="P3" s="1150"/>
      <c r="R3" s="1383"/>
      <c r="S3" s="1383"/>
      <c r="T3" s="1383"/>
      <c r="U3" s="1383"/>
      <c r="V3" s="1383"/>
      <c r="W3" s="1383"/>
      <c r="X3" s="1384"/>
      <c r="Y3" s="1365"/>
      <c r="Z3" s="1366"/>
    </row>
    <row r="4" spans="2:26" s="106" customFormat="1" ht="6.75" customHeight="1">
      <c r="E4" s="956"/>
      <c r="I4" s="502"/>
      <c r="M4" s="956"/>
      <c r="R4" s="1385"/>
      <c r="S4" s="1385"/>
      <c r="T4" s="1385"/>
      <c r="U4" s="1385"/>
      <c r="V4" s="1385"/>
      <c r="W4" s="1385"/>
      <c r="X4" s="1386"/>
      <c r="Y4" s="1365"/>
      <c r="Z4" s="1367"/>
    </row>
    <row r="5" spans="2:26" s="106" customFormat="1" ht="18.75">
      <c r="B5" s="1845" t="s">
        <v>281</v>
      </c>
      <c r="C5" s="1846"/>
      <c r="D5" s="1857" t="str">
        <f>+'Synthèse projet'!C5</f>
        <v>xxxxx</v>
      </c>
      <c r="E5" s="1858"/>
      <c r="G5" s="1860" t="s">
        <v>98</v>
      </c>
      <c r="H5" s="504" t="s">
        <v>1060</v>
      </c>
      <c r="I5" s="502"/>
      <c r="J5" s="1606" t="s">
        <v>238</v>
      </c>
      <c r="K5" s="1150"/>
      <c r="L5" s="1150"/>
      <c r="M5" s="957">
        <f>+'Synthèse projet'!M5</f>
        <v>0</v>
      </c>
      <c r="O5" s="503" t="s">
        <v>98</v>
      </c>
      <c r="P5" s="504">
        <f>+'Synthèse projet'!P5</f>
        <v>0</v>
      </c>
      <c r="R5" s="1383" t="s">
        <v>685</v>
      </c>
      <c r="S5" s="1383"/>
      <c r="T5" s="1383"/>
      <c r="U5" s="1387"/>
      <c r="V5" s="1385"/>
      <c r="W5" s="1388" t="s">
        <v>98</v>
      </c>
      <c r="X5" s="1389" t="s">
        <v>20</v>
      </c>
      <c r="Y5" s="1365"/>
      <c r="Z5" s="1366"/>
    </row>
    <row r="6" spans="2:26" s="106" customFormat="1" ht="18.75">
      <c r="B6" s="1847" t="s">
        <v>72</v>
      </c>
      <c r="C6" s="1848"/>
      <c r="D6" s="1856" t="str">
        <f>+'Synthèse projet'!C6</f>
        <v>xxxxx</v>
      </c>
      <c r="E6" s="1855"/>
      <c r="G6" s="1861" t="str">
        <f>IF('Mode Opératoire'!$I$1="Français",Immobilier!O6,Immobilier!W6)</f>
        <v>Filiale</v>
      </c>
      <c r="H6" s="1874" t="str">
        <f>+'Synthèse projet'!I6</f>
        <v>Argentine</v>
      </c>
      <c r="I6" s="502"/>
      <c r="J6" s="505" t="s">
        <v>72</v>
      </c>
      <c r="K6" s="505"/>
      <c r="L6" s="505"/>
      <c r="M6" s="527">
        <f>+'Synthèse projet'!M6</f>
        <v>0</v>
      </c>
      <c r="O6" s="506" t="s">
        <v>318</v>
      </c>
      <c r="P6" s="507">
        <f>+'Synthèse projet'!P6</f>
        <v>0</v>
      </c>
      <c r="R6" s="1390" t="s">
        <v>72</v>
      </c>
      <c r="S6" s="1390"/>
      <c r="T6" s="1390"/>
      <c r="U6" s="1391"/>
      <c r="V6" s="1385"/>
      <c r="W6" s="1392" t="s">
        <v>810</v>
      </c>
      <c r="X6" s="1392"/>
      <c r="Y6" s="1365"/>
      <c r="Z6" s="1367"/>
    </row>
    <row r="7" spans="2:26" s="466" customFormat="1" ht="15">
      <c r="B7" s="482" t="str">
        <f>IF('Mode Opératoire'!$I$1="Français",Immobilier!J7,Immobilier!R7)</f>
        <v xml:space="preserve"> Description</v>
      </c>
      <c r="C7" s="480"/>
      <c r="D7" s="480"/>
      <c r="E7" s="958"/>
      <c r="F7" s="480"/>
      <c r="G7" s="480"/>
      <c r="H7" s="476"/>
      <c r="I7" s="467"/>
      <c r="J7" s="482" t="s">
        <v>235</v>
      </c>
      <c r="K7" s="958"/>
      <c r="L7" s="958"/>
      <c r="M7" s="958"/>
      <c r="N7" s="958"/>
      <c r="O7" s="958"/>
      <c r="P7" s="1195"/>
      <c r="R7" s="1393" t="s">
        <v>235</v>
      </c>
      <c r="S7" s="1394"/>
      <c r="T7" s="1394"/>
      <c r="U7" s="1394"/>
      <c r="V7" s="1394"/>
      <c r="W7" s="1394"/>
      <c r="X7" s="1395"/>
      <c r="Y7" s="1364"/>
      <c r="Z7" s="1368"/>
    </row>
    <row r="8" spans="2:26" s="483" customFormat="1" ht="15">
      <c r="B8" s="3043" t="s">
        <v>1060</v>
      </c>
      <c r="C8" s="3044"/>
      <c r="D8" s="3044"/>
      <c r="E8" s="3044"/>
      <c r="F8" s="3044"/>
      <c r="G8" s="3044"/>
      <c r="H8" s="3045"/>
      <c r="I8" s="467"/>
      <c r="J8" s="1205"/>
      <c r="K8" s="1033"/>
      <c r="L8" s="1033"/>
      <c r="M8" s="1033"/>
      <c r="N8" s="1033"/>
      <c r="O8" s="1033"/>
      <c r="P8" s="1206"/>
      <c r="R8" s="1396"/>
      <c r="S8" s="1397"/>
      <c r="T8" s="1397"/>
      <c r="U8" s="1397"/>
      <c r="V8" s="1397"/>
      <c r="W8" s="1397"/>
      <c r="X8" s="1398"/>
      <c r="Y8" s="1364"/>
      <c r="Z8" s="1368"/>
    </row>
    <row r="9" spans="2:26" s="483" customFormat="1" ht="15">
      <c r="B9" s="3046"/>
      <c r="C9" s="3047"/>
      <c r="D9" s="3047"/>
      <c r="E9" s="3047"/>
      <c r="F9" s="3047"/>
      <c r="G9" s="3047"/>
      <c r="H9" s="3048"/>
      <c r="I9" s="468"/>
      <c r="J9" s="1207"/>
      <c r="K9" s="838"/>
      <c r="L9" s="838"/>
      <c r="M9" s="838"/>
      <c r="N9" s="838"/>
      <c r="O9" s="838"/>
      <c r="P9" s="1208"/>
      <c r="R9" s="1399"/>
      <c r="S9" s="1400"/>
      <c r="T9" s="1400"/>
      <c r="U9" s="1400"/>
      <c r="V9" s="1400"/>
      <c r="W9" s="1400"/>
      <c r="X9" s="1401"/>
      <c r="Y9" s="1369"/>
      <c r="Z9" s="1368"/>
    </row>
    <row r="10" spans="2:26" ht="15">
      <c r="B10" s="3046"/>
      <c r="C10" s="3047"/>
      <c r="D10" s="3047"/>
      <c r="E10" s="3047"/>
      <c r="F10" s="3047"/>
      <c r="G10" s="3047"/>
      <c r="H10" s="3048"/>
      <c r="I10" s="469"/>
      <c r="J10" s="1034"/>
      <c r="K10" s="1035"/>
      <c r="L10" s="1035"/>
      <c r="M10" s="1036"/>
      <c r="N10" s="1035"/>
      <c r="O10" s="1035"/>
      <c r="P10" s="1037"/>
      <c r="R10" s="1402"/>
      <c r="S10" s="1403"/>
      <c r="T10" s="1403"/>
      <c r="U10" s="1403"/>
      <c r="V10" s="1403"/>
      <c r="W10" s="1403"/>
      <c r="X10" s="1404"/>
      <c r="Y10" s="1370"/>
    </row>
    <row r="11" spans="2:26" ht="14.25" customHeight="1">
      <c r="B11" s="3049"/>
      <c r="C11" s="3050"/>
      <c r="D11" s="3050"/>
      <c r="E11" s="3050"/>
      <c r="F11" s="3050"/>
      <c r="G11" s="3050"/>
      <c r="H11" s="3051"/>
      <c r="J11" s="1038"/>
      <c r="K11" s="975"/>
      <c r="L11" s="975"/>
      <c r="M11" s="1039"/>
      <c r="N11" s="975"/>
      <c r="O11" s="975"/>
      <c r="P11" s="1040"/>
      <c r="R11" s="1405"/>
      <c r="S11" s="1406"/>
      <c r="T11" s="1406"/>
      <c r="U11" s="1406"/>
      <c r="V11" s="1406"/>
      <c r="W11" s="1406"/>
      <c r="X11" s="1407"/>
    </row>
    <row r="12" spans="2:26" s="466" customFormat="1" ht="15">
      <c r="B12" s="485" t="str">
        <f>IF('Mode Opératoire'!$I$1="Français",Immobilier!J12,Immobilier!R12)</f>
        <v>Localisation</v>
      </c>
      <c r="C12" s="486"/>
      <c r="D12" s="486"/>
      <c r="E12" s="960"/>
      <c r="F12" s="486"/>
      <c r="G12" s="486"/>
      <c r="H12" s="477"/>
      <c r="I12" s="468"/>
      <c r="J12" s="485" t="s">
        <v>239</v>
      </c>
      <c r="K12" s="960"/>
      <c r="L12" s="960"/>
      <c r="M12" s="960"/>
      <c r="N12" s="960"/>
      <c r="O12" s="960"/>
      <c r="P12" s="1198"/>
      <c r="R12" s="1408" t="s">
        <v>788</v>
      </c>
      <c r="S12" s="1397"/>
      <c r="T12" s="1397"/>
      <c r="U12" s="1397"/>
      <c r="V12" s="1397"/>
      <c r="W12" s="1397"/>
      <c r="X12" s="1398"/>
      <c r="Y12" s="1369"/>
      <c r="Z12" s="1368"/>
    </row>
    <row r="13" spans="2:26" s="487" customFormat="1" ht="15">
      <c r="B13" s="3043" t="s">
        <v>1060</v>
      </c>
      <c r="C13" s="3044"/>
      <c r="D13" s="3044"/>
      <c r="E13" s="3044"/>
      <c r="F13" s="3044"/>
      <c r="G13" s="3044"/>
      <c r="H13" s="3045"/>
      <c r="I13" s="468"/>
      <c r="J13" s="1205"/>
      <c r="K13" s="1033"/>
      <c r="L13" s="1033"/>
      <c r="M13" s="1033"/>
      <c r="N13" s="1033"/>
      <c r="O13" s="1033"/>
      <c r="P13" s="1206"/>
      <c r="R13" s="1396"/>
      <c r="S13" s="1397"/>
      <c r="T13" s="1397"/>
      <c r="U13" s="1397"/>
      <c r="V13" s="1397"/>
      <c r="W13" s="1397"/>
      <c r="X13" s="1398"/>
      <c r="Y13" s="1369"/>
      <c r="Z13" s="1371"/>
    </row>
    <row r="14" spans="2:26" s="487" customFormat="1" ht="15">
      <c r="B14" s="3046"/>
      <c r="C14" s="3047"/>
      <c r="D14" s="3047"/>
      <c r="E14" s="3047"/>
      <c r="F14" s="3047"/>
      <c r="G14" s="3047"/>
      <c r="H14" s="3048"/>
      <c r="I14" s="468"/>
      <c r="J14" s="1207"/>
      <c r="K14" s="838"/>
      <c r="L14" s="838"/>
      <c r="M14" s="838"/>
      <c r="N14" s="838"/>
      <c r="O14" s="838"/>
      <c r="P14" s="1208"/>
      <c r="R14" s="1399"/>
      <c r="S14" s="1400"/>
      <c r="T14" s="1400"/>
      <c r="U14" s="1400"/>
      <c r="V14" s="1400"/>
      <c r="W14" s="1400"/>
      <c r="X14" s="1401"/>
      <c r="Y14" s="1369"/>
      <c r="Z14" s="1371"/>
    </row>
    <row r="15" spans="2:26" s="464" customFormat="1" ht="15.75" customHeight="1" thickBot="1">
      <c r="B15" s="3049"/>
      <c r="C15" s="3050"/>
      <c r="D15" s="3050"/>
      <c r="E15" s="3050"/>
      <c r="F15" s="3047"/>
      <c r="G15" s="3047"/>
      <c r="H15" s="3048"/>
      <c r="I15" s="470"/>
      <c r="J15" s="3032"/>
      <c r="K15" s="3033"/>
      <c r="L15" s="3033"/>
      <c r="M15" s="3033"/>
      <c r="N15" s="3033"/>
      <c r="O15" s="3033"/>
      <c r="P15" s="3034"/>
      <c r="R15" s="3009"/>
      <c r="S15" s="3010"/>
      <c r="T15" s="3010"/>
      <c r="U15" s="3010"/>
      <c r="V15" s="3010"/>
      <c r="W15" s="3010"/>
      <c r="X15" s="3011"/>
      <c r="Y15" s="1372"/>
      <c r="Z15" s="1373"/>
    </row>
    <row r="16" spans="2:26" ht="24" customHeight="1" thickBot="1">
      <c r="B16" s="3035"/>
      <c r="C16" s="3036"/>
      <c r="D16" s="1041"/>
      <c r="E16" s="1042"/>
      <c r="F16" s="3052" t="str">
        <f>IF('Mode Opératoire'!$I$1="Français",Immobilier!N16,Immobilier!V16)</f>
        <v>Date de remise de clefs</v>
      </c>
      <c r="G16" s="3053">
        <f>IF('Mode Opératoire'!$I$1="Français",Immobilier!O16,Immobilier!W16)</f>
        <v>0</v>
      </c>
      <c r="H16" s="1873" t="s">
        <v>1060</v>
      </c>
      <c r="I16" s="470"/>
      <c r="J16" s="3035"/>
      <c r="K16" s="3036"/>
      <c r="L16" s="1041"/>
      <c r="M16" s="1042"/>
      <c r="N16" s="3037" t="s">
        <v>241</v>
      </c>
      <c r="O16" s="3038"/>
      <c r="P16" s="1043"/>
      <c r="R16" s="3012"/>
      <c r="S16" s="3013"/>
      <c r="T16" s="1409"/>
      <c r="U16" s="1409"/>
      <c r="V16" s="3014" t="s">
        <v>686</v>
      </c>
      <c r="W16" s="3015"/>
      <c r="X16" s="1410"/>
      <c r="Y16" s="1372"/>
    </row>
    <row r="17" spans="2:26" s="466" customFormat="1" ht="15">
      <c r="B17" s="482" t="str">
        <f>IF('Mode Opératoire'!$I$1="Français",Immobilier!J17,Immobilier!R17)</f>
        <v>Surfaces  et effectifs</v>
      </c>
      <c r="C17" s="480"/>
      <c r="D17" s="480"/>
      <c r="E17" s="958"/>
      <c r="F17" s="488"/>
      <c r="G17" s="488"/>
      <c r="H17" s="478"/>
      <c r="I17" s="468"/>
      <c r="J17" s="482" t="s">
        <v>240</v>
      </c>
      <c r="K17" s="958"/>
      <c r="L17" s="958"/>
      <c r="M17" s="958"/>
      <c r="N17" s="1209"/>
      <c r="O17" s="1209"/>
      <c r="P17" s="1199"/>
      <c r="R17" s="1393" t="s">
        <v>687</v>
      </c>
      <c r="S17" s="1394"/>
      <c r="T17" s="1394"/>
      <c r="U17" s="1394"/>
      <c r="V17" s="1411"/>
      <c r="W17" s="1411"/>
      <c r="X17" s="1412"/>
      <c r="Y17" s="1369"/>
      <c r="Z17" s="1368"/>
    </row>
    <row r="18" spans="2:26" ht="21" customHeight="1">
      <c r="B18" s="3054" t="str">
        <f>IF('Mode Opératoire'!$I$1="Français",Immobilier!J18,Immobilier!R18)</f>
        <v>Bâti en m²</v>
      </c>
      <c r="C18" s="3055">
        <f>IF('Mode Opératoire'!$I$1="Français",Immobilier!K18,Immobilier!S18)</f>
        <v>0</v>
      </c>
      <c r="D18" s="3056" t="str">
        <f>IF('Mode Opératoire'!$I$1="Français",Immobilier!L18,Immobilier!T18)</f>
        <v>Surfaces non baties</v>
      </c>
      <c r="E18" s="3057">
        <f>IF('Mode Opératoire'!$I$1="Français",Immobilier!M18,Immobilier!U18)</f>
        <v>0</v>
      </c>
      <c r="F18" s="3058">
        <f>IF('Mode Opératoire'!$I$1="Français",Immobilier!N18,Immobilier!V18)</f>
        <v>0</v>
      </c>
      <c r="G18" s="1843" t="str">
        <f>IF('Mode Opératoire'!$I$1="Français",Immobilier!O18,Immobilier!W18)</f>
        <v>Nb d'employés (Déc)</v>
      </c>
      <c r="H18" s="1844"/>
      <c r="J18" s="3039" t="s">
        <v>242</v>
      </c>
      <c r="K18" s="3040"/>
      <c r="L18" s="3041" t="s">
        <v>243</v>
      </c>
      <c r="M18" s="3042"/>
      <c r="N18" s="3040"/>
      <c r="O18" s="1203" t="s">
        <v>244</v>
      </c>
      <c r="P18" s="1200"/>
      <c r="R18" s="3016" t="s">
        <v>688</v>
      </c>
      <c r="S18" s="3017"/>
      <c r="T18" s="1413" t="s">
        <v>689</v>
      </c>
      <c r="U18" s="1414"/>
      <c r="V18" s="1415"/>
      <c r="W18" s="1416" t="s">
        <v>831</v>
      </c>
      <c r="X18" s="1417"/>
    </row>
    <row r="19" spans="2:26" ht="30" customHeight="1">
      <c r="B19" s="1841" t="str">
        <f>IF('Mode Opératoire'!$I$1="Français",Immobilier!J19,Immobilier!R19)</f>
        <v>Bureaux</v>
      </c>
      <c r="C19" s="456" t="str">
        <f>IF('Mode Opératoire'!$I$1="Français",Immobilier!K19,Immobilier!S19)</f>
        <v>Entrepôt/Quai messagerie/atelier</v>
      </c>
      <c r="D19" s="457" t="str">
        <f>IF('Mode Opératoire'!$I$1="Français",Immobilier!L19,Immobilier!T19)</f>
        <v>m² / Nb de places (parc TLA)</v>
      </c>
      <c r="E19" s="951" t="str">
        <f>IF('Mode Opératoire'!$I$1="Français",Immobilier!M19,Immobilier!U19)</f>
        <v>Parking PL</v>
      </c>
      <c r="F19" s="458" t="str">
        <f>IF('Mode Opératoire'!$I$1="Français",Immobilier!N19,Immobilier!V19)</f>
        <v>Parking VL</v>
      </c>
      <c r="G19" s="459" t="str">
        <f>IF('Mode Opératoire'!$I$1="Français",Immobilier!O19,Immobilier!W19)</f>
        <v>Bureaux</v>
      </c>
      <c r="H19" s="453" t="str">
        <f>IF('Mode Opératoire'!$I$1="Français",Immobilier!P19,Immobilier!X19)</f>
        <v>Autres</v>
      </c>
      <c r="J19" s="455" t="s">
        <v>245</v>
      </c>
      <c r="K19" s="456" t="s">
        <v>246</v>
      </c>
      <c r="L19" s="457" t="s">
        <v>247</v>
      </c>
      <c r="M19" s="1146" t="s">
        <v>248</v>
      </c>
      <c r="N19" s="458" t="s">
        <v>249</v>
      </c>
      <c r="O19" s="459" t="s">
        <v>245</v>
      </c>
      <c r="P19" s="453" t="s">
        <v>0</v>
      </c>
      <c r="R19" s="1418" t="s">
        <v>690</v>
      </c>
      <c r="S19" s="1419" t="s">
        <v>691</v>
      </c>
      <c r="T19" s="1420" t="s">
        <v>692</v>
      </c>
      <c r="U19" s="1421" t="s">
        <v>693</v>
      </c>
      <c r="V19" s="1422" t="s">
        <v>694</v>
      </c>
      <c r="W19" s="1423" t="s">
        <v>695</v>
      </c>
      <c r="X19" s="1421" t="s">
        <v>696</v>
      </c>
    </row>
    <row r="20" spans="2:26" ht="19.5" customHeight="1">
      <c r="B20" s="1870" t="s">
        <v>1060</v>
      </c>
      <c r="C20" s="1871" t="e">
        <f>#REF!</f>
        <v>#REF!</v>
      </c>
      <c r="D20" s="1872" t="s">
        <v>1060</v>
      </c>
      <c r="E20" s="1870" t="s">
        <v>1060</v>
      </c>
      <c r="F20" s="1871" t="s">
        <v>1060</v>
      </c>
      <c r="G20" s="1872" t="s">
        <v>1060</v>
      </c>
      <c r="H20" s="1870" t="s">
        <v>1060</v>
      </c>
      <c r="J20" s="460"/>
      <c r="K20" s="461"/>
      <c r="L20" s="462"/>
      <c r="M20" s="463"/>
      <c r="N20" s="489"/>
      <c r="O20" s="490"/>
      <c r="P20" s="479"/>
      <c r="R20" s="1424"/>
      <c r="S20" s="1425"/>
      <c r="T20" s="1426"/>
      <c r="U20" s="1427"/>
      <c r="V20" s="1428"/>
      <c r="W20" s="1429"/>
      <c r="X20" s="1430"/>
    </row>
    <row r="21" spans="2:26" s="466" customFormat="1" ht="15.75" thickBot="1">
      <c r="B21" s="1842" t="str">
        <f>IF('Mode Opératoire'!I17="Français",Immobilier!J21,Immobilier!R21)</f>
        <v>Budget in  K€ (to be established with PII / AI / DSI / DRHCO)</v>
      </c>
      <c r="C21" s="486"/>
      <c r="D21" s="486"/>
      <c r="E21" s="958"/>
      <c r="F21" s="486"/>
      <c r="G21" s="486"/>
      <c r="H21" s="1840"/>
      <c r="I21" s="468"/>
      <c r="J21" s="485" t="s">
        <v>250</v>
      </c>
      <c r="K21" s="960"/>
      <c r="L21" s="960"/>
      <c r="M21" s="958"/>
      <c r="N21" s="960"/>
      <c r="O21" s="960"/>
      <c r="P21" s="960"/>
      <c r="R21" s="1408" t="s">
        <v>697</v>
      </c>
      <c r="S21" s="1397"/>
      <c r="T21" s="1397"/>
      <c r="U21" s="1394"/>
      <c r="V21" s="1397"/>
      <c r="W21" s="1397"/>
      <c r="X21" s="1431"/>
      <c r="Y21" s="1369"/>
      <c r="Z21" s="1368"/>
    </row>
    <row r="22" spans="2:26" s="968" customFormat="1" ht="21" customHeight="1" thickBot="1">
      <c r="B22" s="976"/>
      <c r="C22" s="977" t="str">
        <f>IF('Mode Opératoire'!$I$1="Français",Immobilier!K22,Immobilier!S22)</f>
        <v>INVESTISSEMENT</v>
      </c>
      <c r="D22" s="978"/>
      <c r="E22" s="967"/>
      <c r="F22" s="3021" t="str">
        <f>IF('Mode Opératoire'!$I$1="Français",Immobilier!N22,Immobilier!V22)</f>
        <v>ENGAGEMENT LOCATIF</v>
      </c>
      <c r="G22" s="3059">
        <f>IF('Mode Opératoire'!$I$1="Français",Immobilier!O22,Immobilier!W22)</f>
        <v>0</v>
      </c>
      <c r="H22" s="3060">
        <f>IF('Mode Opératoire'!$I$1="Français",Immobilier!P22,Immobilier!X22)</f>
        <v>0</v>
      </c>
      <c r="I22" s="979"/>
      <c r="J22" s="1210"/>
      <c r="K22" s="977" t="s">
        <v>251</v>
      </c>
      <c r="L22" s="1211"/>
      <c r="M22" s="967"/>
      <c r="N22" s="3021" t="s">
        <v>267</v>
      </c>
      <c r="O22" s="3022"/>
      <c r="P22" s="3023"/>
      <c r="R22" s="1432"/>
      <c r="S22" s="1433" t="s">
        <v>698</v>
      </c>
      <c r="T22" s="1434"/>
      <c r="U22" s="1378"/>
      <c r="V22" s="3018" t="s">
        <v>699</v>
      </c>
      <c r="W22" s="3019"/>
      <c r="X22" s="3020"/>
      <c r="Y22" s="1374"/>
      <c r="Z22" s="1373"/>
    </row>
    <row r="23" spans="2:26" s="968" customFormat="1" ht="21" customHeight="1" thickBot="1">
      <c r="B23" s="980"/>
      <c r="C23" s="963"/>
      <c r="D23" s="774"/>
      <c r="E23" s="967"/>
      <c r="F23" s="981"/>
      <c r="G23" s="1862" t="str">
        <f>IF('Mode Opératoire'!$I$1="Français",Immobilier!O23,Immobilier!W23)</f>
        <v>Bail actuel</v>
      </c>
      <c r="H23" s="1863" t="str">
        <f>IF('Mode Opératoire'!$I$1="Français",Immobilier!P23,Immobilier!X23)</f>
        <v>Nouveau bail</v>
      </c>
      <c r="I23" s="979"/>
      <c r="J23" s="980"/>
      <c r="K23" s="963"/>
      <c r="L23" s="774"/>
      <c r="M23" s="967"/>
      <c r="N23" s="981"/>
      <c r="O23" s="982" t="s">
        <v>532</v>
      </c>
      <c r="P23" s="983" t="s">
        <v>533</v>
      </c>
      <c r="Q23" s="1374"/>
      <c r="R23" s="1435"/>
      <c r="S23" s="1436"/>
      <c r="T23" s="1437"/>
      <c r="U23" s="1378"/>
      <c r="V23" s="1438"/>
      <c r="W23" s="1439" t="s">
        <v>700</v>
      </c>
      <c r="X23" s="1440" t="s">
        <v>701</v>
      </c>
      <c r="Y23" s="1374"/>
      <c r="Z23" s="1373"/>
    </row>
    <row r="24" spans="2:26" s="968" customFormat="1" ht="21" customHeight="1">
      <c r="B24" s="984" t="str">
        <f>IF('Mode Opératoire'!$I$1="Français",Immobilier!J24,Immobilier!R24)</f>
        <v>Foncier - Terrain inclus études et frais de notaire</v>
      </c>
      <c r="C24" s="963"/>
      <c r="D24" s="1875"/>
      <c r="E24" s="967" t="s">
        <v>4</v>
      </c>
      <c r="F24" s="970" t="str">
        <f>IF('Mode Opératoire'!$I$1="Français",Immobilier!N24,Immobilier!V24)</f>
        <v>Date de prise d'effet nouveau bail</v>
      </c>
      <c r="G24" s="1877"/>
      <c r="H24" s="1878"/>
      <c r="I24" s="979"/>
      <c r="J24" s="984" t="s">
        <v>530</v>
      </c>
      <c r="K24" s="963"/>
      <c r="L24" s="774">
        <v>0</v>
      </c>
      <c r="M24" s="967" t="s">
        <v>4</v>
      </c>
      <c r="N24" s="970" t="s">
        <v>534</v>
      </c>
      <c r="O24" s="985"/>
      <c r="P24" s="986"/>
      <c r="Q24" s="1374"/>
      <c r="R24" s="1441" t="s">
        <v>702</v>
      </c>
      <c r="S24" s="1442"/>
      <c r="T24" s="1443"/>
      <c r="U24" s="1378" t="s">
        <v>4</v>
      </c>
      <c r="V24" s="1444" t="s">
        <v>703</v>
      </c>
      <c r="W24" s="1439"/>
      <c r="X24" s="1440"/>
      <c r="Y24" s="1374"/>
      <c r="Z24" s="1373"/>
    </row>
    <row r="25" spans="2:26" s="968" customFormat="1" ht="21" customHeight="1">
      <c r="B25" s="980" t="str">
        <f>IF('Mode Opératoire'!$I$1="Français",Immobilier!J25,Immobilier!R25)</f>
        <v>Architecte/Moeuvre/Betudes</v>
      </c>
      <c r="C25" s="963"/>
      <c r="D25" s="1876"/>
      <c r="E25" s="967" t="s">
        <v>4</v>
      </c>
      <c r="F25" s="970" t="str">
        <f>IF('Mode Opératoire'!$I$1="Français",Immobilier!N25,Immobilier!V25)</f>
        <v>Durée du bail (durée restante pour bail actuel)</v>
      </c>
      <c r="G25" s="1879"/>
      <c r="H25" s="1880"/>
      <c r="I25" s="967" t="str">
        <f>IF('Mode Opératoire'!$I$1="Français",Immobilier!Q25,Immobilier!Y25)</f>
        <v>ans</v>
      </c>
      <c r="J25" s="980" t="s">
        <v>531</v>
      </c>
      <c r="K25" s="963"/>
      <c r="L25" s="774">
        <v>0</v>
      </c>
      <c r="M25" s="967" t="s">
        <v>4</v>
      </c>
      <c r="N25" s="970" t="s">
        <v>535</v>
      </c>
      <c r="O25" s="963"/>
      <c r="P25" s="966">
        <v>0</v>
      </c>
      <c r="Q25" s="1364" t="s">
        <v>1263</v>
      </c>
      <c r="R25" s="1445" t="s">
        <v>704</v>
      </c>
      <c r="S25" s="1442"/>
      <c r="T25" s="1443"/>
      <c r="U25" s="1378" t="s">
        <v>4</v>
      </c>
      <c r="V25" s="1446" t="s">
        <v>789</v>
      </c>
      <c r="W25" s="1447"/>
      <c r="X25" s="1448"/>
      <c r="Y25" s="1364" t="s">
        <v>705</v>
      </c>
      <c r="Z25" s="1363"/>
    </row>
    <row r="26" spans="2:26" ht="21" customHeight="1">
      <c r="B26" s="508" t="str">
        <f>IF('Mode Opératoire'!$I$1="Français",Immobilier!J26,Immobilier!R26)</f>
        <v>Travaux bâtiment</v>
      </c>
      <c r="C26" s="464"/>
      <c r="D26" s="1876"/>
      <c r="E26" s="967" t="s">
        <v>4</v>
      </c>
      <c r="F26" s="511" t="str">
        <f>IF('Mode Opératoire'!$I$1="Français",Immobilier!N26,Immobilier!V26)</f>
        <v>Durée ferme du bail (durée ferme restante pour bail actuel)</v>
      </c>
      <c r="G26" s="1879"/>
      <c r="H26" s="1880"/>
      <c r="I26" s="467" t="str">
        <f>IF('Mode Opératoire'!$I$1="Français",Immobilier!Q26,Immobilier!Y26)</f>
        <v>ans</v>
      </c>
      <c r="J26" s="508" t="s">
        <v>252</v>
      </c>
      <c r="K26" s="464"/>
      <c r="L26" s="774">
        <v>0</v>
      </c>
      <c r="M26" s="967" t="s">
        <v>4</v>
      </c>
      <c r="N26" s="511" t="s">
        <v>536</v>
      </c>
      <c r="O26" s="464"/>
      <c r="P26" s="1046">
        <f>+P25</f>
        <v>0</v>
      </c>
      <c r="Q26" s="1364" t="s">
        <v>1263</v>
      </c>
      <c r="R26" s="1445" t="s">
        <v>706</v>
      </c>
      <c r="S26" s="1442"/>
      <c r="T26" s="1443"/>
      <c r="U26" s="1378" t="s">
        <v>4</v>
      </c>
      <c r="V26" s="1446" t="s">
        <v>790</v>
      </c>
      <c r="W26" s="1447"/>
      <c r="X26" s="1448"/>
      <c r="Y26" s="1364" t="s">
        <v>705</v>
      </c>
    </row>
    <row r="27" spans="2:26" s="968" customFormat="1" ht="21" customHeight="1">
      <c r="B27" s="980" t="str">
        <f>IF('Mode Opératoire'!$I$1="Français",Immobilier!J27,Immobilier!R27)</f>
        <v>Aménagements divers :</v>
      </c>
      <c r="C27" s="963"/>
      <c r="D27" s="1876"/>
      <c r="E27" s="967" t="s">
        <v>4</v>
      </c>
      <c r="F27" s="970" t="str">
        <f>IF('Mode Opératoire'!$I$1="Français",Immobilier!N27,Immobilier!V27)</f>
        <v>Loyer 1ere année (sur 12 mois)</v>
      </c>
      <c r="G27" s="1879"/>
      <c r="H27" s="1880"/>
      <c r="I27" s="967" t="str">
        <f>IF('Mode Opératoire'!$I$1="Français",Immobilier!Q27,Immobilier!Y27)</f>
        <v>K€</v>
      </c>
      <c r="J27" s="980" t="s">
        <v>254</v>
      </c>
      <c r="K27" s="963"/>
      <c r="L27" s="774">
        <v>0</v>
      </c>
      <c r="M27" s="967" t="s">
        <v>4</v>
      </c>
      <c r="N27" s="970" t="s">
        <v>537</v>
      </c>
      <c r="O27" s="963"/>
      <c r="P27" s="966">
        <v>0</v>
      </c>
      <c r="Q27" s="1364" t="s">
        <v>4</v>
      </c>
      <c r="R27" s="1445" t="s">
        <v>733</v>
      </c>
      <c r="S27" s="1442"/>
      <c r="T27" s="1443"/>
      <c r="U27" s="1378" t="s">
        <v>4</v>
      </c>
      <c r="V27" s="1444" t="s">
        <v>707</v>
      </c>
      <c r="W27" s="1447"/>
      <c r="X27" s="1448"/>
      <c r="Y27" s="1364" t="s">
        <v>4</v>
      </c>
      <c r="Z27" s="1363"/>
    </row>
    <row r="28" spans="2:26" s="968" customFormat="1" ht="25.5" customHeight="1">
      <c r="B28" s="2570" t="str">
        <f>IF('Mode Opératoire'!$I$1="Français",Immobilier!J28,Immobilier!R28)</f>
        <v>(cloisons bureaux, protections, marquage, enseigne..)</v>
      </c>
      <c r="C28" s="963"/>
      <c r="D28" s="1876"/>
      <c r="E28" s="967" t="s">
        <v>4</v>
      </c>
      <c r="F28" s="970" t="str">
        <f>IF('Mode Opératoire'!$I$1="Français",Immobilier!N28,Immobilier!V28)</f>
        <v>Hypothèse indexation annuelle</v>
      </c>
      <c r="G28" s="1879"/>
      <c r="H28" s="1880"/>
      <c r="I28" s="967" t="str">
        <f>IF('Mode Opératoire'!$I$1="Français",Immobilier!Q28,Immobilier!Y28)</f>
        <v>%</v>
      </c>
      <c r="J28" s="987" t="s">
        <v>253</v>
      </c>
      <c r="K28" s="963"/>
      <c r="L28" s="774"/>
      <c r="M28" s="967" t="s">
        <v>4</v>
      </c>
      <c r="N28" s="970" t="s">
        <v>264</v>
      </c>
      <c r="O28" s="963"/>
      <c r="P28" s="966">
        <v>0</v>
      </c>
      <c r="Q28" s="1364" t="s">
        <v>63</v>
      </c>
      <c r="R28" s="1441" t="s">
        <v>732</v>
      </c>
      <c r="S28" s="1442"/>
      <c r="T28" s="1443"/>
      <c r="U28" s="1378" t="s">
        <v>4</v>
      </c>
      <c r="V28" s="1444" t="s">
        <v>709</v>
      </c>
      <c r="W28" s="1447"/>
      <c r="X28" s="1448"/>
      <c r="Y28" s="1364" t="s">
        <v>63</v>
      </c>
      <c r="Z28" s="1363"/>
    </row>
    <row r="29" spans="2:26" s="968" customFormat="1" ht="25.5" customHeight="1">
      <c r="B29" s="984" t="str">
        <f>IF('Mode Opératoire'!$I$1="Français",Immobilier!J29,Immobilier!R29)</f>
        <v>Autre</v>
      </c>
      <c r="C29" s="963"/>
      <c r="D29" s="1876"/>
      <c r="E29" s="967" t="s">
        <v>4</v>
      </c>
      <c r="F29" s="970" t="str">
        <f>IF('Mode Opératoire'!$I$1="Français",Immobilier!N29,Immobilier!V29)</f>
        <v xml:space="preserve">Hypothèse loyer moyen </v>
      </c>
      <c r="G29" s="1879"/>
      <c r="H29" s="1880"/>
      <c r="I29" s="967" t="str">
        <f>IF('Mode Opératoire'!$I$1="Français",Immobilier!Q29,Immobilier!Y29)</f>
        <v>K€/an</v>
      </c>
      <c r="J29" s="984" t="s">
        <v>255</v>
      </c>
      <c r="K29" s="963"/>
      <c r="L29" s="774"/>
      <c r="M29" s="967" t="s">
        <v>4</v>
      </c>
      <c r="N29" s="970" t="s">
        <v>265</v>
      </c>
      <c r="O29" s="963"/>
      <c r="P29" s="1046">
        <f>P27*(1+(1+P28/100)+(1+P28/100)*(1+P28/100))/3</f>
        <v>0</v>
      </c>
      <c r="Q29" s="1364" t="s">
        <v>1264</v>
      </c>
      <c r="R29" s="1441" t="s">
        <v>708</v>
      </c>
      <c r="S29" s="1378"/>
      <c r="T29" s="1378"/>
      <c r="U29" s="1378"/>
      <c r="V29" s="1444" t="s">
        <v>710</v>
      </c>
      <c r="W29" s="1447"/>
      <c r="X29" s="1448"/>
      <c r="Y29" s="1364" t="s">
        <v>711</v>
      </c>
      <c r="Z29" s="1363"/>
    </row>
    <row r="30" spans="2:26" s="968" customFormat="1" ht="29.25" customHeight="1">
      <c r="B30" s="989" t="str">
        <f>IF('Mode Opératoire'!$I$1="Français",Immobilier!J30,Immobilier!R30)</f>
        <v>Immobilier</v>
      </c>
      <c r="C30" s="990"/>
      <c r="D30" s="1867">
        <f>SUM(D23:D29)</f>
        <v>0</v>
      </c>
      <c r="E30" s="967"/>
      <c r="F30" s="970" t="str">
        <f>IF('Mode Opératoire'!$I$1="Français",Immobilier!N30,Immobilier!V30)</f>
        <v>Charges locatives et taxes</v>
      </c>
      <c r="G30" s="1881"/>
      <c r="H30" s="1882"/>
      <c r="I30" s="967" t="str">
        <f>IF('Mode Opératoire'!$I$1="Français",Immobilier!Q30,Immobilier!Y30)</f>
        <v>K€/an</v>
      </c>
      <c r="J30" s="989" t="s">
        <v>1</v>
      </c>
      <c r="K30" s="990"/>
      <c r="L30" s="1045">
        <f>SUM(L23:L29)</f>
        <v>0</v>
      </c>
      <c r="M30" s="967"/>
      <c r="N30" s="970" t="s">
        <v>275</v>
      </c>
      <c r="O30" s="963"/>
      <c r="P30" s="988">
        <v>0</v>
      </c>
      <c r="Q30" s="1364" t="s">
        <v>1264</v>
      </c>
      <c r="R30" s="1449" t="s">
        <v>713</v>
      </c>
      <c r="S30" s="1450"/>
      <c r="T30" s="1451"/>
      <c r="U30" s="1378"/>
      <c r="V30" s="1444" t="s">
        <v>712</v>
      </c>
      <c r="W30" s="1447"/>
      <c r="X30" s="1452"/>
      <c r="Y30" s="1364" t="s">
        <v>711</v>
      </c>
      <c r="Z30" s="1363"/>
    </row>
    <row r="31" spans="2:26" s="968" customFormat="1" ht="21" customHeight="1">
      <c r="B31" s="508" t="str">
        <f>IF('Mode Opératoire'!$I$1="Français",Immobilier!J31,Immobilier!R31)</f>
        <v>Câblage IT</v>
      </c>
      <c r="C31" s="464" t="s">
        <v>60</v>
      </c>
      <c r="D31" s="1868">
        <f>+Informatique!D31</f>
        <v>0</v>
      </c>
      <c r="E31" s="967" t="s">
        <v>4</v>
      </c>
      <c r="F31" s="974" t="str">
        <f>IF('Mode Opératoire'!$I$1="Français",Immobilier!N31,Immobilier!V31)</f>
        <v>Autre (montant de l'option de résiliation)</v>
      </c>
      <c r="G31" s="1881"/>
      <c r="H31" s="1882"/>
      <c r="I31" s="967" t="str">
        <f>IF('Mode Opératoire'!$I$1="Français",Immobilier!Q31,Immobilier!Y31)</f>
        <v>K€</v>
      </c>
      <c r="J31" s="508" t="s">
        <v>256</v>
      </c>
      <c r="K31" s="464" t="s">
        <v>60</v>
      </c>
      <c r="L31" s="1047">
        <f>+Informatique!K31</f>
        <v>0</v>
      </c>
      <c r="M31" s="967" t="s">
        <v>4</v>
      </c>
      <c r="N31" s="974" t="s">
        <v>1056</v>
      </c>
      <c r="O31" s="963"/>
      <c r="P31" s="988">
        <v>0</v>
      </c>
      <c r="Q31" s="1364" t="s">
        <v>4</v>
      </c>
      <c r="R31" s="1445" t="s">
        <v>832</v>
      </c>
      <c r="S31" s="1442" t="s">
        <v>60</v>
      </c>
      <c r="T31" s="1443"/>
      <c r="U31" s="1378" t="s">
        <v>4</v>
      </c>
      <c r="V31" s="1444" t="s">
        <v>1055</v>
      </c>
      <c r="W31" s="1447"/>
      <c r="X31" s="1452"/>
      <c r="Y31" s="1364" t="s">
        <v>4</v>
      </c>
      <c r="Z31" s="1363"/>
    </row>
    <row r="32" spans="2:26" ht="21" customHeight="1" thickBot="1">
      <c r="B32" s="508" t="str">
        <f>IF('Mode Opératoire'!$I$1="Français",Immobilier!J32,Immobilier!R32)</f>
        <v>Sécurité</v>
      </c>
      <c r="C32" s="464" t="s">
        <v>236</v>
      </c>
      <c r="D32" s="1876"/>
      <c r="E32" s="967" t="s">
        <v>4</v>
      </c>
      <c r="F32" s="512" t="s">
        <v>266</v>
      </c>
      <c r="G32" s="1839">
        <f>SUM(G26*G29,G30*G26,G31)</f>
        <v>0</v>
      </c>
      <c r="H32" s="513">
        <f>SUM(H26*H29,H30*H26,H31)</f>
        <v>0</v>
      </c>
      <c r="I32" s="481" t="str">
        <f>IF('Mode Opératoire'!$I$1="Français",Immobilier!Q32,Immobilier!Y32)</f>
        <v>K€</v>
      </c>
      <c r="J32" s="508" t="s">
        <v>257</v>
      </c>
      <c r="K32" s="464" t="s">
        <v>236</v>
      </c>
      <c r="L32" s="774">
        <v>0</v>
      </c>
      <c r="M32" s="967" t="s">
        <v>4</v>
      </c>
      <c r="N32" s="1147" t="s">
        <v>266</v>
      </c>
      <c r="O32" s="1148"/>
      <c r="P32" s="513">
        <f>SUM(P26*P29,P30)</f>
        <v>0</v>
      </c>
      <c r="Q32" s="1364" t="s">
        <v>4</v>
      </c>
      <c r="R32" s="1453" t="s">
        <v>715</v>
      </c>
      <c r="S32" s="1442" t="s">
        <v>236</v>
      </c>
      <c r="T32" s="1443"/>
      <c r="U32" s="1378" t="s">
        <v>4</v>
      </c>
      <c r="V32" s="1454" t="s">
        <v>714</v>
      </c>
      <c r="W32" s="1455"/>
      <c r="X32" s="1456"/>
      <c r="Y32" s="1364" t="s">
        <v>4</v>
      </c>
      <c r="Z32" s="1373"/>
    </row>
    <row r="33" spans="2:26" ht="22.5" customHeight="1" thickBot="1">
      <c r="B33" s="509" t="str">
        <f>IF('Mode Opératoire'!$I$1="Français",Immobilier!J33,Immobilier!R33)</f>
        <v>Total Investissement</v>
      </c>
      <c r="C33" s="510"/>
      <c r="D33" s="1869">
        <f>+D30+D31+D32</f>
        <v>0</v>
      </c>
      <c r="E33" s="967" t="s">
        <v>4</v>
      </c>
      <c r="I33" s="471"/>
      <c r="J33" s="509" t="s">
        <v>258</v>
      </c>
      <c r="K33" s="510"/>
      <c r="L33" s="1044">
        <f>+L30+L31+L32</f>
        <v>0</v>
      </c>
      <c r="M33" s="967" t="s">
        <v>4</v>
      </c>
      <c r="R33" s="1457" t="s">
        <v>717</v>
      </c>
      <c r="S33" s="1458"/>
      <c r="T33" s="1459"/>
      <c r="U33" s="1378" t="s">
        <v>4</v>
      </c>
    </row>
    <row r="34" spans="2:26" ht="21" customHeight="1" thickBot="1">
      <c r="B34" s="962"/>
      <c r="C34" s="963"/>
      <c r="D34" s="964"/>
      <c r="E34" s="1091" t="s">
        <v>4</v>
      </c>
      <c r="F34" s="3024" t="str">
        <f>IF('Mode Opératoire'!M30="Français",Immobilier!N34,Immobilier!V34)</f>
        <v>OTHER YEARLY CHARGES</v>
      </c>
      <c r="G34" s="3025"/>
      <c r="H34" s="3026"/>
      <c r="J34" s="962"/>
      <c r="K34" s="963"/>
      <c r="L34" s="964"/>
      <c r="M34" s="1091" t="s">
        <v>4</v>
      </c>
      <c r="N34" s="3024" t="s">
        <v>273</v>
      </c>
      <c r="O34" s="3025"/>
      <c r="P34" s="3026"/>
      <c r="R34" s="1460"/>
      <c r="S34" s="1442"/>
      <c r="T34" s="1461"/>
      <c r="U34" s="1378" t="s">
        <v>4</v>
      </c>
      <c r="V34" s="1462" t="s">
        <v>716</v>
      </c>
      <c r="W34" s="1462"/>
      <c r="X34" s="1463"/>
      <c r="Y34" s="1363"/>
    </row>
    <row r="35" spans="2:26" s="968" customFormat="1" ht="21" customHeight="1" thickBot="1">
      <c r="B35" s="3021" t="str">
        <f>IF('Mode Opératoire'!I31="Français",Immobilier!J35,Immobilier!R35)</f>
        <v>TRANSFER COSTS</v>
      </c>
      <c r="C35" s="3022"/>
      <c r="D35" s="3023"/>
      <c r="E35" s="967"/>
      <c r="F35" s="1201"/>
      <c r="G35" s="1862" t="str">
        <f>IF('Mode Opératoire'!$I$1="Français",Immobilier!O35,Immobilier!W35)</f>
        <v>Bail actuel</v>
      </c>
      <c r="H35" s="1863" t="str">
        <f>IF('Mode Opératoire'!$I$1="Français",Immobilier!P35,Immobilier!X35)</f>
        <v>Nouveau bail</v>
      </c>
      <c r="I35" s="967">
        <f>IF('Mode Opératoire'!$I$1="Français",Immobilier!Q35,Immobilier!Y35)</f>
        <v>0</v>
      </c>
      <c r="J35" s="1149"/>
      <c r="K35" s="969" t="s">
        <v>259</v>
      </c>
      <c r="L35" s="1212"/>
      <c r="M35" s="967"/>
      <c r="N35" s="1201"/>
      <c r="O35" s="982" t="s">
        <v>532</v>
      </c>
      <c r="P35" s="983" t="s">
        <v>533</v>
      </c>
      <c r="R35" s="1462" t="s">
        <v>719</v>
      </c>
      <c r="S35" s="1462" t="s">
        <v>719</v>
      </c>
      <c r="T35" s="1463"/>
      <c r="U35" s="1378"/>
      <c r="V35" s="1464"/>
      <c r="W35" s="1465" t="s">
        <v>700</v>
      </c>
      <c r="X35" s="1466" t="s">
        <v>701</v>
      </c>
      <c r="Y35" s="1364" t="s">
        <v>711</v>
      </c>
      <c r="Z35" s="1363"/>
    </row>
    <row r="36" spans="2:26" s="968" customFormat="1" ht="21" customHeight="1">
      <c r="B36" s="970" t="str">
        <f>IF('Mode Opératoire'!$I$1="Français",Immobilier!J36,Immobilier!R36)</f>
        <v>Perte VNC</v>
      </c>
      <c r="C36" s="963"/>
      <c r="D36" s="1883"/>
      <c r="E36" s="967"/>
      <c r="F36" s="965" t="str">
        <f>IF('Mode Opératoire'!$I$1="Français",Immobilier!N36,Immobilier!V36)</f>
        <v>Entretien (préventif)</v>
      </c>
      <c r="G36" s="1884"/>
      <c r="H36" s="1885"/>
      <c r="I36" s="967" t="str">
        <f>IF('Mode Opératoire'!$I$1="Français",Immobilier!Q36,Immobilier!Y36)</f>
        <v>K€/an</v>
      </c>
      <c r="J36" s="970" t="s">
        <v>260</v>
      </c>
      <c r="K36" s="963"/>
      <c r="L36" s="966">
        <v>0</v>
      </c>
      <c r="M36" s="967"/>
      <c r="N36" s="965" t="s">
        <v>656</v>
      </c>
      <c r="O36" s="963"/>
      <c r="P36" s="966">
        <v>0</v>
      </c>
      <c r="Q36" s="1364" t="s">
        <v>1264</v>
      </c>
      <c r="R36" s="1444" t="s">
        <v>721</v>
      </c>
      <c r="S36" s="1442"/>
      <c r="T36" s="1467"/>
      <c r="U36" s="1378"/>
      <c r="V36" s="1464" t="s">
        <v>718</v>
      </c>
      <c r="W36" s="1447"/>
      <c r="X36" s="1448"/>
      <c r="Y36" s="1364" t="s">
        <v>711</v>
      </c>
      <c r="Z36" s="1363"/>
    </row>
    <row r="37" spans="2:26" s="968" customFormat="1" ht="21" customHeight="1">
      <c r="B37" s="965" t="str">
        <f>IF('Mode Opératoire'!$I$1="Français",Immobilier!J37,Immobilier!R37)</f>
        <v>Double loyer</v>
      </c>
      <c r="C37" s="971"/>
      <c r="D37" s="1884"/>
      <c r="E37" s="967" t="s">
        <v>4</v>
      </c>
      <c r="F37" s="965" t="str">
        <f>IF('Mode Opératoire'!$I$1="Français",Immobilier!N37,Immobilier!V37)</f>
        <v>Maintenance (curatif)</v>
      </c>
      <c r="G37" s="1884"/>
      <c r="H37" s="1885"/>
      <c r="I37" s="967" t="str">
        <f>IF('Mode Opératoire'!$I$1="Français",Immobilier!Q37,Immobilier!Y37)</f>
        <v>K€/an</v>
      </c>
      <c r="J37" s="965" t="s">
        <v>538</v>
      </c>
      <c r="K37" s="971"/>
      <c r="L37" s="966">
        <v>0</v>
      </c>
      <c r="M37" s="967" t="s">
        <v>4</v>
      </c>
      <c r="N37" s="965" t="s">
        <v>268</v>
      </c>
      <c r="O37" s="963"/>
      <c r="P37" s="966">
        <v>0</v>
      </c>
      <c r="Q37" s="1364" t="s">
        <v>1264</v>
      </c>
      <c r="R37" s="1464" t="s">
        <v>723</v>
      </c>
      <c r="S37" s="1442"/>
      <c r="T37" s="1467"/>
      <c r="U37" s="1378" t="s">
        <v>4</v>
      </c>
      <c r="V37" s="1464" t="s">
        <v>720</v>
      </c>
      <c r="W37" s="1447"/>
      <c r="X37" s="1448"/>
      <c r="Y37" s="1364" t="s">
        <v>711</v>
      </c>
      <c r="Z37" s="1363"/>
    </row>
    <row r="38" spans="2:26" s="968" customFormat="1" ht="21" customHeight="1">
      <c r="B38" s="970" t="str">
        <f>IF('Mode Opératoire'!$I$1="Français",Immobilier!J38,Immobilier!R38)</f>
        <v>Frais de déménagement :</v>
      </c>
      <c r="C38" s="963"/>
      <c r="D38" s="1884"/>
      <c r="E38" s="967" t="s">
        <v>4</v>
      </c>
      <c r="F38" s="970" t="str">
        <f>IF('Mode Opératoire'!$I$1="Français",Immobilier!N38,Immobilier!V38)</f>
        <v>Electricité</v>
      </c>
      <c r="G38" s="1884"/>
      <c r="H38" s="1885"/>
      <c r="I38" s="967" t="str">
        <f>IF('Mode Opératoire'!$I$1="Français",Immobilier!Q38,Immobilier!Y38)</f>
        <v>K€/an</v>
      </c>
      <c r="J38" s="970" t="s">
        <v>539</v>
      </c>
      <c r="K38" s="963"/>
      <c r="L38" s="966">
        <v>0</v>
      </c>
      <c r="M38" s="967" t="s">
        <v>4</v>
      </c>
      <c r="N38" s="970" t="s">
        <v>269</v>
      </c>
      <c r="O38" s="963"/>
      <c r="P38" s="966">
        <v>0</v>
      </c>
      <c r="Q38" s="1364" t="s">
        <v>1264</v>
      </c>
      <c r="R38" s="1444" t="s">
        <v>725</v>
      </c>
      <c r="S38" s="1442"/>
      <c r="T38" s="1467"/>
      <c r="U38" s="1442" t="s">
        <v>4</v>
      </c>
      <c r="V38" s="1444" t="s">
        <v>722</v>
      </c>
      <c r="W38" s="1447"/>
      <c r="X38" s="1448"/>
      <c r="Y38" s="1364" t="s">
        <v>711</v>
      </c>
      <c r="Z38" s="1363"/>
    </row>
    <row r="39" spans="2:26" s="968" customFormat="1" ht="21" customHeight="1">
      <c r="B39" s="2571" t="str">
        <f>IF('Mode Opératoire'!$I$1="Français",Immobilier!J39,Immobilier!R39)</f>
        <v>(stocks, matériel, équipement, mobilier..)</v>
      </c>
      <c r="C39" s="963"/>
      <c r="D39" s="1884"/>
      <c r="E39" s="967" t="s">
        <v>4</v>
      </c>
      <c r="F39" s="965" t="str">
        <f>IF('Mode Opératoire'!$I$1="Français",Immobilier!N39,Immobilier!V39)</f>
        <v>Gaz</v>
      </c>
      <c r="G39" s="1884"/>
      <c r="H39" s="1885"/>
      <c r="I39" s="967" t="str">
        <f>IF('Mode Opératoire'!$I$1="Français",Immobilier!Q39,Immobilier!Y39)</f>
        <v>K€/an</v>
      </c>
      <c r="J39" s="972" t="s">
        <v>262</v>
      </c>
      <c r="K39" s="963"/>
      <c r="L39" s="966"/>
      <c r="M39" s="967" t="s">
        <v>4</v>
      </c>
      <c r="N39" s="965" t="s">
        <v>270</v>
      </c>
      <c r="O39" s="963"/>
      <c r="P39" s="966">
        <v>0</v>
      </c>
      <c r="Q39" s="1364" t="s">
        <v>1264</v>
      </c>
      <c r="R39" s="1468" t="s">
        <v>727</v>
      </c>
      <c r="S39" s="1442"/>
      <c r="T39" s="1467"/>
      <c r="U39" s="1378" t="s">
        <v>4</v>
      </c>
      <c r="V39" s="1464" t="s">
        <v>724</v>
      </c>
      <c r="W39" s="1447"/>
      <c r="X39" s="1448"/>
      <c r="Y39" s="1364" t="s">
        <v>711</v>
      </c>
      <c r="Z39" s="1363"/>
    </row>
    <row r="40" spans="2:26" s="968" customFormat="1" ht="21" customHeight="1">
      <c r="B40" s="970" t="str">
        <f>IF('Mode Opératoire'!$I$1="Français",Immobilier!J40,Immobilier!R40)</f>
        <v>Travaux remise en état ancien site</v>
      </c>
      <c r="C40" s="963"/>
      <c r="D40" s="1884"/>
      <c r="E40" s="967"/>
      <c r="F40" s="970" t="str">
        <f>IF('Mode Opératoire'!$I$1="Français",Immobilier!N40,Immobilier!V40)</f>
        <v>Eau</v>
      </c>
      <c r="G40" s="1884"/>
      <c r="H40" s="1885"/>
      <c r="I40" s="967" t="str">
        <f>IF('Mode Opératoire'!$I$1="Français",Immobilier!Q40,Immobilier!Y40)</f>
        <v>K€/an</v>
      </c>
      <c r="J40" s="970" t="s">
        <v>261</v>
      </c>
      <c r="K40" s="963"/>
      <c r="L40" s="966">
        <v>0</v>
      </c>
      <c r="M40" s="967"/>
      <c r="N40" s="970" t="s">
        <v>271</v>
      </c>
      <c r="O40" s="963"/>
      <c r="P40" s="966">
        <v>0</v>
      </c>
      <c r="Q40" s="1364" t="s">
        <v>1264</v>
      </c>
      <c r="R40" s="1444" t="s">
        <v>728</v>
      </c>
      <c r="S40" s="1442"/>
      <c r="T40" s="1467"/>
      <c r="U40" s="1378"/>
      <c r="V40" s="1444" t="s">
        <v>726</v>
      </c>
      <c r="W40" s="1447"/>
      <c r="X40" s="1448"/>
      <c r="Y40" s="1364" t="s">
        <v>711</v>
      </c>
      <c r="Z40" s="1363"/>
    </row>
    <row r="41" spans="2:26" s="968" customFormat="1" ht="21" customHeight="1">
      <c r="B41" s="970" t="str">
        <f>IF('Mode Opératoire'!$I$1="Français",Immobilier!J41,Immobilier!R41)</f>
        <v>Autre</v>
      </c>
      <c r="C41" s="963"/>
      <c r="D41" s="1884"/>
      <c r="E41" s="967" t="s">
        <v>4</v>
      </c>
      <c r="F41" s="965" t="str">
        <f>IF('Mode Opératoire'!$I$1="Français",Immobilier!N41,Immobilier!V41)</f>
        <v xml:space="preserve">Autre </v>
      </c>
      <c r="G41" s="1886"/>
      <c r="H41" s="1887"/>
      <c r="I41" s="967"/>
      <c r="J41" s="970" t="s">
        <v>255</v>
      </c>
      <c r="K41" s="963"/>
      <c r="L41" s="973"/>
      <c r="M41" s="967" t="s">
        <v>4</v>
      </c>
      <c r="N41" s="965" t="s">
        <v>272</v>
      </c>
      <c r="O41" s="963"/>
      <c r="P41" s="966">
        <v>0</v>
      </c>
      <c r="Q41" s="1364" t="s">
        <v>1264</v>
      </c>
      <c r="R41" s="1469" t="s">
        <v>228</v>
      </c>
      <c r="S41" s="1406"/>
      <c r="T41" s="1470"/>
      <c r="U41" s="1378" t="s">
        <v>4</v>
      </c>
      <c r="V41" s="1464" t="s">
        <v>228</v>
      </c>
      <c r="W41" s="1447"/>
      <c r="X41" s="1448"/>
      <c r="Y41" s="1364"/>
      <c r="Z41" s="1363"/>
    </row>
    <row r="42" spans="2:26" s="968" customFormat="1" ht="21" customHeight="1" thickBot="1">
      <c r="B42" s="3027" t="str">
        <f>IF('Mode Opératoire'!$I$1="Français",Immobilier!J42,Immobilier!R42)</f>
        <v>Total coûts de transfert</v>
      </c>
      <c r="C42" s="3028">
        <f>IF('Mode Opératoire'!$I$1="Français",Immobilier!K42,Immobilier!S42)</f>
        <v>0</v>
      </c>
      <c r="D42" s="1839">
        <f>SUM(D36:D41)</f>
        <v>0</v>
      </c>
      <c r="E42" s="967" t="s">
        <v>4</v>
      </c>
      <c r="F42" s="3027" t="str">
        <f>IF('Mode Opératoire'!$I$1="Français",Immobilier!N42,Immobilier!V42)</f>
        <v>Total autres charges</v>
      </c>
      <c r="G42" s="3028">
        <f>IF('Mode Opératoire'!$I$1="Français",Immobilier!O42,Immobilier!W42)</f>
        <v>0</v>
      </c>
      <c r="H42" s="513">
        <f>SUM(H36:H41)</f>
        <v>0</v>
      </c>
      <c r="I42" s="967" t="str">
        <f>IF('Mode Opératoire'!$I$1="Français",Immobilier!Q42,Immobilier!Y42)</f>
        <v>K€/an</v>
      </c>
      <c r="J42" s="3027" t="s">
        <v>263</v>
      </c>
      <c r="K42" s="3028"/>
      <c r="L42" s="513">
        <f>SUM(L36:L41)</f>
        <v>0</v>
      </c>
      <c r="M42" s="967" t="s">
        <v>4</v>
      </c>
      <c r="N42" s="3027" t="s">
        <v>274</v>
      </c>
      <c r="O42" s="3028"/>
      <c r="P42" s="513">
        <f>SUM(P36:P41)</f>
        <v>0</v>
      </c>
      <c r="Q42" s="1364" t="s">
        <v>1264</v>
      </c>
      <c r="R42" s="3007" t="s">
        <v>729</v>
      </c>
      <c r="S42" s="3008"/>
      <c r="T42" s="1471"/>
      <c r="U42" s="1378" t="s">
        <v>4</v>
      </c>
      <c r="V42" s="3007" t="s">
        <v>730</v>
      </c>
      <c r="W42" s="3008"/>
      <c r="X42" s="1472">
        <f>SUM(X36:X41)</f>
        <v>0</v>
      </c>
      <c r="Y42" s="1364" t="s">
        <v>711</v>
      </c>
      <c r="Z42" s="1363"/>
    </row>
    <row r="43" spans="2:26" ht="21" customHeight="1">
      <c r="B43" s="484"/>
      <c r="C43" s="464"/>
      <c r="D43" s="464"/>
      <c r="E43" s="481" t="s">
        <v>4</v>
      </c>
      <c r="F43" s="464"/>
      <c r="G43" s="464"/>
      <c r="H43" s="464"/>
      <c r="I43" s="472"/>
      <c r="J43" s="484"/>
      <c r="K43" s="464"/>
      <c r="L43" s="464"/>
      <c r="M43" s="481" t="s">
        <v>4</v>
      </c>
      <c r="N43" s="464"/>
      <c r="O43" s="464"/>
      <c r="P43" s="464"/>
      <c r="R43" s="1406"/>
      <c r="S43" s="1442"/>
      <c r="T43" s="1442"/>
      <c r="U43" s="1378" t="s">
        <v>4</v>
      </c>
      <c r="V43" s="1442"/>
      <c r="W43" s="1442"/>
      <c r="X43" s="1473"/>
      <c r="Y43" s="1363"/>
    </row>
    <row r="44" spans="2:26" s="464" customFormat="1" ht="15">
      <c r="B44" s="482" t="s">
        <v>277</v>
      </c>
      <c r="C44" s="480"/>
      <c r="D44" s="480"/>
      <c r="E44" s="958"/>
      <c r="F44" s="480"/>
      <c r="G44" s="480"/>
      <c r="H44" s="476"/>
      <c r="I44" s="466"/>
      <c r="J44" s="482" t="s">
        <v>277</v>
      </c>
      <c r="K44" s="958"/>
      <c r="L44" s="958"/>
      <c r="M44" s="958"/>
      <c r="N44" s="958"/>
      <c r="O44" s="958"/>
      <c r="P44" s="1195"/>
      <c r="R44" s="1393" t="s">
        <v>731</v>
      </c>
      <c r="S44" s="1394"/>
      <c r="T44" s="1394"/>
      <c r="U44" s="1394"/>
      <c r="V44" s="1394"/>
      <c r="W44" s="1394"/>
      <c r="X44" s="1395"/>
      <c r="Y44" s="1374"/>
      <c r="Z44" s="1363"/>
    </row>
    <row r="45" spans="2:26" s="466" customFormat="1" ht="15">
      <c r="B45" s="3043" t="s">
        <v>1060</v>
      </c>
      <c r="C45" s="3044"/>
      <c r="D45" s="3044"/>
      <c r="E45" s="3044"/>
      <c r="F45" s="3044"/>
      <c r="G45" s="3044"/>
      <c r="H45" s="3045"/>
      <c r="I45" s="471"/>
      <c r="J45" s="1213"/>
      <c r="K45" s="959"/>
      <c r="L45" s="959"/>
      <c r="M45" s="959"/>
      <c r="N45" s="959"/>
      <c r="O45" s="959"/>
      <c r="P45" s="1196"/>
      <c r="R45" s="1474"/>
      <c r="S45" s="1400"/>
      <c r="T45" s="1400"/>
      <c r="U45" s="1400"/>
      <c r="V45" s="1397"/>
      <c r="W45" s="1397"/>
      <c r="X45" s="1398"/>
      <c r="Y45" s="1374"/>
      <c r="Z45" s="1373"/>
    </row>
    <row r="46" spans="2:26" s="483" customFormat="1" ht="15">
      <c r="B46" s="3046"/>
      <c r="C46" s="3047"/>
      <c r="D46" s="3047"/>
      <c r="E46" s="3047"/>
      <c r="F46" s="3047"/>
      <c r="G46" s="3047"/>
      <c r="H46" s="3048"/>
      <c r="I46" s="468"/>
      <c r="J46" s="1215"/>
      <c r="K46" s="1204"/>
      <c r="L46" s="1204"/>
      <c r="M46" s="1204"/>
      <c r="N46" s="1204"/>
      <c r="O46" s="1204"/>
      <c r="P46" s="1197"/>
      <c r="R46" s="1475"/>
      <c r="S46" s="1378"/>
      <c r="T46" s="1378"/>
      <c r="U46" s="1378"/>
      <c r="V46" s="1400"/>
      <c r="W46" s="1400"/>
      <c r="X46" s="1401"/>
      <c r="Y46" s="1369"/>
      <c r="Z46" s="1373"/>
    </row>
    <row r="47" spans="2:26" s="483" customFormat="1" ht="15">
      <c r="B47" s="3049"/>
      <c r="C47" s="3050"/>
      <c r="D47" s="3050"/>
      <c r="E47" s="3050"/>
      <c r="F47" s="3050"/>
      <c r="G47" s="3050"/>
      <c r="H47" s="3051"/>
      <c r="I47" s="468"/>
      <c r="J47" s="1214"/>
      <c r="K47" s="961"/>
      <c r="L47" s="961"/>
      <c r="M47" s="961"/>
      <c r="N47" s="961"/>
      <c r="O47" s="961"/>
      <c r="P47" s="1202"/>
      <c r="R47" s="1476"/>
      <c r="S47" s="1411"/>
      <c r="T47" s="1411"/>
      <c r="U47" s="1400"/>
      <c r="V47" s="1400"/>
      <c r="W47" s="1400"/>
      <c r="X47" s="1401"/>
      <c r="Y47" s="1369"/>
      <c r="Z47" s="1368"/>
    </row>
    <row r="48" spans="2:26" s="19" customFormat="1" ht="16.5" customHeight="1">
      <c r="B48" s="1864"/>
      <c r="C48" s="1865" t="s">
        <v>184</v>
      </c>
      <c r="D48" s="1866" t="s">
        <v>183</v>
      </c>
      <c r="E48" s="454"/>
      <c r="F48" s="454"/>
      <c r="I48" s="468"/>
      <c r="J48" s="491"/>
      <c r="K48" s="492" t="s">
        <v>184</v>
      </c>
      <c r="L48" s="493" t="s">
        <v>183</v>
      </c>
      <c r="M48" s="454"/>
      <c r="N48" s="454"/>
      <c r="R48" s="1477"/>
      <c r="S48" s="1478" t="s">
        <v>184</v>
      </c>
      <c r="T48" s="1478" t="s">
        <v>183</v>
      </c>
      <c r="U48" s="1479"/>
      <c r="V48" s="1479"/>
      <c r="W48" s="1442"/>
      <c r="X48" s="1473"/>
      <c r="Y48" s="1375"/>
      <c r="Z48" s="1368"/>
    </row>
    <row r="49" spans="2:26" s="466" customFormat="1" ht="15" customHeight="1">
      <c r="B49" s="3029" t="str">
        <f>IF('Mode Opératoire'!$I$1="Français",Immobilier!J49,Immobilier!R49)</f>
        <v>Visa pour validation</v>
      </c>
      <c r="C49" s="1888"/>
      <c r="D49" s="1888"/>
      <c r="E49" s="454"/>
      <c r="F49" s="454"/>
      <c r="G49" s="1144"/>
      <c r="I49" s="473"/>
      <c r="J49" s="3029" t="s">
        <v>276</v>
      </c>
      <c r="K49" s="494"/>
      <c r="L49" s="495"/>
      <c r="M49" s="454"/>
      <c r="N49" s="454"/>
      <c r="O49" s="1144"/>
      <c r="R49" s="1480" t="s">
        <v>734</v>
      </c>
      <c r="S49" s="1481"/>
      <c r="T49" s="1481"/>
      <c r="U49" s="1473"/>
      <c r="V49" s="1473"/>
      <c r="W49" s="1442"/>
      <c r="X49" s="1473"/>
      <c r="Y49" s="1376"/>
      <c r="Z49" s="1368"/>
    </row>
    <row r="50" spans="2:26" s="466" customFormat="1" ht="15" customHeight="1">
      <c r="B50" s="3030">
        <f>IF('Mode Opératoire'!$I$1="Français",Immobilier!J50,Immobilier!R50)</f>
        <v>0</v>
      </c>
      <c r="C50" s="1889"/>
      <c r="D50" s="1889"/>
      <c r="E50" s="454"/>
      <c r="F50" s="454"/>
      <c r="I50" s="474"/>
      <c r="J50" s="3030"/>
      <c r="K50" s="496"/>
      <c r="L50" s="497"/>
      <c r="M50" s="454"/>
      <c r="N50" s="454"/>
      <c r="R50" s="1482"/>
      <c r="S50" s="1442"/>
      <c r="T50" s="1442"/>
      <c r="U50" s="1473"/>
      <c r="V50" s="1473"/>
      <c r="W50" s="1442"/>
      <c r="X50" s="1473"/>
      <c r="Y50" s="1376"/>
      <c r="Z50" s="1377"/>
    </row>
    <row r="51" spans="2:26" s="466" customFormat="1" ht="15" customHeight="1">
      <c r="B51" s="3031">
        <f>IF('Mode Opératoire'!$I$1="Français",Immobilier!J51,Immobilier!R51)</f>
        <v>0</v>
      </c>
      <c r="C51" s="1889"/>
      <c r="D51" s="1889"/>
      <c r="E51" s="454"/>
      <c r="F51" s="454"/>
      <c r="I51" s="474"/>
      <c r="J51" s="3031"/>
      <c r="K51" s="496"/>
      <c r="L51" s="497"/>
      <c r="M51" s="454"/>
      <c r="N51" s="454"/>
      <c r="R51" s="1483"/>
      <c r="S51" s="1484"/>
      <c r="T51" s="1484"/>
      <c r="U51" s="1473"/>
      <c r="V51" s="1473"/>
      <c r="W51" s="1442"/>
      <c r="X51" s="1473"/>
      <c r="Y51" s="1376"/>
      <c r="Z51" s="1368"/>
    </row>
    <row r="52" spans="2:26" s="466" customFormat="1" ht="15" customHeight="1">
      <c r="B52" s="3003" t="str">
        <f>IF('Mode Opératoire'!$I$1="Français",Immobilier!J53,Immobilier!R53)</f>
        <v>Nom</v>
      </c>
      <c r="C52" s="3005" t="s">
        <v>174</v>
      </c>
      <c r="D52" s="3005" t="s">
        <v>200</v>
      </c>
      <c r="E52" s="454"/>
      <c r="F52" s="454"/>
      <c r="I52" s="474"/>
      <c r="J52" s="495"/>
      <c r="K52" s="494"/>
      <c r="L52" s="495"/>
      <c r="M52" s="454"/>
      <c r="N52" s="454"/>
      <c r="R52" s="1482"/>
      <c r="S52" s="1442"/>
      <c r="T52" s="1442"/>
      <c r="U52" s="1473"/>
      <c r="V52" s="1473"/>
      <c r="W52" s="1442"/>
      <c r="X52" s="1473"/>
      <c r="Y52" s="1376"/>
      <c r="Z52" s="1368"/>
    </row>
    <row r="53" spans="2:26" s="466" customFormat="1" ht="15" customHeight="1">
      <c r="B53" s="3004"/>
      <c r="C53" s="3006"/>
      <c r="D53" s="3006"/>
      <c r="E53" s="454"/>
      <c r="F53" s="454"/>
      <c r="I53" s="474"/>
      <c r="J53" s="498" t="s">
        <v>58</v>
      </c>
      <c r="K53" s="465" t="s">
        <v>174</v>
      </c>
      <c r="L53" s="499" t="s">
        <v>200</v>
      </c>
      <c r="M53" s="454"/>
      <c r="N53" s="454"/>
      <c r="Q53" s="454"/>
      <c r="R53" s="1485" t="s">
        <v>237</v>
      </c>
      <c r="S53" s="1486" t="s">
        <v>174</v>
      </c>
      <c r="T53" s="1486" t="s">
        <v>200</v>
      </c>
      <c r="U53" s="1473"/>
      <c r="V53" s="1473"/>
      <c r="W53" s="1442"/>
      <c r="X53" s="1473"/>
      <c r="Y53" s="1376"/>
      <c r="Z53" s="1368"/>
    </row>
    <row r="54" spans="2:26" s="466" customFormat="1" ht="15" customHeight="1">
      <c r="B54" s="3003" t="str">
        <f>IF('Mode Opératoire'!$I$1="Français",Immobilier!J55,Immobilier!R55)</f>
        <v>Date</v>
      </c>
      <c r="C54" s="1888"/>
      <c r="D54" s="1888"/>
      <c r="E54" s="454"/>
      <c r="F54" s="454"/>
      <c r="I54" s="474"/>
      <c r="J54" s="495"/>
      <c r="K54" s="494"/>
      <c r="L54" s="495"/>
      <c r="M54" s="454"/>
      <c r="N54" s="454"/>
      <c r="Q54" s="454"/>
      <c r="R54" s="1485"/>
      <c r="S54" s="1486"/>
      <c r="T54" s="1486"/>
      <c r="U54" s="1473"/>
      <c r="V54" s="1442"/>
      <c r="W54" s="1442"/>
      <c r="X54" s="1473"/>
      <c r="Y54" s="1364"/>
      <c r="Z54" s="1368"/>
    </row>
    <row r="55" spans="2:26" s="466" customFormat="1" ht="15" customHeight="1">
      <c r="B55" s="3004"/>
      <c r="C55" s="1890"/>
      <c r="D55" s="1890"/>
      <c r="E55" s="454"/>
      <c r="F55" s="454"/>
      <c r="I55" s="474"/>
      <c r="J55" s="498" t="s">
        <v>100</v>
      </c>
      <c r="K55" s="500"/>
      <c r="L55" s="501"/>
      <c r="M55" s="454"/>
      <c r="N55" s="454"/>
      <c r="Q55" s="454"/>
      <c r="R55" s="1485" t="s">
        <v>100</v>
      </c>
      <c r="S55" s="1406"/>
      <c r="T55" s="1406"/>
      <c r="U55" s="1473"/>
      <c r="V55" s="1442"/>
      <c r="W55" s="1442"/>
      <c r="X55" s="1473"/>
      <c r="Y55" s="1364"/>
      <c r="Z55" s="1368"/>
    </row>
    <row r="56" spans="2:26">
      <c r="E56" s="2277"/>
      <c r="I56" s="474"/>
    </row>
  </sheetData>
  <mergeCells count="34">
    <mergeCell ref="B8:H11"/>
    <mergeCell ref="B13:H15"/>
    <mergeCell ref="B45:H47"/>
    <mergeCell ref="B49:B51"/>
    <mergeCell ref="B16:C16"/>
    <mergeCell ref="F16:G16"/>
    <mergeCell ref="B18:C18"/>
    <mergeCell ref="B42:C42"/>
    <mergeCell ref="F42:G42"/>
    <mergeCell ref="D18:F18"/>
    <mergeCell ref="F22:H22"/>
    <mergeCell ref="F34:H34"/>
    <mergeCell ref="B35:D35"/>
    <mergeCell ref="J15:P15"/>
    <mergeCell ref="J16:K16"/>
    <mergeCell ref="N16:O16"/>
    <mergeCell ref="J18:K18"/>
    <mergeCell ref="L18:N18"/>
    <mergeCell ref="N22:P22"/>
    <mergeCell ref="N34:P34"/>
    <mergeCell ref="J42:K42"/>
    <mergeCell ref="N42:O42"/>
    <mergeCell ref="J49:J51"/>
    <mergeCell ref="V42:W42"/>
    <mergeCell ref="R15:X15"/>
    <mergeCell ref="R16:S16"/>
    <mergeCell ref="V16:W16"/>
    <mergeCell ref="R18:S18"/>
    <mergeCell ref="V22:X22"/>
    <mergeCell ref="B52:B53"/>
    <mergeCell ref="B54:B55"/>
    <mergeCell ref="C52:C53"/>
    <mergeCell ref="D52:D53"/>
    <mergeCell ref="R42:S42"/>
  </mergeCells>
  <conditionalFormatting sqref="B8:H11">
    <cfRule type="cellIs" dxfId="34" priority="24" operator="equal">
      <formula>"XXXXX"</formula>
    </cfRule>
  </conditionalFormatting>
  <conditionalFormatting sqref="B13:H15">
    <cfRule type="cellIs" dxfId="33" priority="23" operator="equal">
      <formula>"XXXXX"</formula>
    </cfRule>
  </conditionalFormatting>
  <conditionalFormatting sqref="H16">
    <cfRule type="cellIs" dxfId="32" priority="22" operator="equal">
      <formula>"XXXXX"</formula>
    </cfRule>
  </conditionalFormatting>
  <conditionalFormatting sqref="H6">
    <cfRule type="cellIs" dxfId="31" priority="21" operator="equal">
      <formula>"XXXXX"</formula>
    </cfRule>
  </conditionalFormatting>
  <conditionalFormatting sqref="H5">
    <cfRule type="cellIs" dxfId="30" priority="20" operator="equal">
      <formula>"XXXXX"</formula>
    </cfRule>
  </conditionalFormatting>
  <conditionalFormatting sqref="B20">
    <cfRule type="cellIs" dxfId="29" priority="19" operator="equal">
      <formula>"XXXXX"</formula>
    </cfRule>
  </conditionalFormatting>
  <conditionalFormatting sqref="C20">
    <cfRule type="cellIs" dxfId="28" priority="18" operator="equal">
      <formula>"XXXXX"</formula>
    </cfRule>
  </conditionalFormatting>
  <conditionalFormatting sqref="D20">
    <cfRule type="cellIs" dxfId="27" priority="17" operator="equal">
      <formula>"XXXXX"</formula>
    </cfRule>
  </conditionalFormatting>
  <conditionalFormatting sqref="E20">
    <cfRule type="cellIs" dxfId="26" priority="16" operator="equal">
      <formula>"XXXXX"</formula>
    </cfRule>
  </conditionalFormatting>
  <conditionalFormatting sqref="F20">
    <cfRule type="cellIs" dxfId="25" priority="15" operator="equal">
      <formula>"XXXXX"</formula>
    </cfRule>
  </conditionalFormatting>
  <conditionalFormatting sqref="G20">
    <cfRule type="cellIs" dxfId="24" priority="14" operator="equal">
      <formula>"XXXXX"</formula>
    </cfRule>
  </conditionalFormatting>
  <conditionalFormatting sqref="H20">
    <cfRule type="cellIs" dxfId="23" priority="13" operator="equal">
      <formula>"XXXXX"</formula>
    </cfRule>
  </conditionalFormatting>
  <conditionalFormatting sqref="G24:H25 G27:H28 G30:H31">
    <cfRule type="cellIs" dxfId="22" priority="11" operator="equal">
      <formula>0</formula>
    </cfRule>
  </conditionalFormatting>
  <conditionalFormatting sqref="D24:D29">
    <cfRule type="cellIs" dxfId="21" priority="10" operator="equal">
      <formula>0</formula>
    </cfRule>
  </conditionalFormatting>
  <conditionalFormatting sqref="D32">
    <cfRule type="cellIs" dxfId="20" priority="9" operator="equal">
      <formula>0</formula>
    </cfRule>
  </conditionalFormatting>
  <conditionalFormatting sqref="D36:D41">
    <cfRule type="cellIs" dxfId="19" priority="8" operator="equal">
      <formula>0</formula>
    </cfRule>
  </conditionalFormatting>
  <conditionalFormatting sqref="G36:H41">
    <cfRule type="cellIs" dxfId="18" priority="7" operator="equal">
      <formula>0</formula>
    </cfRule>
  </conditionalFormatting>
  <conditionalFormatting sqref="B45:H47">
    <cfRule type="cellIs" dxfId="17" priority="6" operator="equal">
      <formula>"XXXXX"</formula>
    </cfRule>
  </conditionalFormatting>
  <conditionalFormatting sqref="H26">
    <cfRule type="cellIs" dxfId="16" priority="5" operator="equal">
      <formula>0</formula>
    </cfRule>
  </conditionalFormatting>
  <conditionalFormatting sqref="H26">
    <cfRule type="cellIs" dxfId="15" priority="4" operator="equal">
      <formula>0</formula>
    </cfRule>
  </conditionalFormatting>
  <conditionalFormatting sqref="G26">
    <cfRule type="cellIs" dxfId="14" priority="3" operator="equal">
      <formula>0</formula>
    </cfRule>
  </conditionalFormatting>
  <conditionalFormatting sqref="G29">
    <cfRule type="cellIs" dxfId="13" priority="2" operator="equal">
      <formula>0</formula>
    </cfRule>
  </conditionalFormatting>
  <conditionalFormatting sqref="H29">
    <cfRule type="cellIs" dxfId="12" priority="1" operator="equal">
      <formula>0</formula>
    </cfRule>
  </conditionalFormatting>
  <dataValidations count="2">
    <dataValidation type="list" showInputMessage="1" showErrorMessage="1" sqref="X983043 X65539 X131075 X196611 X262147 X327683 X393219 X458755 X524291 X589827 X655363 X720899 X786435 X851971 X917507 P5 X5">
      <formula1>"TLA,TLI,CTP,DIV,GMO,OvL,OvS,ILI,GSM,-,"</formula1>
    </dataValidation>
    <dataValidation type="list" showInputMessage="1" showErrorMessage="1" sqref="H5">
      <formula1>"XXXXX,ACTIVITE,FVL,CTP,DIV,GMO,Hors FVL,OVL,LOT,MSG,MOY,OVS,AIR,SEA,ROM,WRP,ILI,RPS,-,"</formula1>
    </dataValidation>
  </dataValidations>
  <pageMargins left="0" right="0" top="0" bottom="0" header="0.31496062992125984" footer="0.31496062992125984"/>
  <pageSetup paperSize="9" scale="60" orientation="portrait" r:id="rId1"/>
  <drawing r:id="rId2"/>
</worksheet>
</file>

<file path=xl/worksheets/sheet34.xml><?xml version="1.0" encoding="utf-8"?>
<worksheet xmlns="http://schemas.openxmlformats.org/spreadsheetml/2006/main" xmlns:r="http://schemas.openxmlformats.org/officeDocument/2006/relationships">
  <sheetPr codeName="Feuil5">
    <tabColor rgb="FFCCECFF"/>
    <pageSetUpPr fitToPage="1"/>
  </sheetPr>
  <dimension ref="A1:XFC118"/>
  <sheetViews>
    <sheetView workbookViewId="0">
      <selection activeCell="D11" sqref="D11"/>
    </sheetView>
  </sheetViews>
  <sheetFormatPr baseColWidth="10" defaultColWidth="11.42578125" defaultRowHeight="12.75"/>
  <cols>
    <col min="1" max="1" width="18.5703125" style="624" customWidth="1"/>
    <col min="2" max="2" width="14.140625" style="624" customWidth="1"/>
    <col min="3" max="3" width="24.42578125" style="624" customWidth="1"/>
    <col min="4" max="4" width="11.42578125" style="2032" bestFit="1" customWidth="1"/>
    <col min="5" max="7" width="8.7109375" style="624" customWidth="1"/>
    <col min="8" max="8" width="10.42578125" style="624" customWidth="1"/>
    <col min="9" max="9" width="10.7109375" style="624" customWidth="1"/>
    <col min="10" max="16384" width="11.42578125" style="624"/>
  </cols>
  <sheetData>
    <row r="1" spans="1:14" ht="26.25">
      <c r="B1" s="3068" t="str">
        <f>IF('Mode Opératoire'!$I$1="Français",M1,N1)</f>
        <v xml:space="preserve">Informatique </v>
      </c>
      <c r="C1" s="3068"/>
      <c r="D1" s="3068"/>
      <c r="E1" s="3068"/>
      <c r="F1" s="3068"/>
      <c r="G1" s="3068"/>
      <c r="H1" s="3068"/>
      <c r="I1" s="3068"/>
      <c r="M1" s="1608" t="s">
        <v>66</v>
      </c>
      <c r="N1" s="1608" t="s">
        <v>833</v>
      </c>
    </row>
    <row r="3" spans="1:14" ht="18.75">
      <c r="A3" s="2034" t="str">
        <f>+'Synthèse projet'!A3</f>
        <v>Nom projet / Project Name :</v>
      </c>
      <c r="B3" s="1145"/>
      <c r="C3" s="2087" t="str">
        <f>'Synthèse projet'!C3</f>
        <v>xxxxxx</v>
      </c>
      <c r="D3" s="2036"/>
      <c r="E3" s="2035"/>
      <c r="F3" s="2035"/>
      <c r="G3" s="2035"/>
      <c r="H3" s="2037"/>
      <c r="I3" s="2038"/>
    </row>
    <row r="5" spans="1:14" s="626" customFormat="1" ht="15.75">
      <c r="A5" s="625" t="s">
        <v>281</v>
      </c>
      <c r="B5" s="625"/>
      <c r="C5" s="2088" t="str">
        <f>'Synthèse projet'!C5</f>
        <v>xxxxx</v>
      </c>
      <c r="D5" s="2039"/>
      <c r="G5" s="1851" t="s">
        <v>864</v>
      </c>
      <c r="H5" s="1652"/>
      <c r="I5" s="2089" t="str">
        <f>'Synthèse projet'!I5</f>
        <v>XXXXX</v>
      </c>
    </row>
    <row r="6" spans="1:14" s="628" customFormat="1" ht="15.75">
      <c r="A6" s="627" t="s">
        <v>72</v>
      </c>
      <c r="B6" s="627"/>
      <c r="C6" s="2088" t="str">
        <f>'Synthèse projet'!C6</f>
        <v>xxxxx</v>
      </c>
      <c r="D6" s="2040"/>
      <c r="G6" s="1852" t="s">
        <v>865</v>
      </c>
      <c r="H6" s="1817"/>
      <c r="I6" s="2090" t="str">
        <f>'Synthèse projet'!I6</f>
        <v>Argentine</v>
      </c>
    </row>
    <row r="7" spans="1:14" s="630" customFormat="1">
      <c r="A7" s="629"/>
      <c r="B7" s="629"/>
      <c r="C7" s="629"/>
      <c r="D7" s="2026"/>
      <c r="I7" s="631"/>
    </row>
    <row r="8" spans="1:14" s="630" customFormat="1">
      <c r="A8" s="2083" t="s">
        <v>322</v>
      </c>
      <c r="B8" s="2084"/>
      <c r="C8" s="2085"/>
      <c r="D8" s="2086" t="s">
        <v>323</v>
      </c>
      <c r="F8" s="634"/>
      <c r="G8" s="633"/>
      <c r="H8" s="635"/>
      <c r="I8" s="631"/>
    </row>
    <row r="9" spans="1:14" s="630" customFormat="1" ht="15">
      <c r="A9" s="632"/>
      <c r="B9" s="629"/>
      <c r="C9" s="629"/>
      <c r="D9" s="2026"/>
      <c r="E9" s="633"/>
      <c r="I9" s="631"/>
    </row>
    <row r="10" spans="1:14" s="630" customFormat="1" ht="18">
      <c r="A10" s="3061" t="s">
        <v>324</v>
      </c>
      <c r="B10" s="3062"/>
      <c r="C10" s="3063"/>
      <c r="D10" s="2027"/>
      <c r="E10" s="636"/>
      <c r="F10" s="637"/>
      <c r="G10" s="637"/>
      <c r="H10" s="637"/>
      <c r="I10" s="638"/>
    </row>
    <row r="11" spans="1:14" s="630" customFormat="1" ht="15.75">
      <c r="A11" s="639"/>
      <c r="B11" s="640"/>
      <c r="C11" s="2024" t="s">
        <v>4</v>
      </c>
      <c r="D11" s="2033">
        <f>'IT details'!D6</f>
        <v>2014</v>
      </c>
      <c r="E11" s="641">
        <f>D11+1</f>
        <v>2015</v>
      </c>
      <c r="F11" s="641">
        <f t="shared" ref="F11:H11" si="0">E11+1</f>
        <v>2016</v>
      </c>
      <c r="G11" s="641">
        <f t="shared" si="0"/>
        <v>2017</v>
      </c>
      <c r="H11" s="641">
        <f t="shared" si="0"/>
        <v>2018</v>
      </c>
      <c r="I11" s="641" t="s">
        <v>176</v>
      </c>
    </row>
    <row r="12" spans="1:14" s="630" customFormat="1">
      <c r="A12" s="2095" t="s">
        <v>518</v>
      </c>
      <c r="B12" s="2096"/>
      <c r="C12" s="2097"/>
      <c r="D12" s="2098">
        <f>'IT details'!F10/1000</f>
        <v>0</v>
      </c>
      <c r="E12" s="2098">
        <f>'IT details'!T10/1000</f>
        <v>0</v>
      </c>
      <c r="F12" s="2098">
        <f>'IT details'!AH10/1000</f>
        <v>0</v>
      </c>
      <c r="G12" s="2098">
        <f>'IT details'!AV10/1000</f>
        <v>0</v>
      </c>
      <c r="H12" s="2098">
        <f>'IT details'!BJ10/1000</f>
        <v>0</v>
      </c>
      <c r="I12" s="2098">
        <f>SUM(D12:H12)</f>
        <v>0</v>
      </c>
    </row>
    <row r="13" spans="1:14" s="630" customFormat="1">
      <c r="A13" s="2095" t="s">
        <v>519</v>
      </c>
      <c r="B13" s="2096"/>
      <c r="C13" s="2099"/>
      <c r="D13" s="2098">
        <f>'IT details'!F14/1000</f>
        <v>0</v>
      </c>
      <c r="E13" s="2098">
        <f>'IT details'!T14/1000</f>
        <v>0</v>
      </c>
      <c r="F13" s="2098">
        <f>'IT details'!AH14/1000</f>
        <v>0</v>
      </c>
      <c r="G13" s="2098">
        <f>'IT details'!AV14/1000</f>
        <v>0</v>
      </c>
      <c r="H13" s="2098">
        <f>'IT details'!BJ14/1000</f>
        <v>0</v>
      </c>
      <c r="I13" s="2098">
        <f t="shared" ref="I13:I31" si="1">SUM(D13:H13)</f>
        <v>0</v>
      </c>
    </row>
    <row r="14" spans="1:14" s="630" customFormat="1">
      <c r="A14" s="2095" t="s">
        <v>325</v>
      </c>
      <c r="B14" s="2096"/>
      <c r="C14" s="2099"/>
      <c r="D14" s="2098">
        <f>'IT details'!F17/1000</f>
        <v>0</v>
      </c>
      <c r="E14" s="2098">
        <f>'IT details'!T17/1000</f>
        <v>0</v>
      </c>
      <c r="F14" s="2098">
        <f>'IT details'!AH17/1000</f>
        <v>0</v>
      </c>
      <c r="G14" s="2098">
        <f>'IT details'!AV17/1000</f>
        <v>0</v>
      </c>
      <c r="H14" s="2098">
        <f>'IT details'!BJ17/1000</f>
        <v>0</v>
      </c>
      <c r="I14" s="2098">
        <f t="shared" si="1"/>
        <v>0</v>
      </c>
    </row>
    <row r="15" spans="1:14" s="630" customFormat="1">
      <c r="A15" s="2095" t="s">
        <v>1090</v>
      </c>
      <c r="B15" s="2096"/>
      <c r="C15" s="2099"/>
      <c r="D15" s="2098">
        <f>'IT details'!F27/1000</f>
        <v>0</v>
      </c>
      <c r="E15" s="2098">
        <f>'IT details'!T27/1000</f>
        <v>0</v>
      </c>
      <c r="F15" s="2098">
        <f>'IT details'!AH27/1000</f>
        <v>0</v>
      </c>
      <c r="G15" s="2098">
        <f>'IT details'!AV27/1000</f>
        <v>0</v>
      </c>
      <c r="H15" s="2098">
        <f>'IT details'!BJ27/1000</f>
        <v>0</v>
      </c>
      <c r="I15" s="2098">
        <f t="shared" si="1"/>
        <v>0</v>
      </c>
    </row>
    <row r="16" spans="1:14" s="630" customFormat="1">
      <c r="A16" s="2095" t="s">
        <v>228</v>
      </c>
      <c r="B16" s="3064"/>
      <c r="C16" s="3065"/>
      <c r="D16" s="2098">
        <f>'IT details'!F30/1000</f>
        <v>0</v>
      </c>
      <c r="E16" s="2098">
        <f>'IT details'!T30/1000</f>
        <v>0</v>
      </c>
      <c r="F16" s="2098">
        <f>'IT details'!AH30/1000</f>
        <v>0</v>
      </c>
      <c r="G16" s="2098">
        <f>'IT details'!AV30/1000</f>
        <v>0</v>
      </c>
      <c r="H16" s="2098">
        <f>'IT details'!BJ30/1000</f>
        <v>0</v>
      </c>
      <c r="I16" s="2098">
        <f t="shared" si="1"/>
        <v>0</v>
      </c>
    </row>
    <row r="17" spans="1:16383" s="630" customFormat="1">
      <c r="A17" s="2091" t="s">
        <v>326</v>
      </c>
      <c r="B17" s="2092"/>
      <c r="C17" s="2093"/>
      <c r="D17" s="2094">
        <f>SUM(D12:D16)</f>
        <v>0</v>
      </c>
      <c r="E17" s="2094">
        <f>SUM(E12:E16)</f>
        <v>0</v>
      </c>
      <c r="F17" s="2094">
        <f t="shared" ref="F17:H17" si="2">SUM(F12:F16)</f>
        <v>0</v>
      </c>
      <c r="G17" s="2094">
        <f t="shared" si="2"/>
        <v>0</v>
      </c>
      <c r="H17" s="2094">
        <f t="shared" si="2"/>
        <v>0</v>
      </c>
      <c r="I17" s="2094">
        <f t="shared" si="1"/>
        <v>0</v>
      </c>
    </row>
    <row r="18" spans="1:16383" s="630" customFormat="1">
      <c r="A18" s="2095" t="s">
        <v>1075</v>
      </c>
      <c r="B18" s="2096"/>
      <c r="C18" s="2097"/>
      <c r="D18" s="2098">
        <f>'IT details'!F43/1000</f>
        <v>0</v>
      </c>
      <c r="E18" s="2098">
        <f>'IT details'!T43/1000</f>
        <v>0</v>
      </c>
      <c r="F18" s="2098">
        <f>'IT details'!AH43/1000</f>
        <v>0</v>
      </c>
      <c r="G18" s="2098">
        <f>'IT details'!AV43/1000</f>
        <v>0</v>
      </c>
      <c r="H18" s="2098">
        <f>'IT details'!BJ43/1000</f>
        <v>0</v>
      </c>
      <c r="I18" s="2098">
        <f t="shared" si="1"/>
        <v>0</v>
      </c>
    </row>
    <row r="19" spans="1:16383" s="648" customFormat="1">
      <c r="A19" s="644" t="s">
        <v>1091</v>
      </c>
      <c r="B19" s="645"/>
      <c r="C19" s="646"/>
      <c r="D19" s="647">
        <f>D17+D18</f>
        <v>0</v>
      </c>
      <c r="E19" s="647">
        <f>E17+E18</f>
        <v>0</v>
      </c>
      <c r="F19" s="647">
        <f t="shared" ref="F19:H19" si="3">F17+F18</f>
        <v>0</v>
      </c>
      <c r="G19" s="647">
        <f t="shared" si="3"/>
        <v>0</v>
      </c>
      <c r="H19" s="647">
        <f t="shared" si="3"/>
        <v>0</v>
      </c>
      <c r="I19" s="647">
        <f t="shared" si="1"/>
        <v>0</v>
      </c>
    </row>
    <row r="20" spans="1:16383" s="629" customFormat="1" ht="6" customHeight="1">
      <c r="A20" s="643"/>
      <c r="B20" s="643"/>
      <c r="C20" s="649"/>
      <c r="D20" s="650"/>
      <c r="E20" s="650"/>
      <c r="F20" s="650"/>
      <c r="G20" s="650"/>
      <c r="H20" s="650"/>
      <c r="I20" s="650"/>
    </row>
    <row r="21" spans="1:16383" s="630" customFormat="1">
      <c r="A21" s="2100" t="s">
        <v>520</v>
      </c>
      <c r="B21" s="2101"/>
      <c r="C21" s="2102"/>
      <c r="D21" s="2103">
        <f>('IT details'!I59+'IT details'!I10+'IT details'!I14+'IT details'!I17+'IT details'!I27+'IT details'!I30+'IT details'!I43)/1000</f>
        <v>0</v>
      </c>
      <c r="E21" s="2103">
        <f>('IT details'!W59+'IT details'!W10+'IT details'!W14+'IT details'!W17+'IT details'!W27+'IT details'!W30+'IT details'!W43)/1000</f>
        <v>0</v>
      </c>
      <c r="F21" s="2103">
        <f>('IT details'!AK59+'IT details'!AK10+'IT details'!AK14+'IT details'!AK17+'IT details'!AK27+'IT details'!AK30+'IT details'!AK43)/1000</f>
        <v>0</v>
      </c>
      <c r="G21" s="2103">
        <f>('IT details'!AY59+'IT details'!AY10+'IT details'!AY14+'IT details'!AY17+'IT details'!AY27+'IT details'!AY30+'IT details'!AY43)/1000</f>
        <v>0</v>
      </c>
      <c r="H21" s="2103">
        <f>('IT details'!BM59+'IT details'!BM10+'IT details'!BM14+'IT details'!BM17+'IT details'!BM27+'IT details'!BM30+'IT details'!BM43)/1000</f>
        <v>0</v>
      </c>
      <c r="I21" s="2103">
        <f t="shared" si="1"/>
        <v>0</v>
      </c>
    </row>
    <row r="22" spans="1:16383" s="630" customFormat="1">
      <c r="A22" s="2095" t="s">
        <v>1100</v>
      </c>
      <c r="B22" s="2096"/>
      <c r="C22" s="2097"/>
      <c r="D22" s="2098">
        <f>'IT details'!I63/1000</f>
        <v>0</v>
      </c>
      <c r="E22" s="2098">
        <f>'IT details'!W63/1000</f>
        <v>0</v>
      </c>
      <c r="F22" s="2098">
        <f>'IT details'!AK63/1000</f>
        <v>0</v>
      </c>
      <c r="G22" s="2098">
        <f>'IT details'!AY63/1000</f>
        <v>0</v>
      </c>
      <c r="H22" s="2098">
        <f>'IT details'!BM63/1000</f>
        <v>0</v>
      </c>
      <c r="I22" s="2098">
        <f t="shared" si="1"/>
        <v>0</v>
      </c>
    </row>
    <row r="23" spans="1:16383" s="1607" customFormat="1">
      <c r="A23" s="2104" t="s">
        <v>1092</v>
      </c>
      <c r="B23" s="2105"/>
      <c r="C23" s="2106"/>
      <c r="D23" s="2107">
        <f>SUM(D21:D22)</f>
        <v>0</v>
      </c>
      <c r="E23" s="2107">
        <f>SUM(E21:E22)</f>
        <v>0</v>
      </c>
      <c r="F23" s="2107">
        <f t="shared" ref="F23:H23" si="4">SUM(F21:F22)</f>
        <v>0</v>
      </c>
      <c r="G23" s="2107">
        <f t="shared" si="4"/>
        <v>0</v>
      </c>
      <c r="H23" s="2107">
        <f t="shared" si="4"/>
        <v>0</v>
      </c>
      <c r="I23" s="2107">
        <f t="shared" si="1"/>
        <v>0</v>
      </c>
      <c r="J23" s="948"/>
    </row>
    <row r="24" spans="1:16383" s="651" customFormat="1">
      <c r="A24" s="2100" t="s">
        <v>1099</v>
      </c>
      <c r="B24" s="2101"/>
      <c r="C24" s="2102"/>
      <c r="D24" s="2098">
        <f>('IT details'!L52+'IT details'!L53+'IT details'!L54)/1000</f>
        <v>0</v>
      </c>
      <c r="E24" s="2098">
        <f>('IT details'!Z52+'IT details'!Z53+'IT details'!Z54)/1000</f>
        <v>0</v>
      </c>
      <c r="F24" s="2098">
        <f>('IT details'!AN52+'IT details'!AN53+'IT details'!AN54)/1000</f>
        <v>0</v>
      </c>
      <c r="G24" s="2098">
        <f>('IT details'!BB52+'IT details'!BB53+'IT details'!BB54)/1000</f>
        <v>0</v>
      </c>
      <c r="H24" s="2098">
        <f>('IT details'!BP52+'IT details'!BP53+'IT details'!BP54)/1000</f>
        <v>0</v>
      </c>
      <c r="I24" s="2098">
        <f t="shared" si="1"/>
        <v>0</v>
      </c>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29"/>
      <c r="BW24" s="629"/>
      <c r="BX24" s="629"/>
      <c r="BY24" s="629"/>
      <c r="BZ24" s="629"/>
      <c r="CA24" s="629"/>
      <c r="CB24" s="629"/>
      <c r="CC24" s="629"/>
      <c r="CD24" s="629"/>
      <c r="CE24" s="629"/>
      <c r="CF24" s="629"/>
      <c r="CG24" s="629"/>
      <c r="CH24" s="629"/>
      <c r="CI24" s="629"/>
      <c r="CJ24" s="629"/>
      <c r="CK24" s="629"/>
      <c r="CL24" s="629"/>
      <c r="CM24" s="629"/>
      <c r="CN24" s="629"/>
      <c r="CO24" s="629"/>
      <c r="CP24" s="629"/>
      <c r="CQ24" s="629"/>
      <c r="CR24" s="629"/>
      <c r="CS24" s="629"/>
      <c r="CT24" s="629"/>
      <c r="CU24" s="629"/>
      <c r="CV24" s="629"/>
      <c r="CW24" s="629"/>
      <c r="CX24" s="629"/>
      <c r="CY24" s="629"/>
      <c r="CZ24" s="629"/>
      <c r="DA24" s="629"/>
      <c r="DB24" s="629"/>
      <c r="DC24" s="629"/>
      <c r="DD24" s="629"/>
      <c r="DE24" s="629"/>
      <c r="DF24" s="629"/>
      <c r="DG24" s="629"/>
      <c r="DH24" s="629"/>
      <c r="DI24" s="629"/>
      <c r="DJ24" s="629"/>
      <c r="DK24" s="629"/>
      <c r="DL24" s="629"/>
      <c r="DM24" s="629"/>
      <c r="DN24" s="629"/>
      <c r="DO24" s="629"/>
      <c r="DP24" s="629"/>
      <c r="DQ24" s="629"/>
      <c r="DR24" s="629"/>
      <c r="DS24" s="629"/>
      <c r="DT24" s="629"/>
      <c r="DU24" s="629"/>
      <c r="DV24" s="629"/>
      <c r="DW24" s="629"/>
      <c r="DX24" s="629"/>
      <c r="DY24" s="629"/>
      <c r="DZ24" s="629"/>
      <c r="EA24" s="629"/>
      <c r="EB24" s="629"/>
      <c r="EC24" s="629"/>
      <c r="ED24" s="629"/>
      <c r="EE24" s="629"/>
      <c r="EF24" s="629"/>
      <c r="EG24" s="629"/>
      <c r="EH24" s="629"/>
      <c r="EI24" s="629"/>
      <c r="EJ24" s="629"/>
      <c r="EK24" s="629"/>
      <c r="EL24" s="629"/>
      <c r="EM24" s="629"/>
      <c r="EN24" s="629"/>
      <c r="EO24" s="629"/>
      <c r="EP24" s="629"/>
      <c r="EQ24" s="629"/>
      <c r="ER24" s="629"/>
      <c r="ES24" s="629"/>
      <c r="ET24" s="629"/>
      <c r="EU24" s="629"/>
      <c r="EV24" s="629"/>
      <c r="EW24" s="629"/>
      <c r="EX24" s="629"/>
      <c r="EY24" s="629"/>
      <c r="EZ24" s="629"/>
      <c r="FA24" s="629"/>
      <c r="FB24" s="629"/>
      <c r="FC24" s="629"/>
      <c r="FD24" s="629"/>
      <c r="FE24" s="629"/>
      <c r="FF24" s="629"/>
      <c r="FG24" s="629"/>
      <c r="FH24" s="629"/>
      <c r="FI24" s="629"/>
      <c r="FJ24" s="629"/>
      <c r="FK24" s="629"/>
      <c r="FL24" s="629"/>
      <c r="FM24" s="629"/>
      <c r="FN24" s="629"/>
      <c r="FO24" s="629"/>
      <c r="FP24" s="629"/>
      <c r="FQ24" s="629"/>
      <c r="FR24" s="629"/>
      <c r="FS24" s="629"/>
      <c r="FT24" s="629"/>
      <c r="FU24" s="629"/>
      <c r="FV24" s="629"/>
      <c r="FW24" s="629"/>
      <c r="FX24" s="629"/>
      <c r="FY24" s="629"/>
      <c r="FZ24" s="629"/>
      <c r="GA24" s="629"/>
      <c r="GB24" s="629"/>
      <c r="GC24" s="629"/>
      <c r="GD24" s="629"/>
      <c r="GE24" s="629"/>
      <c r="GF24" s="629"/>
      <c r="GG24" s="629"/>
      <c r="GH24" s="629"/>
      <c r="GI24" s="629"/>
      <c r="GJ24" s="629"/>
      <c r="GK24" s="629"/>
      <c r="GL24" s="629"/>
      <c r="GM24" s="629"/>
      <c r="GN24" s="629"/>
      <c r="GO24" s="629"/>
      <c r="GP24" s="629"/>
      <c r="GQ24" s="629"/>
      <c r="GR24" s="629"/>
      <c r="GS24" s="629"/>
      <c r="GT24" s="629"/>
      <c r="GU24" s="629"/>
      <c r="GV24" s="629"/>
      <c r="GW24" s="629"/>
      <c r="GX24" s="629"/>
      <c r="GY24" s="629"/>
      <c r="GZ24" s="629"/>
      <c r="HA24" s="629"/>
      <c r="HB24" s="629"/>
      <c r="HC24" s="629"/>
      <c r="HD24" s="629"/>
      <c r="HE24" s="629"/>
      <c r="HF24" s="629"/>
      <c r="HG24" s="629"/>
      <c r="HH24" s="629"/>
      <c r="HI24" s="629"/>
      <c r="HJ24" s="629"/>
      <c r="HK24" s="629"/>
      <c r="HL24" s="629"/>
      <c r="HM24" s="629"/>
      <c r="HN24" s="629"/>
      <c r="HO24" s="629"/>
      <c r="HP24" s="629"/>
      <c r="HQ24" s="629"/>
      <c r="HR24" s="629"/>
      <c r="HS24" s="629"/>
      <c r="HT24" s="629"/>
      <c r="HU24" s="629"/>
      <c r="HV24" s="629"/>
      <c r="HW24" s="629"/>
      <c r="HX24" s="629"/>
      <c r="HY24" s="629"/>
      <c r="HZ24" s="629"/>
      <c r="IA24" s="629"/>
      <c r="IB24" s="629"/>
      <c r="IC24" s="629"/>
      <c r="ID24" s="629"/>
      <c r="IE24" s="629"/>
      <c r="IF24" s="629"/>
      <c r="IG24" s="629"/>
      <c r="IH24" s="629"/>
      <c r="II24" s="629"/>
      <c r="IJ24" s="629"/>
      <c r="IK24" s="629"/>
      <c r="IL24" s="629"/>
      <c r="IM24" s="629"/>
      <c r="IN24" s="629"/>
      <c r="IO24" s="629"/>
      <c r="IP24" s="629"/>
      <c r="IQ24" s="629"/>
      <c r="IR24" s="629"/>
      <c r="IS24" s="629"/>
      <c r="IT24" s="629"/>
      <c r="IU24" s="629"/>
      <c r="IV24" s="629"/>
      <c r="IW24" s="629"/>
      <c r="IX24" s="629"/>
      <c r="IY24" s="629"/>
      <c r="IZ24" s="629"/>
      <c r="JA24" s="629"/>
      <c r="JB24" s="629"/>
      <c r="JC24" s="629"/>
      <c r="JD24" s="629"/>
      <c r="JE24" s="629"/>
      <c r="JF24" s="629"/>
      <c r="JG24" s="629"/>
      <c r="JH24" s="629"/>
      <c r="JI24" s="629"/>
      <c r="JJ24" s="629"/>
      <c r="JK24" s="629"/>
      <c r="JL24" s="629"/>
      <c r="JM24" s="629"/>
      <c r="JN24" s="629"/>
      <c r="JO24" s="629"/>
      <c r="JP24" s="629"/>
      <c r="JQ24" s="629"/>
      <c r="JR24" s="629"/>
      <c r="JS24" s="629"/>
      <c r="JT24" s="629"/>
      <c r="JU24" s="629"/>
      <c r="JV24" s="629"/>
      <c r="JW24" s="629"/>
      <c r="JX24" s="629"/>
      <c r="JY24" s="629"/>
      <c r="JZ24" s="629"/>
      <c r="KA24" s="629"/>
      <c r="KB24" s="629"/>
      <c r="KC24" s="629"/>
      <c r="KD24" s="629"/>
      <c r="KE24" s="629"/>
      <c r="KF24" s="629"/>
      <c r="KG24" s="629"/>
      <c r="KH24" s="629"/>
      <c r="KI24" s="629"/>
      <c r="KJ24" s="629"/>
      <c r="KK24" s="629"/>
      <c r="KL24" s="629"/>
      <c r="KM24" s="629"/>
      <c r="KN24" s="629"/>
      <c r="KO24" s="629"/>
      <c r="KP24" s="629"/>
      <c r="KQ24" s="629"/>
      <c r="KR24" s="629"/>
      <c r="KS24" s="629"/>
      <c r="KT24" s="629"/>
      <c r="KU24" s="629"/>
      <c r="KV24" s="629"/>
      <c r="KW24" s="629"/>
      <c r="KX24" s="629"/>
      <c r="KY24" s="629"/>
      <c r="KZ24" s="629"/>
      <c r="LA24" s="629"/>
      <c r="LB24" s="629"/>
      <c r="LC24" s="629"/>
      <c r="LD24" s="629"/>
      <c r="LE24" s="629"/>
      <c r="LF24" s="629"/>
      <c r="LG24" s="629"/>
      <c r="LH24" s="629"/>
      <c r="LI24" s="629"/>
      <c r="LJ24" s="629"/>
      <c r="LK24" s="629"/>
      <c r="LL24" s="629"/>
      <c r="LM24" s="629"/>
      <c r="LN24" s="629"/>
      <c r="LO24" s="629"/>
      <c r="LP24" s="629"/>
      <c r="LQ24" s="629"/>
      <c r="LR24" s="629"/>
      <c r="LS24" s="629"/>
      <c r="LT24" s="629"/>
      <c r="LU24" s="629"/>
      <c r="LV24" s="629"/>
      <c r="LW24" s="629"/>
      <c r="LX24" s="629"/>
      <c r="LY24" s="629"/>
      <c r="LZ24" s="629"/>
      <c r="MA24" s="629"/>
      <c r="MB24" s="629"/>
      <c r="MC24" s="629"/>
      <c r="MD24" s="629"/>
      <c r="ME24" s="629"/>
      <c r="MF24" s="629"/>
      <c r="MG24" s="629"/>
      <c r="MH24" s="629"/>
      <c r="MI24" s="629"/>
      <c r="MJ24" s="629"/>
      <c r="MK24" s="629"/>
      <c r="ML24" s="629"/>
      <c r="MM24" s="629"/>
      <c r="MN24" s="629"/>
      <c r="MO24" s="629"/>
      <c r="MP24" s="629"/>
      <c r="MQ24" s="629"/>
      <c r="MR24" s="629"/>
      <c r="MS24" s="629"/>
      <c r="MT24" s="629"/>
      <c r="MU24" s="629"/>
      <c r="MV24" s="629"/>
      <c r="MW24" s="629"/>
      <c r="MX24" s="629"/>
      <c r="MY24" s="629"/>
      <c r="MZ24" s="629"/>
      <c r="NA24" s="629"/>
      <c r="NB24" s="629"/>
      <c r="NC24" s="629"/>
      <c r="ND24" s="629"/>
      <c r="NE24" s="629"/>
      <c r="NF24" s="629"/>
      <c r="NG24" s="629"/>
      <c r="NH24" s="629"/>
      <c r="NI24" s="629"/>
      <c r="NJ24" s="629"/>
      <c r="NK24" s="629"/>
      <c r="NL24" s="629"/>
      <c r="NM24" s="629"/>
      <c r="NN24" s="629"/>
      <c r="NO24" s="629"/>
      <c r="NP24" s="629"/>
      <c r="NQ24" s="629"/>
      <c r="NR24" s="629"/>
      <c r="NS24" s="629"/>
      <c r="NT24" s="629"/>
      <c r="NU24" s="629"/>
      <c r="NV24" s="629"/>
      <c r="NW24" s="629"/>
      <c r="NX24" s="629"/>
      <c r="NY24" s="629"/>
      <c r="NZ24" s="629"/>
      <c r="OA24" s="629"/>
      <c r="OB24" s="629"/>
      <c r="OC24" s="629"/>
      <c r="OD24" s="629"/>
      <c r="OE24" s="629"/>
      <c r="OF24" s="629"/>
      <c r="OG24" s="629"/>
      <c r="OH24" s="629"/>
      <c r="OI24" s="629"/>
      <c r="OJ24" s="629"/>
      <c r="OK24" s="629"/>
      <c r="OL24" s="629"/>
      <c r="OM24" s="629"/>
      <c r="ON24" s="629"/>
      <c r="OO24" s="629"/>
      <c r="OP24" s="629"/>
      <c r="OQ24" s="629"/>
      <c r="OR24" s="629"/>
      <c r="OS24" s="629"/>
      <c r="OT24" s="629"/>
      <c r="OU24" s="629"/>
      <c r="OV24" s="629"/>
      <c r="OW24" s="629"/>
      <c r="OX24" s="629"/>
      <c r="OY24" s="629"/>
      <c r="OZ24" s="629"/>
      <c r="PA24" s="629"/>
      <c r="PB24" s="629"/>
      <c r="PC24" s="629"/>
      <c r="PD24" s="629"/>
      <c r="PE24" s="629"/>
      <c r="PF24" s="629"/>
      <c r="PG24" s="629"/>
      <c r="PH24" s="629"/>
      <c r="PI24" s="629"/>
      <c r="PJ24" s="629"/>
      <c r="PK24" s="629"/>
      <c r="PL24" s="629"/>
      <c r="PM24" s="629"/>
      <c r="PN24" s="629"/>
      <c r="PO24" s="629"/>
      <c r="PP24" s="629"/>
      <c r="PQ24" s="629"/>
      <c r="PR24" s="629"/>
      <c r="PS24" s="629"/>
      <c r="PT24" s="629"/>
      <c r="PU24" s="629"/>
      <c r="PV24" s="629"/>
      <c r="PW24" s="629"/>
      <c r="PX24" s="629"/>
      <c r="PY24" s="629"/>
      <c r="PZ24" s="629"/>
      <c r="QA24" s="629"/>
      <c r="QB24" s="629"/>
      <c r="QC24" s="629"/>
      <c r="QD24" s="629"/>
      <c r="QE24" s="629"/>
      <c r="QF24" s="629"/>
      <c r="QG24" s="629"/>
      <c r="QH24" s="629"/>
      <c r="QI24" s="629"/>
      <c r="QJ24" s="629"/>
      <c r="QK24" s="629"/>
      <c r="QL24" s="629"/>
      <c r="QM24" s="629"/>
      <c r="QN24" s="629"/>
      <c r="QO24" s="629"/>
      <c r="QP24" s="629"/>
      <c r="QQ24" s="629"/>
      <c r="QR24" s="629"/>
      <c r="QS24" s="629"/>
      <c r="QT24" s="629"/>
      <c r="QU24" s="629"/>
      <c r="QV24" s="629"/>
      <c r="QW24" s="629"/>
      <c r="QX24" s="629"/>
      <c r="QY24" s="629"/>
      <c r="QZ24" s="629"/>
      <c r="RA24" s="629"/>
      <c r="RB24" s="629"/>
      <c r="RC24" s="629"/>
      <c r="RD24" s="629"/>
      <c r="RE24" s="629"/>
      <c r="RF24" s="629"/>
      <c r="RG24" s="629"/>
      <c r="RH24" s="629"/>
      <c r="RI24" s="629"/>
      <c r="RJ24" s="629"/>
      <c r="RK24" s="629"/>
      <c r="RL24" s="629"/>
      <c r="RM24" s="629"/>
      <c r="RN24" s="629"/>
      <c r="RO24" s="629"/>
      <c r="RP24" s="629"/>
      <c r="RQ24" s="629"/>
      <c r="RR24" s="629"/>
      <c r="RS24" s="629"/>
      <c r="RT24" s="629"/>
      <c r="RU24" s="629"/>
      <c r="RV24" s="629"/>
      <c r="RW24" s="629"/>
      <c r="RX24" s="629"/>
      <c r="RY24" s="629"/>
      <c r="RZ24" s="629"/>
      <c r="SA24" s="629"/>
      <c r="SB24" s="629"/>
      <c r="SC24" s="629"/>
      <c r="SD24" s="629"/>
      <c r="SE24" s="629"/>
      <c r="SF24" s="629"/>
      <c r="SG24" s="629"/>
      <c r="SH24" s="629"/>
      <c r="SI24" s="629"/>
      <c r="SJ24" s="629"/>
      <c r="SK24" s="629"/>
      <c r="SL24" s="629"/>
      <c r="SM24" s="629"/>
      <c r="SN24" s="629"/>
      <c r="SO24" s="629"/>
      <c r="SP24" s="629"/>
      <c r="SQ24" s="629"/>
      <c r="SR24" s="629"/>
      <c r="SS24" s="629"/>
      <c r="ST24" s="629"/>
      <c r="SU24" s="629"/>
      <c r="SV24" s="629"/>
      <c r="SW24" s="629"/>
      <c r="SX24" s="629"/>
      <c r="SY24" s="629"/>
      <c r="SZ24" s="629"/>
      <c r="TA24" s="629"/>
      <c r="TB24" s="629"/>
      <c r="TC24" s="629"/>
      <c r="TD24" s="629"/>
      <c r="TE24" s="629"/>
      <c r="TF24" s="629"/>
      <c r="TG24" s="629"/>
      <c r="TH24" s="629"/>
      <c r="TI24" s="629"/>
      <c r="TJ24" s="629"/>
      <c r="TK24" s="629"/>
      <c r="TL24" s="629"/>
      <c r="TM24" s="629"/>
      <c r="TN24" s="629"/>
      <c r="TO24" s="629"/>
      <c r="TP24" s="629"/>
      <c r="TQ24" s="629"/>
      <c r="TR24" s="629"/>
      <c r="TS24" s="629"/>
      <c r="TT24" s="629"/>
      <c r="TU24" s="629"/>
      <c r="TV24" s="629"/>
      <c r="TW24" s="629"/>
      <c r="TX24" s="629"/>
      <c r="TY24" s="629"/>
      <c r="TZ24" s="629"/>
      <c r="UA24" s="629"/>
      <c r="UB24" s="629"/>
      <c r="UC24" s="629"/>
      <c r="UD24" s="629"/>
      <c r="UE24" s="629"/>
      <c r="UF24" s="629"/>
      <c r="UG24" s="629"/>
      <c r="UH24" s="629"/>
      <c r="UI24" s="629"/>
      <c r="UJ24" s="629"/>
      <c r="UK24" s="629"/>
      <c r="UL24" s="629"/>
      <c r="UM24" s="629"/>
      <c r="UN24" s="629"/>
      <c r="UO24" s="629"/>
      <c r="UP24" s="629"/>
      <c r="UQ24" s="629"/>
      <c r="UR24" s="629"/>
      <c r="US24" s="629"/>
      <c r="UT24" s="629"/>
      <c r="UU24" s="629"/>
      <c r="UV24" s="629"/>
      <c r="UW24" s="629"/>
      <c r="UX24" s="629"/>
      <c r="UY24" s="629"/>
      <c r="UZ24" s="629"/>
      <c r="VA24" s="629"/>
      <c r="VB24" s="629"/>
      <c r="VC24" s="629"/>
      <c r="VD24" s="629"/>
      <c r="VE24" s="629"/>
      <c r="VF24" s="629"/>
      <c r="VG24" s="629"/>
      <c r="VH24" s="629"/>
      <c r="VI24" s="629"/>
      <c r="VJ24" s="629"/>
      <c r="VK24" s="629"/>
      <c r="VL24" s="629"/>
      <c r="VM24" s="629"/>
      <c r="VN24" s="629"/>
      <c r="VO24" s="629"/>
      <c r="VP24" s="629"/>
      <c r="VQ24" s="629"/>
      <c r="VR24" s="629"/>
      <c r="VS24" s="629"/>
      <c r="VT24" s="629"/>
      <c r="VU24" s="629"/>
      <c r="VV24" s="629"/>
      <c r="VW24" s="629"/>
      <c r="VX24" s="629"/>
      <c r="VY24" s="629"/>
      <c r="VZ24" s="629"/>
      <c r="WA24" s="629"/>
      <c r="WB24" s="629"/>
      <c r="WC24" s="629"/>
      <c r="WD24" s="629"/>
      <c r="WE24" s="629"/>
      <c r="WF24" s="629"/>
      <c r="WG24" s="629"/>
      <c r="WH24" s="629"/>
      <c r="WI24" s="629"/>
      <c r="WJ24" s="629"/>
      <c r="WK24" s="629"/>
      <c r="WL24" s="629"/>
      <c r="WM24" s="629"/>
      <c r="WN24" s="629"/>
      <c r="WO24" s="629"/>
      <c r="WP24" s="629"/>
      <c r="WQ24" s="629"/>
      <c r="WR24" s="629"/>
      <c r="WS24" s="629"/>
      <c r="WT24" s="629"/>
      <c r="WU24" s="629"/>
      <c r="WV24" s="629"/>
      <c r="WW24" s="629"/>
      <c r="WX24" s="629"/>
      <c r="WY24" s="629"/>
      <c r="WZ24" s="629"/>
      <c r="XA24" s="629"/>
      <c r="XB24" s="629"/>
      <c r="XC24" s="629"/>
      <c r="XD24" s="629"/>
      <c r="XE24" s="629"/>
      <c r="XF24" s="629"/>
      <c r="XG24" s="629"/>
      <c r="XH24" s="629"/>
      <c r="XI24" s="629"/>
      <c r="XJ24" s="629"/>
      <c r="XK24" s="629"/>
      <c r="XL24" s="629"/>
      <c r="XM24" s="629"/>
      <c r="XN24" s="629"/>
      <c r="XO24" s="629"/>
      <c r="XP24" s="629"/>
      <c r="XQ24" s="629"/>
      <c r="XR24" s="629"/>
      <c r="XS24" s="629"/>
      <c r="XT24" s="629"/>
      <c r="XU24" s="629"/>
      <c r="XV24" s="629"/>
      <c r="XW24" s="629"/>
      <c r="XX24" s="629"/>
      <c r="XY24" s="629"/>
      <c r="XZ24" s="629"/>
      <c r="YA24" s="629"/>
      <c r="YB24" s="629"/>
      <c r="YC24" s="629"/>
      <c r="YD24" s="629"/>
      <c r="YE24" s="629"/>
      <c r="YF24" s="629"/>
      <c r="YG24" s="629"/>
      <c r="YH24" s="629"/>
      <c r="YI24" s="629"/>
      <c r="YJ24" s="629"/>
      <c r="YK24" s="629"/>
      <c r="YL24" s="629"/>
      <c r="YM24" s="629"/>
      <c r="YN24" s="629"/>
      <c r="YO24" s="629"/>
      <c r="YP24" s="629"/>
      <c r="YQ24" s="629"/>
      <c r="YR24" s="629"/>
      <c r="YS24" s="629"/>
      <c r="YT24" s="629"/>
      <c r="YU24" s="629"/>
      <c r="YV24" s="629"/>
      <c r="YW24" s="629"/>
      <c r="YX24" s="629"/>
      <c r="YY24" s="629"/>
      <c r="YZ24" s="629"/>
      <c r="ZA24" s="629"/>
      <c r="ZB24" s="629"/>
      <c r="ZC24" s="629"/>
      <c r="ZD24" s="629"/>
      <c r="ZE24" s="629"/>
      <c r="ZF24" s="629"/>
      <c r="ZG24" s="629"/>
      <c r="ZH24" s="629"/>
      <c r="ZI24" s="629"/>
      <c r="ZJ24" s="629"/>
      <c r="ZK24" s="629"/>
      <c r="ZL24" s="629"/>
      <c r="ZM24" s="629"/>
      <c r="ZN24" s="629"/>
      <c r="ZO24" s="629"/>
      <c r="ZP24" s="629"/>
      <c r="ZQ24" s="629"/>
      <c r="ZR24" s="629"/>
      <c r="ZS24" s="629"/>
      <c r="ZT24" s="629"/>
      <c r="ZU24" s="629"/>
      <c r="ZV24" s="629"/>
      <c r="ZW24" s="629"/>
      <c r="ZX24" s="629"/>
      <c r="ZY24" s="629"/>
      <c r="ZZ24" s="629"/>
      <c r="AAA24" s="629"/>
      <c r="AAB24" s="629"/>
      <c r="AAC24" s="629"/>
      <c r="AAD24" s="629"/>
      <c r="AAE24" s="629"/>
      <c r="AAF24" s="629"/>
      <c r="AAG24" s="629"/>
      <c r="AAH24" s="629"/>
      <c r="AAI24" s="629"/>
      <c r="AAJ24" s="629"/>
      <c r="AAK24" s="629"/>
      <c r="AAL24" s="629"/>
      <c r="AAM24" s="629"/>
      <c r="AAN24" s="629"/>
      <c r="AAO24" s="629"/>
      <c r="AAP24" s="629"/>
      <c r="AAQ24" s="629"/>
      <c r="AAR24" s="629"/>
      <c r="AAS24" s="629"/>
      <c r="AAT24" s="629"/>
      <c r="AAU24" s="629"/>
      <c r="AAV24" s="629"/>
      <c r="AAW24" s="629"/>
      <c r="AAX24" s="629"/>
      <c r="AAY24" s="629"/>
      <c r="AAZ24" s="629"/>
      <c r="ABA24" s="629"/>
      <c r="ABB24" s="629"/>
      <c r="ABC24" s="629"/>
      <c r="ABD24" s="629"/>
      <c r="ABE24" s="629"/>
      <c r="ABF24" s="629"/>
      <c r="ABG24" s="629"/>
      <c r="ABH24" s="629"/>
      <c r="ABI24" s="629"/>
      <c r="ABJ24" s="629"/>
      <c r="ABK24" s="629"/>
      <c r="ABL24" s="629"/>
      <c r="ABM24" s="629"/>
      <c r="ABN24" s="629"/>
      <c r="ABO24" s="629"/>
      <c r="ABP24" s="629"/>
      <c r="ABQ24" s="629"/>
      <c r="ABR24" s="629"/>
      <c r="ABS24" s="629"/>
      <c r="ABT24" s="629"/>
      <c r="ABU24" s="629"/>
      <c r="ABV24" s="629"/>
      <c r="ABW24" s="629"/>
      <c r="ABX24" s="629"/>
      <c r="ABY24" s="629"/>
      <c r="ABZ24" s="629"/>
      <c r="ACA24" s="629"/>
      <c r="ACB24" s="629"/>
      <c r="ACC24" s="629"/>
      <c r="ACD24" s="629"/>
      <c r="ACE24" s="629"/>
      <c r="ACF24" s="629"/>
      <c r="ACG24" s="629"/>
      <c r="ACH24" s="629"/>
      <c r="ACI24" s="629"/>
      <c r="ACJ24" s="629"/>
      <c r="ACK24" s="629"/>
      <c r="ACL24" s="629"/>
      <c r="ACM24" s="629"/>
      <c r="ACN24" s="629"/>
      <c r="ACO24" s="629"/>
      <c r="ACP24" s="629"/>
      <c r="ACQ24" s="629"/>
      <c r="ACR24" s="629"/>
      <c r="ACS24" s="629"/>
      <c r="ACT24" s="629"/>
      <c r="ACU24" s="629"/>
      <c r="ACV24" s="629"/>
      <c r="ACW24" s="629"/>
      <c r="ACX24" s="629"/>
      <c r="ACY24" s="629"/>
      <c r="ACZ24" s="629"/>
      <c r="ADA24" s="629"/>
      <c r="ADB24" s="629"/>
      <c r="ADC24" s="629"/>
      <c r="ADD24" s="629"/>
      <c r="ADE24" s="629"/>
      <c r="ADF24" s="629"/>
      <c r="ADG24" s="629"/>
      <c r="ADH24" s="629"/>
      <c r="ADI24" s="629"/>
      <c r="ADJ24" s="629"/>
      <c r="ADK24" s="629"/>
      <c r="ADL24" s="629"/>
      <c r="ADM24" s="629"/>
      <c r="ADN24" s="629"/>
      <c r="ADO24" s="629"/>
      <c r="ADP24" s="629"/>
      <c r="ADQ24" s="629"/>
      <c r="ADR24" s="629"/>
      <c r="ADS24" s="629"/>
      <c r="ADT24" s="629"/>
      <c r="ADU24" s="629"/>
      <c r="ADV24" s="629"/>
      <c r="ADW24" s="629"/>
      <c r="ADX24" s="629"/>
      <c r="ADY24" s="629"/>
      <c r="ADZ24" s="629"/>
      <c r="AEA24" s="629"/>
      <c r="AEB24" s="629"/>
      <c r="AEC24" s="629"/>
      <c r="AED24" s="629"/>
      <c r="AEE24" s="629"/>
      <c r="AEF24" s="629"/>
      <c r="AEG24" s="629"/>
      <c r="AEH24" s="629"/>
      <c r="AEI24" s="629"/>
      <c r="AEJ24" s="629"/>
      <c r="AEK24" s="629"/>
      <c r="AEL24" s="629"/>
      <c r="AEM24" s="629"/>
      <c r="AEN24" s="629"/>
      <c r="AEO24" s="629"/>
      <c r="AEP24" s="629"/>
      <c r="AEQ24" s="629"/>
      <c r="AER24" s="629"/>
      <c r="AES24" s="629"/>
      <c r="AET24" s="629"/>
      <c r="AEU24" s="629"/>
      <c r="AEV24" s="629"/>
      <c r="AEW24" s="629"/>
      <c r="AEX24" s="629"/>
      <c r="AEY24" s="629"/>
      <c r="AEZ24" s="629"/>
      <c r="AFA24" s="629"/>
      <c r="AFB24" s="629"/>
      <c r="AFC24" s="629"/>
      <c r="AFD24" s="629"/>
      <c r="AFE24" s="629"/>
      <c r="AFF24" s="629"/>
      <c r="AFG24" s="629"/>
      <c r="AFH24" s="629"/>
      <c r="AFI24" s="629"/>
      <c r="AFJ24" s="629"/>
      <c r="AFK24" s="629"/>
      <c r="AFL24" s="629"/>
      <c r="AFM24" s="629"/>
      <c r="AFN24" s="629"/>
      <c r="AFO24" s="629"/>
      <c r="AFP24" s="629"/>
      <c r="AFQ24" s="629"/>
      <c r="AFR24" s="629"/>
      <c r="AFS24" s="629"/>
      <c r="AFT24" s="629"/>
      <c r="AFU24" s="629"/>
      <c r="AFV24" s="629"/>
      <c r="AFW24" s="629"/>
      <c r="AFX24" s="629"/>
      <c r="AFY24" s="629"/>
      <c r="AFZ24" s="629"/>
      <c r="AGA24" s="629"/>
      <c r="AGB24" s="629"/>
      <c r="AGC24" s="629"/>
      <c r="AGD24" s="629"/>
      <c r="AGE24" s="629"/>
      <c r="AGF24" s="629"/>
      <c r="AGG24" s="629"/>
      <c r="AGH24" s="629"/>
      <c r="AGI24" s="629"/>
      <c r="AGJ24" s="629"/>
      <c r="AGK24" s="629"/>
      <c r="AGL24" s="629"/>
      <c r="AGM24" s="629"/>
      <c r="AGN24" s="629"/>
      <c r="AGO24" s="629"/>
      <c r="AGP24" s="629"/>
      <c r="AGQ24" s="629"/>
      <c r="AGR24" s="629"/>
      <c r="AGS24" s="629"/>
      <c r="AGT24" s="629"/>
      <c r="AGU24" s="629"/>
      <c r="AGV24" s="629"/>
      <c r="AGW24" s="629"/>
      <c r="AGX24" s="629"/>
      <c r="AGY24" s="629"/>
      <c r="AGZ24" s="629"/>
      <c r="AHA24" s="629"/>
      <c r="AHB24" s="629"/>
      <c r="AHC24" s="629"/>
      <c r="AHD24" s="629"/>
      <c r="AHE24" s="629"/>
      <c r="AHF24" s="629"/>
      <c r="AHG24" s="629"/>
      <c r="AHH24" s="629"/>
      <c r="AHI24" s="629"/>
      <c r="AHJ24" s="629"/>
      <c r="AHK24" s="629"/>
      <c r="AHL24" s="629"/>
      <c r="AHM24" s="629"/>
      <c r="AHN24" s="629"/>
      <c r="AHO24" s="629"/>
      <c r="AHP24" s="629"/>
      <c r="AHQ24" s="629"/>
      <c r="AHR24" s="629"/>
      <c r="AHS24" s="629"/>
      <c r="AHT24" s="629"/>
      <c r="AHU24" s="629"/>
      <c r="AHV24" s="629"/>
      <c r="AHW24" s="629"/>
      <c r="AHX24" s="629"/>
      <c r="AHY24" s="629"/>
      <c r="AHZ24" s="629"/>
      <c r="AIA24" s="629"/>
      <c r="AIB24" s="629"/>
      <c r="AIC24" s="629"/>
      <c r="AID24" s="629"/>
      <c r="AIE24" s="629"/>
      <c r="AIF24" s="629"/>
      <c r="AIG24" s="629"/>
      <c r="AIH24" s="629"/>
      <c r="AII24" s="629"/>
      <c r="AIJ24" s="629"/>
      <c r="AIK24" s="629"/>
      <c r="AIL24" s="629"/>
      <c r="AIM24" s="629"/>
      <c r="AIN24" s="629"/>
      <c r="AIO24" s="629"/>
      <c r="AIP24" s="629"/>
      <c r="AIQ24" s="629"/>
      <c r="AIR24" s="629"/>
      <c r="AIS24" s="629"/>
      <c r="AIT24" s="629"/>
      <c r="AIU24" s="629"/>
      <c r="AIV24" s="629"/>
      <c r="AIW24" s="629"/>
      <c r="AIX24" s="629"/>
      <c r="AIY24" s="629"/>
      <c r="AIZ24" s="629"/>
      <c r="AJA24" s="629"/>
      <c r="AJB24" s="629"/>
      <c r="AJC24" s="629"/>
      <c r="AJD24" s="629"/>
      <c r="AJE24" s="629"/>
      <c r="AJF24" s="629"/>
      <c r="AJG24" s="629"/>
      <c r="AJH24" s="629"/>
      <c r="AJI24" s="629"/>
      <c r="AJJ24" s="629"/>
      <c r="AJK24" s="629"/>
      <c r="AJL24" s="629"/>
      <c r="AJM24" s="629"/>
      <c r="AJN24" s="629"/>
      <c r="AJO24" s="629"/>
      <c r="AJP24" s="629"/>
      <c r="AJQ24" s="629"/>
      <c r="AJR24" s="629"/>
      <c r="AJS24" s="629"/>
      <c r="AJT24" s="629"/>
      <c r="AJU24" s="629"/>
      <c r="AJV24" s="629"/>
      <c r="AJW24" s="629"/>
      <c r="AJX24" s="629"/>
      <c r="AJY24" s="629"/>
      <c r="AJZ24" s="629"/>
      <c r="AKA24" s="629"/>
      <c r="AKB24" s="629"/>
      <c r="AKC24" s="629"/>
      <c r="AKD24" s="629"/>
      <c r="AKE24" s="629"/>
      <c r="AKF24" s="629"/>
      <c r="AKG24" s="629"/>
      <c r="AKH24" s="629"/>
      <c r="AKI24" s="629"/>
      <c r="AKJ24" s="629"/>
      <c r="AKK24" s="629"/>
      <c r="AKL24" s="629"/>
      <c r="AKM24" s="629"/>
      <c r="AKN24" s="629"/>
      <c r="AKO24" s="629"/>
      <c r="AKP24" s="629"/>
      <c r="AKQ24" s="629"/>
      <c r="AKR24" s="629"/>
      <c r="AKS24" s="629"/>
      <c r="AKT24" s="629"/>
      <c r="AKU24" s="629"/>
      <c r="AKV24" s="629"/>
      <c r="AKW24" s="629"/>
      <c r="AKX24" s="629"/>
      <c r="AKY24" s="629"/>
      <c r="AKZ24" s="629"/>
      <c r="ALA24" s="629"/>
      <c r="ALB24" s="629"/>
      <c r="ALC24" s="629"/>
      <c r="ALD24" s="629"/>
      <c r="ALE24" s="629"/>
      <c r="ALF24" s="629"/>
      <c r="ALG24" s="629"/>
      <c r="ALH24" s="629"/>
      <c r="ALI24" s="629"/>
      <c r="ALJ24" s="629"/>
      <c r="ALK24" s="629"/>
      <c r="ALL24" s="629"/>
      <c r="ALM24" s="629"/>
      <c r="ALN24" s="629"/>
      <c r="ALO24" s="629"/>
      <c r="ALP24" s="629"/>
      <c r="ALQ24" s="629"/>
      <c r="ALR24" s="629"/>
      <c r="ALS24" s="629"/>
      <c r="ALT24" s="629"/>
      <c r="ALU24" s="629"/>
      <c r="ALV24" s="629"/>
      <c r="ALW24" s="629"/>
      <c r="ALX24" s="629"/>
      <c r="ALY24" s="629"/>
      <c r="ALZ24" s="629"/>
      <c r="AMA24" s="629"/>
      <c r="AMB24" s="629"/>
      <c r="AMC24" s="629"/>
      <c r="AMD24" s="629"/>
      <c r="AME24" s="629"/>
      <c r="AMF24" s="629"/>
      <c r="AMG24" s="629"/>
      <c r="AMH24" s="629"/>
      <c r="AMI24" s="629"/>
      <c r="AMJ24" s="629"/>
      <c r="AMK24" s="629"/>
      <c r="AML24" s="629"/>
      <c r="AMM24" s="629"/>
      <c r="AMN24" s="629"/>
      <c r="AMO24" s="629"/>
      <c r="AMP24" s="629"/>
      <c r="AMQ24" s="629"/>
      <c r="AMR24" s="629"/>
      <c r="AMS24" s="629"/>
      <c r="AMT24" s="629"/>
      <c r="AMU24" s="629"/>
      <c r="AMV24" s="629"/>
      <c r="AMW24" s="629"/>
      <c r="AMX24" s="629"/>
      <c r="AMY24" s="629"/>
      <c r="AMZ24" s="629"/>
      <c r="ANA24" s="629"/>
      <c r="ANB24" s="629"/>
      <c r="ANC24" s="629"/>
      <c r="AND24" s="629"/>
      <c r="ANE24" s="629"/>
      <c r="ANF24" s="629"/>
      <c r="ANG24" s="629"/>
      <c r="ANH24" s="629"/>
      <c r="ANI24" s="629"/>
      <c r="ANJ24" s="629"/>
      <c r="ANK24" s="629"/>
      <c r="ANL24" s="629"/>
      <c r="ANM24" s="629"/>
      <c r="ANN24" s="629"/>
      <c r="ANO24" s="629"/>
      <c r="ANP24" s="629"/>
      <c r="ANQ24" s="629"/>
      <c r="ANR24" s="629"/>
      <c r="ANS24" s="629"/>
      <c r="ANT24" s="629"/>
      <c r="ANU24" s="629"/>
      <c r="ANV24" s="629"/>
      <c r="ANW24" s="629"/>
      <c r="ANX24" s="629"/>
      <c r="ANY24" s="629"/>
      <c r="ANZ24" s="629"/>
      <c r="AOA24" s="629"/>
      <c r="AOB24" s="629"/>
      <c r="AOC24" s="629"/>
      <c r="AOD24" s="629"/>
      <c r="AOE24" s="629"/>
      <c r="AOF24" s="629"/>
      <c r="AOG24" s="629"/>
      <c r="AOH24" s="629"/>
      <c r="AOI24" s="629"/>
      <c r="AOJ24" s="629"/>
      <c r="AOK24" s="629"/>
      <c r="AOL24" s="629"/>
      <c r="AOM24" s="629"/>
      <c r="AON24" s="629"/>
      <c r="AOO24" s="629"/>
      <c r="AOP24" s="629"/>
      <c r="AOQ24" s="629"/>
      <c r="AOR24" s="629"/>
      <c r="AOS24" s="629"/>
      <c r="AOT24" s="629"/>
      <c r="AOU24" s="629"/>
      <c r="AOV24" s="629"/>
      <c r="AOW24" s="629"/>
      <c r="AOX24" s="629"/>
      <c r="AOY24" s="629"/>
      <c r="AOZ24" s="629"/>
      <c r="APA24" s="629"/>
      <c r="APB24" s="629"/>
      <c r="APC24" s="629"/>
      <c r="APD24" s="629"/>
      <c r="APE24" s="629"/>
      <c r="APF24" s="629"/>
      <c r="APG24" s="629"/>
      <c r="APH24" s="629"/>
      <c r="API24" s="629"/>
      <c r="APJ24" s="629"/>
      <c r="APK24" s="629"/>
      <c r="APL24" s="629"/>
      <c r="APM24" s="629"/>
      <c r="APN24" s="629"/>
      <c r="APO24" s="629"/>
      <c r="APP24" s="629"/>
      <c r="APQ24" s="629"/>
      <c r="APR24" s="629"/>
      <c r="APS24" s="629"/>
      <c r="APT24" s="629"/>
      <c r="APU24" s="629"/>
      <c r="APV24" s="629"/>
      <c r="APW24" s="629"/>
      <c r="APX24" s="629"/>
      <c r="APY24" s="629"/>
      <c r="APZ24" s="629"/>
      <c r="AQA24" s="629"/>
      <c r="AQB24" s="629"/>
      <c r="AQC24" s="629"/>
      <c r="AQD24" s="629"/>
      <c r="AQE24" s="629"/>
      <c r="AQF24" s="629"/>
      <c r="AQG24" s="629"/>
      <c r="AQH24" s="629"/>
      <c r="AQI24" s="629"/>
      <c r="AQJ24" s="629"/>
      <c r="AQK24" s="629"/>
      <c r="AQL24" s="629"/>
      <c r="AQM24" s="629"/>
      <c r="AQN24" s="629"/>
      <c r="AQO24" s="629"/>
      <c r="AQP24" s="629"/>
      <c r="AQQ24" s="629"/>
      <c r="AQR24" s="629"/>
      <c r="AQS24" s="629"/>
      <c r="AQT24" s="629"/>
      <c r="AQU24" s="629"/>
      <c r="AQV24" s="629"/>
      <c r="AQW24" s="629"/>
      <c r="AQX24" s="629"/>
      <c r="AQY24" s="629"/>
      <c r="AQZ24" s="629"/>
      <c r="ARA24" s="629"/>
      <c r="ARB24" s="629"/>
      <c r="ARC24" s="629"/>
      <c r="ARD24" s="629"/>
      <c r="ARE24" s="629"/>
      <c r="ARF24" s="629"/>
      <c r="ARG24" s="629"/>
      <c r="ARH24" s="629"/>
      <c r="ARI24" s="629"/>
      <c r="ARJ24" s="629"/>
      <c r="ARK24" s="629"/>
      <c r="ARL24" s="629"/>
      <c r="ARM24" s="629"/>
      <c r="ARN24" s="629"/>
      <c r="ARO24" s="629"/>
      <c r="ARP24" s="629"/>
      <c r="ARQ24" s="629"/>
      <c r="ARR24" s="629"/>
      <c r="ARS24" s="629"/>
      <c r="ART24" s="629"/>
      <c r="ARU24" s="629"/>
      <c r="ARV24" s="629"/>
      <c r="ARW24" s="629"/>
      <c r="ARX24" s="629"/>
      <c r="ARY24" s="629"/>
      <c r="ARZ24" s="629"/>
      <c r="ASA24" s="629"/>
      <c r="ASB24" s="629"/>
      <c r="ASC24" s="629"/>
      <c r="ASD24" s="629"/>
      <c r="ASE24" s="629"/>
      <c r="ASF24" s="629"/>
      <c r="ASG24" s="629"/>
      <c r="ASH24" s="629"/>
      <c r="ASI24" s="629"/>
      <c r="ASJ24" s="629"/>
      <c r="ASK24" s="629"/>
      <c r="ASL24" s="629"/>
      <c r="ASM24" s="629"/>
      <c r="ASN24" s="629"/>
      <c r="ASO24" s="629"/>
      <c r="ASP24" s="629"/>
      <c r="ASQ24" s="629"/>
      <c r="ASR24" s="629"/>
      <c r="ASS24" s="629"/>
      <c r="AST24" s="629"/>
      <c r="ASU24" s="629"/>
      <c r="ASV24" s="629"/>
      <c r="ASW24" s="629"/>
      <c r="ASX24" s="629"/>
      <c r="ASY24" s="629"/>
      <c r="ASZ24" s="629"/>
      <c r="ATA24" s="629"/>
      <c r="ATB24" s="629"/>
      <c r="ATC24" s="629"/>
      <c r="ATD24" s="629"/>
      <c r="ATE24" s="629"/>
      <c r="ATF24" s="629"/>
      <c r="ATG24" s="629"/>
      <c r="ATH24" s="629"/>
      <c r="ATI24" s="629"/>
      <c r="ATJ24" s="629"/>
      <c r="ATK24" s="629"/>
      <c r="ATL24" s="629"/>
      <c r="ATM24" s="629"/>
      <c r="ATN24" s="629"/>
      <c r="ATO24" s="629"/>
      <c r="ATP24" s="629"/>
      <c r="ATQ24" s="629"/>
      <c r="ATR24" s="629"/>
      <c r="ATS24" s="629"/>
      <c r="ATT24" s="629"/>
      <c r="ATU24" s="629"/>
      <c r="ATV24" s="629"/>
      <c r="ATW24" s="629"/>
      <c r="ATX24" s="629"/>
      <c r="ATY24" s="629"/>
      <c r="ATZ24" s="629"/>
      <c r="AUA24" s="629"/>
      <c r="AUB24" s="629"/>
      <c r="AUC24" s="629"/>
      <c r="AUD24" s="629"/>
      <c r="AUE24" s="629"/>
      <c r="AUF24" s="629"/>
      <c r="AUG24" s="629"/>
      <c r="AUH24" s="629"/>
      <c r="AUI24" s="629"/>
      <c r="AUJ24" s="629"/>
      <c r="AUK24" s="629"/>
      <c r="AUL24" s="629"/>
      <c r="AUM24" s="629"/>
      <c r="AUN24" s="629"/>
      <c r="AUO24" s="629"/>
      <c r="AUP24" s="629"/>
      <c r="AUQ24" s="629"/>
      <c r="AUR24" s="629"/>
      <c r="AUS24" s="629"/>
      <c r="AUT24" s="629"/>
      <c r="AUU24" s="629"/>
      <c r="AUV24" s="629"/>
      <c r="AUW24" s="629"/>
      <c r="AUX24" s="629"/>
      <c r="AUY24" s="629"/>
      <c r="AUZ24" s="629"/>
      <c r="AVA24" s="629"/>
      <c r="AVB24" s="629"/>
      <c r="AVC24" s="629"/>
      <c r="AVD24" s="629"/>
      <c r="AVE24" s="629"/>
      <c r="AVF24" s="629"/>
      <c r="AVG24" s="629"/>
      <c r="AVH24" s="629"/>
      <c r="AVI24" s="629"/>
      <c r="AVJ24" s="629"/>
      <c r="AVK24" s="629"/>
      <c r="AVL24" s="629"/>
      <c r="AVM24" s="629"/>
      <c r="AVN24" s="629"/>
      <c r="AVO24" s="629"/>
      <c r="AVP24" s="629"/>
      <c r="AVQ24" s="629"/>
      <c r="AVR24" s="629"/>
      <c r="AVS24" s="629"/>
      <c r="AVT24" s="629"/>
      <c r="AVU24" s="629"/>
      <c r="AVV24" s="629"/>
      <c r="AVW24" s="629"/>
      <c r="AVX24" s="629"/>
      <c r="AVY24" s="629"/>
      <c r="AVZ24" s="629"/>
      <c r="AWA24" s="629"/>
      <c r="AWB24" s="629"/>
      <c r="AWC24" s="629"/>
      <c r="AWD24" s="629"/>
      <c r="AWE24" s="629"/>
      <c r="AWF24" s="629"/>
      <c r="AWG24" s="629"/>
      <c r="AWH24" s="629"/>
      <c r="AWI24" s="629"/>
      <c r="AWJ24" s="629"/>
      <c r="AWK24" s="629"/>
      <c r="AWL24" s="629"/>
      <c r="AWM24" s="629"/>
      <c r="AWN24" s="629"/>
      <c r="AWO24" s="629"/>
      <c r="AWP24" s="629"/>
      <c r="AWQ24" s="629"/>
      <c r="AWR24" s="629"/>
      <c r="AWS24" s="629"/>
      <c r="AWT24" s="629"/>
      <c r="AWU24" s="629"/>
      <c r="AWV24" s="629"/>
      <c r="AWW24" s="629"/>
      <c r="AWX24" s="629"/>
      <c r="AWY24" s="629"/>
      <c r="AWZ24" s="629"/>
      <c r="AXA24" s="629"/>
      <c r="AXB24" s="629"/>
      <c r="AXC24" s="629"/>
      <c r="AXD24" s="629"/>
      <c r="AXE24" s="629"/>
      <c r="AXF24" s="629"/>
      <c r="AXG24" s="629"/>
      <c r="AXH24" s="629"/>
      <c r="AXI24" s="629"/>
      <c r="AXJ24" s="629"/>
      <c r="AXK24" s="629"/>
      <c r="AXL24" s="629"/>
      <c r="AXM24" s="629"/>
      <c r="AXN24" s="629"/>
      <c r="AXO24" s="629"/>
      <c r="AXP24" s="629"/>
      <c r="AXQ24" s="629"/>
      <c r="AXR24" s="629"/>
      <c r="AXS24" s="629"/>
      <c r="AXT24" s="629"/>
      <c r="AXU24" s="629"/>
      <c r="AXV24" s="629"/>
      <c r="AXW24" s="629"/>
      <c r="AXX24" s="629"/>
      <c r="AXY24" s="629"/>
      <c r="AXZ24" s="629"/>
      <c r="AYA24" s="629"/>
      <c r="AYB24" s="629"/>
      <c r="AYC24" s="629"/>
      <c r="AYD24" s="629"/>
      <c r="AYE24" s="629"/>
      <c r="AYF24" s="629"/>
      <c r="AYG24" s="629"/>
      <c r="AYH24" s="629"/>
      <c r="AYI24" s="629"/>
      <c r="AYJ24" s="629"/>
      <c r="AYK24" s="629"/>
      <c r="AYL24" s="629"/>
      <c r="AYM24" s="629"/>
      <c r="AYN24" s="629"/>
      <c r="AYO24" s="629"/>
      <c r="AYP24" s="629"/>
      <c r="AYQ24" s="629"/>
      <c r="AYR24" s="629"/>
      <c r="AYS24" s="629"/>
      <c r="AYT24" s="629"/>
      <c r="AYU24" s="629"/>
      <c r="AYV24" s="629"/>
      <c r="AYW24" s="629"/>
      <c r="AYX24" s="629"/>
      <c r="AYY24" s="629"/>
      <c r="AYZ24" s="629"/>
      <c r="AZA24" s="629"/>
      <c r="AZB24" s="629"/>
      <c r="AZC24" s="629"/>
      <c r="AZD24" s="629"/>
      <c r="AZE24" s="629"/>
      <c r="AZF24" s="629"/>
      <c r="AZG24" s="629"/>
      <c r="AZH24" s="629"/>
      <c r="AZI24" s="629"/>
      <c r="AZJ24" s="629"/>
      <c r="AZK24" s="629"/>
      <c r="AZL24" s="629"/>
      <c r="AZM24" s="629"/>
      <c r="AZN24" s="629"/>
      <c r="AZO24" s="629"/>
      <c r="AZP24" s="629"/>
      <c r="AZQ24" s="629"/>
      <c r="AZR24" s="629"/>
      <c r="AZS24" s="629"/>
      <c r="AZT24" s="629"/>
      <c r="AZU24" s="629"/>
      <c r="AZV24" s="629"/>
      <c r="AZW24" s="629"/>
      <c r="AZX24" s="629"/>
      <c r="AZY24" s="629"/>
      <c r="AZZ24" s="629"/>
      <c r="BAA24" s="629"/>
      <c r="BAB24" s="629"/>
      <c r="BAC24" s="629"/>
      <c r="BAD24" s="629"/>
      <c r="BAE24" s="629"/>
      <c r="BAF24" s="629"/>
      <c r="BAG24" s="629"/>
      <c r="BAH24" s="629"/>
      <c r="BAI24" s="629"/>
      <c r="BAJ24" s="629"/>
      <c r="BAK24" s="629"/>
      <c r="BAL24" s="629"/>
      <c r="BAM24" s="629"/>
      <c r="BAN24" s="629"/>
      <c r="BAO24" s="629"/>
      <c r="BAP24" s="629"/>
      <c r="BAQ24" s="629"/>
      <c r="BAR24" s="629"/>
      <c r="BAS24" s="629"/>
      <c r="BAT24" s="629"/>
      <c r="BAU24" s="629"/>
      <c r="BAV24" s="629"/>
      <c r="BAW24" s="629"/>
      <c r="BAX24" s="629"/>
      <c r="BAY24" s="629"/>
      <c r="BAZ24" s="629"/>
      <c r="BBA24" s="629"/>
      <c r="BBB24" s="629"/>
      <c r="BBC24" s="629"/>
      <c r="BBD24" s="629"/>
      <c r="BBE24" s="629"/>
      <c r="BBF24" s="629"/>
      <c r="BBG24" s="629"/>
      <c r="BBH24" s="629"/>
      <c r="BBI24" s="629"/>
      <c r="BBJ24" s="629"/>
      <c r="BBK24" s="629"/>
      <c r="BBL24" s="629"/>
      <c r="BBM24" s="629"/>
      <c r="BBN24" s="629"/>
      <c r="BBO24" s="629"/>
      <c r="BBP24" s="629"/>
      <c r="BBQ24" s="629"/>
      <c r="BBR24" s="629"/>
      <c r="BBS24" s="629"/>
      <c r="BBT24" s="629"/>
      <c r="BBU24" s="629"/>
      <c r="BBV24" s="629"/>
      <c r="BBW24" s="629"/>
      <c r="BBX24" s="629"/>
      <c r="BBY24" s="629"/>
      <c r="BBZ24" s="629"/>
      <c r="BCA24" s="629"/>
      <c r="BCB24" s="629"/>
      <c r="BCC24" s="629"/>
      <c r="BCD24" s="629"/>
      <c r="BCE24" s="629"/>
      <c r="BCF24" s="629"/>
      <c r="BCG24" s="629"/>
      <c r="BCH24" s="629"/>
      <c r="BCI24" s="629"/>
      <c r="BCJ24" s="629"/>
      <c r="BCK24" s="629"/>
      <c r="BCL24" s="629"/>
      <c r="BCM24" s="629"/>
      <c r="BCN24" s="629"/>
      <c r="BCO24" s="629"/>
      <c r="BCP24" s="629"/>
      <c r="BCQ24" s="629"/>
      <c r="BCR24" s="629"/>
      <c r="BCS24" s="629"/>
      <c r="BCT24" s="629"/>
      <c r="BCU24" s="629"/>
      <c r="BCV24" s="629"/>
      <c r="BCW24" s="629"/>
      <c r="BCX24" s="629"/>
      <c r="BCY24" s="629"/>
      <c r="BCZ24" s="629"/>
      <c r="BDA24" s="629"/>
      <c r="BDB24" s="629"/>
      <c r="BDC24" s="629"/>
      <c r="BDD24" s="629"/>
      <c r="BDE24" s="629"/>
      <c r="BDF24" s="629"/>
      <c r="BDG24" s="629"/>
      <c r="BDH24" s="629"/>
      <c r="BDI24" s="629"/>
      <c r="BDJ24" s="629"/>
      <c r="BDK24" s="629"/>
      <c r="BDL24" s="629"/>
      <c r="BDM24" s="629"/>
      <c r="BDN24" s="629"/>
      <c r="BDO24" s="629"/>
      <c r="BDP24" s="629"/>
      <c r="BDQ24" s="629"/>
      <c r="BDR24" s="629"/>
      <c r="BDS24" s="629"/>
      <c r="BDT24" s="629"/>
      <c r="BDU24" s="629"/>
      <c r="BDV24" s="629"/>
      <c r="BDW24" s="629"/>
      <c r="BDX24" s="629"/>
      <c r="BDY24" s="629"/>
      <c r="BDZ24" s="629"/>
      <c r="BEA24" s="629"/>
      <c r="BEB24" s="629"/>
      <c r="BEC24" s="629"/>
      <c r="BED24" s="629"/>
      <c r="BEE24" s="629"/>
      <c r="BEF24" s="629"/>
      <c r="BEG24" s="629"/>
      <c r="BEH24" s="629"/>
      <c r="BEI24" s="629"/>
      <c r="BEJ24" s="629"/>
      <c r="BEK24" s="629"/>
      <c r="BEL24" s="629"/>
      <c r="BEM24" s="629"/>
      <c r="BEN24" s="629"/>
      <c r="BEO24" s="629"/>
      <c r="BEP24" s="629"/>
      <c r="BEQ24" s="629"/>
      <c r="BER24" s="629"/>
      <c r="BES24" s="629"/>
      <c r="BET24" s="629"/>
      <c r="BEU24" s="629"/>
      <c r="BEV24" s="629"/>
      <c r="BEW24" s="629"/>
      <c r="BEX24" s="629"/>
      <c r="BEY24" s="629"/>
      <c r="BEZ24" s="629"/>
      <c r="BFA24" s="629"/>
      <c r="BFB24" s="629"/>
      <c r="BFC24" s="629"/>
      <c r="BFD24" s="629"/>
      <c r="BFE24" s="629"/>
      <c r="BFF24" s="629"/>
      <c r="BFG24" s="629"/>
      <c r="BFH24" s="629"/>
      <c r="BFI24" s="629"/>
      <c r="BFJ24" s="629"/>
      <c r="BFK24" s="629"/>
      <c r="BFL24" s="629"/>
      <c r="BFM24" s="629"/>
      <c r="BFN24" s="629"/>
      <c r="BFO24" s="629"/>
      <c r="BFP24" s="629"/>
      <c r="BFQ24" s="629"/>
      <c r="BFR24" s="629"/>
      <c r="BFS24" s="629"/>
      <c r="BFT24" s="629"/>
      <c r="BFU24" s="629"/>
      <c r="BFV24" s="629"/>
      <c r="BFW24" s="629"/>
      <c r="BFX24" s="629"/>
      <c r="BFY24" s="629"/>
      <c r="BFZ24" s="629"/>
      <c r="BGA24" s="629"/>
      <c r="BGB24" s="629"/>
      <c r="BGC24" s="629"/>
      <c r="BGD24" s="629"/>
      <c r="BGE24" s="629"/>
      <c r="BGF24" s="629"/>
      <c r="BGG24" s="629"/>
      <c r="BGH24" s="629"/>
      <c r="BGI24" s="629"/>
      <c r="BGJ24" s="629"/>
      <c r="BGK24" s="629"/>
      <c r="BGL24" s="629"/>
      <c r="BGM24" s="629"/>
      <c r="BGN24" s="629"/>
      <c r="BGO24" s="629"/>
      <c r="BGP24" s="629"/>
      <c r="BGQ24" s="629"/>
      <c r="BGR24" s="629"/>
      <c r="BGS24" s="629"/>
      <c r="BGT24" s="629"/>
      <c r="BGU24" s="629"/>
      <c r="BGV24" s="629"/>
      <c r="BGW24" s="629"/>
      <c r="BGX24" s="629"/>
      <c r="BGY24" s="629"/>
      <c r="BGZ24" s="629"/>
      <c r="BHA24" s="629"/>
      <c r="BHB24" s="629"/>
      <c r="BHC24" s="629"/>
      <c r="BHD24" s="629"/>
      <c r="BHE24" s="629"/>
      <c r="BHF24" s="629"/>
      <c r="BHG24" s="629"/>
      <c r="BHH24" s="629"/>
      <c r="BHI24" s="629"/>
      <c r="BHJ24" s="629"/>
      <c r="BHK24" s="629"/>
      <c r="BHL24" s="629"/>
      <c r="BHM24" s="629"/>
      <c r="BHN24" s="629"/>
      <c r="BHO24" s="629"/>
      <c r="BHP24" s="629"/>
      <c r="BHQ24" s="629"/>
      <c r="BHR24" s="629"/>
      <c r="BHS24" s="629"/>
      <c r="BHT24" s="629"/>
      <c r="BHU24" s="629"/>
      <c r="BHV24" s="629"/>
      <c r="BHW24" s="629"/>
      <c r="BHX24" s="629"/>
      <c r="BHY24" s="629"/>
      <c r="BHZ24" s="629"/>
      <c r="BIA24" s="629"/>
      <c r="BIB24" s="629"/>
      <c r="BIC24" s="629"/>
      <c r="BID24" s="629"/>
      <c r="BIE24" s="629"/>
      <c r="BIF24" s="629"/>
      <c r="BIG24" s="629"/>
      <c r="BIH24" s="629"/>
      <c r="BII24" s="629"/>
      <c r="BIJ24" s="629"/>
      <c r="BIK24" s="629"/>
      <c r="BIL24" s="629"/>
      <c r="BIM24" s="629"/>
      <c r="BIN24" s="629"/>
      <c r="BIO24" s="629"/>
      <c r="BIP24" s="629"/>
      <c r="BIQ24" s="629"/>
      <c r="BIR24" s="629"/>
      <c r="BIS24" s="629"/>
      <c r="BIT24" s="629"/>
      <c r="BIU24" s="629"/>
      <c r="BIV24" s="629"/>
      <c r="BIW24" s="629"/>
      <c r="BIX24" s="629"/>
      <c r="BIY24" s="629"/>
      <c r="BIZ24" s="629"/>
      <c r="BJA24" s="629"/>
      <c r="BJB24" s="629"/>
      <c r="BJC24" s="629"/>
      <c r="BJD24" s="629"/>
      <c r="BJE24" s="629"/>
      <c r="BJF24" s="629"/>
      <c r="BJG24" s="629"/>
      <c r="BJH24" s="629"/>
      <c r="BJI24" s="629"/>
      <c r="BJJ24" s="629"/>
      <c r="BJK24" s="629"/>
      <c r="BJL24" s="629"/>
      <c r="BJM24" s="629"/>
      <c r="BJN24" s="629"/>
      <c r="BJO24" s="629"/>
      <c r="BJP24" s="629"/>
      <c r="BJQ24" s="629"/>
      <c r="BJR24" s="629"/>
      <c r="BJS24" s="629"/>
      <c r="BJT24" s="629"/>
      <c r="BJU24" s="629"/>
      <c r="BJV24" s="629"/>
      <c r="BJW24" s="629"/>
      <c r="BJX24" s="629"/>
      <c r="BJY24" s="629"/>
      <c r="BJZ24" s="629"/>
      <c r="BKA24" s="629"/>
      <c r="BKB24" s="629"/>
      <c r="BKC24" s="629"/>
      <c r="BKD24" s="629"/>
      <c r="BKE24" s="629"/>
      <c r="BKF24" s="629"/>
      <c r="BKG24" s="629"/>
      <c r="BKH24" s="629"/>
      <c r="BKI24" s="629"/>
      <c r="BKJ24" s="629"/>
      <c r="BKK24" s="629"/>
      <c r="BKL24" s="629"/>
      <c r="BKM24" s="629"/>
      <c r="BKN24" s="629"/>
      <c r="BKO24" s="629"/>
      <c r="BKP24" s="629"/>
      <c r="BKQ24" s="629"/>
      <c r="BKR24" s="629"/>
      <c r="BKS24" s="629"/>
      <c r="BKT24" s="629"/>
      <c r="BKU24" s="629"/>
      <c r="BKV24" s="629"/>
      <c r="BKW24" s="629"/>
      <c r="BKX24" s="629"/>
      <c r="BKY24" s="629"/>
      <c r="BKZ24" s="629"/>
      <c r="BLA24" s="629"/>
      <c r="BLB24" s="629"/>
      <c r="BLC24" s="629"/>
      <c r="BLD24" s="629"/>
      <c r="BLE24" s="629"/>
      <c r="BLF24" s="629"/>
      <c r="BLG24" s="629"/>
      <c r="BLH24" s="629"/>
      <c r="BLI24" s="629"/>
      <c r="BLJ24" s="629"/>
      <c r="BLK24" s="629"/>
      <c r="BLL24" s="629"/>
      <c r="BLM24" s="629"/>
      <c r="BLN24" s="629"/>
      <c r="BLO24" s="629"/>
      <c r="BLP24" s="629"/>
      <c r="BLQ24" s="629"/>
      <c r="BLR24" s="629"/>
      <c r="BLS24" s="629"/>
      <c r="BLT24" s="629"/>
      <c r="BLU24" s="629"/>
      <c r="BLV24" s="629"/>
      <c r="BLW24" s="629"/>
      <c r="BLX24" s="629"/>
      <c r="BLY24" s="629"/>
      <c r="BLZ24" s="629"/>
      <c r="BMA24" s="629"/>
      <c r="BMB24" s="629"/>
      <c r="BMC24" s="629"/>
      <c r="BMD24" s="629"/>
      <c r="BME24" s="629"/>
      <c r="BMF24" s="629"/>
      <c r="BMG24" s="629"/>
      <c r="BMH24" s="629"/>
      <c r="BMI24" s="629"/>
      <c r="BMJ24" s="629"/>
      <c r="BMK24" s="629"/>
      <c r="BML24" s="629"/>
      <c r="BMM24" s="629"/>
      <c r="BMN24" s="629"/>
      <c r="BMO24" s="629"/>
      <c r="BMP24" s="629"/>
      <c r="BMQ24" s="629"/>
      <c r="BMR24" s="629"/>
      <c r="BMS24" s="629"/>
      <c r="BMT24" s="629"/>
      <c r="BMU24" s="629"/>
      <c r="BMV24" s="629"/>
      <c r="BMW24" s="629"/>
      <c r="BMX24" s="629"/>
      <c r="BMY24" s="629"/>
      <c r="BMZ24" s="629"/>
      <c r="BNA24" s="629"/>
      <c r="BNB24" s="629"/>
      <c r="BNC24" s="629"/>
      <c r="BND24" s="629"/>
      <c r="BNE24" s="629"/>
      <c r="BNF24" s="629"/>
      <c r="BNG24" s="629"/>
      <c r="BNH24" s="629"/>
      <c r="BNI24" s="629"/>
      <c r="BNJ24" s="629"/>
      <c r="BNK24" s="629"/>
      <c r="BNL24" s="629"/>
      <c r="BNM24" s="629"/>
      <c r="BNN24" s="629"/>
      <c r="BNO24" s="629"/>
      <c r="BNP24" s="629"/>
      <c r="BNQ24" s="629"/>
      <c r="BNR24" s="629"/>
      <c r="BNS24" s="629"/>
      <c r="BNT24" s="629"/>
      <c r="BNU24" s="629"/>
      <c r="BNV24" s="629"/>
      <c r="BNW24" s="629"/>
      <c r="BNX24" s="629"/>
      <c r="BNY24" s="629"/>
      <c r="BNZ24" s="629"/>
      <c r="BOA24" s="629"/>
      <c r="BOB24" s="629"/>
      <c r="BOC24" s="629"/>
      <c r="BOD24" s="629"/>
      <c r="BOE24" s="629"/>
      <c r="BOF24" s="629"/>
      <c r="BOG24" s="629"/>
      <c r="BOH24" s="629"/>
      <c r="BOI24" s="629"/>
      <c r="BOJ24" s="629"/>
      <c r="BOK24" s="629"/>
      <c r="BOL24" s="629"/>
      <c r="BOM24" s="629"/>
      <c r="BON24" s="629"/>
      <c r="BOO24" s="629"/>
      <c r="BOP24" s="629"/>
      <c r="BOQ24" s="629"/>
      <c r="BOR24" s="629"/>
      <c r="BOS24" s="629"/>
      <c r="BOT24" s="629"/>
      <c r="BOU24" s="629"/>
      <c r="BOV24" s="629"/>
      <c r="BOW24" s="629"/>
      <c r="BOX24" s="629"/>
      <c r="BOY24" s="629"/>
      <c r="BOZ24" s="629"/>
      <c r="BPA24" s="629"/>
      <c r="BPB24" s="629"/>
      <c r="BPC24" s="629"/>
      <c r="BPD24" s="629"/>
      <c r="BPE24" s="629"/>
      <c r="BPF24" s="629"/>
      <c r="BPG24" s="629"/>
      <c r="BPH24" s="629"/>
      <c r="BPI24" s="629"/>
      <c r="BPJ24" s="629"/>
      <c r="BPK24" s="629"/>
      <c r="BPL24" s="629"/>
      <c r="BPM24" s="629"/>
      <c r="BPN24" s="629"/>
      <c r="BPO24" s="629"/>
      <c r="BPP24" s="629"/>
      <c r="BPQ24" s="629"/>
      <c r="BPR24" s="629"/>
      <c r="BPS24" s="629"/>
      <c r="BPT24" s="629"/>
      <c r="BPU24" s="629"/>
      <c r="BPV24" s="629"/>
      <c r="BPW24" s="629"/>
      <c r="BPX24" s="629"/>
      <c r="BPY24" s="629"/>
      <c r="BPZ24" s="629"/>
      <c r="BQA24" s="629"/>
      <c r="BQB24" s="629"/>
      <c r="BQC24" s="629"/>
      <c r="BQD24" s="629"/>
      <c r="BQE24" s="629"/>
      <c r="BQF24" s="629"/>
      <c r="BQG24" s="629"/>
      <c r="BQH24" s="629"/>
      <c r="BQI24" s="629"/>
      <c r="BQJ24" s="629"/>
      <c r="BQK24" s="629"/>
      <c r="BQL24" s="629"/>
      <c r="BQM24" s="629"/>
      <c r="BQN24" s="629"/>
      <c r="BQO24" s="629"/>
      <c r="BQP24" s="629"/>
      <c r="BQQ24" s="629"/>
      <c r="BQR24" s="629"/>
      <c r="BQS24" s="629"/>
      <c r="BQT24" s="629"/>
      <c r="BQU24" s="629"/>
      <c r="BQV24" s="629"/>
      <c r="BQW24" s="629"/>
      <c r="BQX24" s="629"/>
      <c r="BQY24" s="629"/>
      <c r="BQZ24" s="629"/>
      <c r="BRA24" s="629"/>
      <c r="BRB24" s="629"/>
      <c r="BRC24" s="629"/>
      <c r="BRD24" s="629"/>
      <c r="BRE24" s="629"/>
      <c r="BRF24" s="629"/>
      <c r="BRG24" s="629"/>
      <c r="BRH24" s="629"/>
      <c r="BRI24" s="629"/>
      <c r="BRJ24" s="629"/>
      <c r="BRK24" s="629"/>
      <c r="BRL24" s="629"/>
      <c r="BRM24" s="629"/>
      <c r="BRN24" s="629"/>
      <c r="BRO24" s="629"/>
      <c r="BRP24" s="629"/>
      <c r="BRQ24" s="629"/>
      <c r="BRR24" s="629"/>
      <c r="BRS24" s="629"/>
      <c r="BRT24" s="629"/>
      <c r="BRU24" s="629"/>
      <c r="BRV24" s="629"/>
      <c r="BRW24" s="629"/>
      <c r="BRX24" s="629"/>
      <c r="BRY24" s="629"/>
      <c r="BRZ24" s="629"/>
      <c r="BSA24" s="629"/>
      <c r="BSB24" s="629"/>
      <c r="BSC24" s="629"/>
      <c r="BSD24" s="629"/>
      <c r="BSE24" s="629"/>
      <c r="BSF24" s="629"/>
      <c r="BSG24" s="629"/>
      <c r="BSH24" s="629"/>
      <c r="BSI24" s="629"/>
      <c r="BSJ24" s="629"/>
      <c r="BSK24" s="629"/>
      <c r="BSL24" s="629"/>
      <c r="BSM24" s="629"/>
      <c r="BSN24" s="629"/>
      <c r="BSO24" s="629"/>
      <c r="BSP24" s="629"/>
      <c r="BSQ24" s="629"/>
      <c r="BSR24" s="629"/>
      <c r="BSS24" s="629"/>
      <c r="BST24" s="629"/>
      <c r="BSU24" s="629"/>
      <c r="BSV24" s="629"/>
      <c r="BSW24" s="629"/>
      <c r="BSX24" s="629"/>
      <c r="BSY24" s="629"/>
      <c r="BSZ24" s="629"/>
      <c r="BTA24" s="629"/>
      <c r="BTB24" s="629"/>
      <c r="BTC24" s="629"/>
      <c r="BTD24" s="629"/>
      <c r="BTE24" s="629"/>
      <c r="BTF24" s="629"/>
      <c r="BTG24" s="629"/>
      <c r="BTH24" s="629"/>
      <c r="BTI24" s="629"/>
      <c r="BTJ24" s="629"/>
      <c r="BTK24" s="629"/>
      <c r="BTL24" s="629"/>
      <c r="BTM24" s="629"/>
      <c r="BTN24" s="629"/>
      <c r="BTO24" s="629"/>
      <c r="BTP24" s="629"/>
      <c r="BTQ24" s="629"/>
      <c r="BTR24" s="629"/>
      <c r="BTS24" s="629"/>
      <c r="BTT24" s="629"/>
      <c r="BTU24" s="629"/>
      <c r="BTV24" s="629"/>
      <c r="BTW24" s="629"/>
      <c r="BTX24" s="629"/>
      <c r="BTY24" s="629"/>
      <c r="BTZ24" s="629"/>
      <c r="BUA24" s="629"/>
      <c r="BUB24" s="629"/>
      <c r="BUC24" s="629"/>
      <c r="BUD24" s="629"/>
      <c r="BUE24" s="629"/>
      <c r="BUF24" s="629"/>
      <c r="BUG24" s="629"/>
      <c r="BUH24" s="629"/>
      <c r="BUI24" s="629"/>
      <c r="BUJ24" s="629"/>
      <c r="BUK24" s="629"/>
      <c r="BUL24" s="629"/>
      <c r="BUM24" s="629"/>
      <c r="BUN24" s="629"/>
      <c r="BUO24" s="629"/>
      <c r="BUP24" s="629"/>
      <c r="BUQ24" s="629"/>
      <c r="BUR24" s="629"/>
      <c r="BUS24" s="629"/>
      <c r="BUT24" s="629"/>
      <c r="BUU24" s="629"/>
      <c r="BUV24" s="629"/>
      <c r="BUW24" s="629"/>
      <c r="BUX24" s="629"/>
      <c r="BUY24" s="629"/>
      <c r="BUZ24" s="629"/>
      <c r="BVA24" s="629"/>
      <c r="BVB24" s="629"/>
      <c r="BVC24" s="629"/>
      <c r="BVD24" s="629"/>
      <c r="BVE24" s="629"/>
      <c r="BVF24" s="629"/>
      <c r="BVG24" s="629"/>
      <c r="BVH24" s="629"/>
      <c r="BVI24" s="629"/>
      <c r="BVJ24" s="629"/>
      <c r="BVK24" s="629"/>
      <c r="BVL24" s="629"/>
      <c r="BVM24" s="629"/>
      <c r="BVN24" s="629"/>
      <c r="BVO24" s="629"/>
      <c r="BVP24" s="629"/>
      <c r="BVQ24" s="629"/>
      <c r="BVR24" s="629"/>
      <c r="BVS24" s="629"/>
      <c r="BVT24" s="629"/>
      <c r="BVU24" s="629"/>
      <c r="BVV24" s="629"/>
      <c r="BVW24" s="629"/>
      <c r="BVX24" s="629"/>
      <c r="BVY24" s="629"/>
      <c r="BVZ24" s="629"/>
      <c r="BWA24" s="629"/>
      <c r="BWB24" s="629"/>
      <c r="BWC24" s="629"/>
      <c r="BWD24" s="629"/>
      <c r="BWE24" s="629"/>
      <c r="BWF24" s="629"/>
      <c r="BWG24" s="629"/>
      <c r="BWH24" s="629"/>
      <c r="BWI24" s="629"/>
      <c r="BWJ24" s="629"/>
      <c r="BWK24" s="629"/>
      <c r="BWL24" s="629"/>
      <c r="BWM24" s="629"/>
      <c r="BWN24" s="629"/>
      <c r="BWO24" s="629"/>
      <c r="BWP24" s="629"/>
      <c r="BWQ24" s="629"/>
      <c r="BWR24" s="629"/>
      <c r="BWS24" s="629"/>
      <c r="BWT24" s="629"/>
      <c r="BWU24" s="629"/>
      <c r="BWV24" s="629"/>
      <c r="BWW24" s="629"/>
      <c r="BWX24" s="629"/>
      <c r="BWY24" s="629"/>
      <c r="BWZ24" s="629"/>
      <c r="BXA24" s="629"/>
      <c r="BXB24" s="629"/>
      <c r="BXC24" s="629"/>
      <c r="BXD24" s="629"/>
      <c r="BXE24" s="629"/>
      <c r="BXF24" s="629"/>
      <c r="BXG24" s="629"/>
      <c r="BXH24" s="629"/>
      <c r="BXI24" s="629"/>
      <c r="BXJ24" s="629"/>
      <c r="BXK24" s="629"/>
      <c r="BXL24" s="629"/>
      <c r="BXM24" s="629"/>
      <c r="BXN24" s="629"/>
      <c r="BXO24" s="629"/>
      <c r="BXP24" s="629"/>
      <c r="BXQ24" s="629"/>
      <c r="BXR24" s="629"/>
      <c r="BXS24" s="629"/>
      <c r="BXT24" s="629"/>
      <c r="BXU24" s="629"/>
      <c r="BXV24" s="629"/>
      <c r="BXW24" s="629"/>
      <c r="BXX24" s="629"/>
      <c r="BXY24" s="629"/>
      <c r="BXZ24" s="629"/>
      <c r="BYA24" s="629"/>
      <c r="BYB24" s="629"/>
      <c r="BYC24" s="629"/>
      <c r="BYD24" s="629"/>
      <c r="BYE24" s="629"/>
      <c r="BYF24" s="629"/>
      <c r="BYG24" s="629"/>
      <c r="BYH24" s="629"/>
      <c r="BYI24" s="629"/>
      <c r="BYJ24" s="629"/>
      <c r="BYK24" s="629"/>
      <c r="BYL24" s="629"/>
      <c r="BYM24" s="629"/>
      <c r="BYN24" s="629"/>
      <c r="BYO24" s="629"/>
      <c r="BYP24" s="629"/>
      <c r="BYQ24" s="629"/>
      <c r="BYR24" s="629"/>
      <c r="BYS24" s="629"/>
      <c r="BYT24" s="629"/>
      <c r="BYU24" s="629"/>
      <c r="BYV24" s="629"/>
      <c r="BYW24" s="629"/>
      <c r="BYX24" s="629"/>
      <c r="BYY24" s="629"/>
      <c r="BYZ24" s="629"/>
      <c r="BZA24" s="629"/>
      <c r="BZB24" s="629"/>
      <c r="BZC24" s="629"/>
      <c r="BZD24" s="629"/>
      <c r="BZE24" s="629"/>
      <c r="BZF24" s="629"/>
      <c r="BZG24" s="629"/>
      <c r="BZH24" s="629"/>
      <c r="BZI24" s="629"/>
      <c r="BZJ24" s="629"/>
      <c r="BZK24" s="629"/>
      <c r="BZL24" s="629"/>
      <c r="BZM24" s="629"/>
      <c r="BZN24" s="629"/>
      <c r="BZO24" s="629"/>
      <c r="BZP24" s="629"/>
      <c r="BZQ24" s="629"/>
      <c r="BZR24" s="629"/>
      <c r="BZS24" s="629"/>
      <c r="BZT24" s="629"/>
      <c r="BZU24" s="629"/>
      <c r="BZV24" s="629"/>
      <c r="BZW24" s="629"/>
      <c r="BZX24" s="629"/>
      <c r="BZY24" s="629"/>
      <c r="BZZ24" s="629"/>
      <c r="CAA24" s="629"/>
      <c r="CAB24" s="629"/>
      <c r="CAC24" s="629"/>
      <c r="CAD24" s="629"/>
      <c r="CAE24" s="629"/>
      <c r="CAF24" s="629"/>
      <c r="CAG24" s="629"/>
      <c r="CAH24" s="629"/>
      <c r="CAI24" s="629"/>
      <c r="CAJ24" s="629"/>
      <c r="CAK24" s="629"/>
      <c r="CAL24" s="629"/>
      <c r="CAM24" s="629"/>
      <c r="CAN24" s="629"/>
      <c r="CAO24" s="629"/>
      <c r="CAP24" s="629"/>
      <c r="CAQ24" s="629"/>
      <c r="CAR24" s="629"/>
      <c r="CAS24" s="629"/>
      <c r="CAT24" s="629"/>
      <c r="CAU24" s="629"/>
      <c r="CAV24" s="629"/>
      <c r="CAW24" s="629"/>
      <c r="CAX24" s="629"/>
      <c r="CAY24" s="629"/>
      <c r="CAZ24" s="629"/>
      <c r="CBA24" s="629"/>
      <c r="CBB24" s="629"/>
      <c r="CBC24" s="629"/>
      <c r="CBD24" s="629"/>
      <c r="CBE24" s="629"/>
      <c r="CBF24" s="629"/>
      <c r="CBG24" s="629"/>
      <c r="CBH24" s="629"/>
      <c r="CBI24" s="629"/>
      <c r="CBJ24" s="629"/>
      <c r="CBK24" s="629"/>
      <c r="CBL24" s="629"/>
      <c r="CBM24" s="629"/>
      <c r="CBN24" s="629"/>
      <c r="CBO24" s="629"/>
      <c r="CBP24" s="629"/>
      <c r="CBQ24" s="629"/>
      <c r="CBR24" s="629"/>
      <c r="CBS24" s="629"/>
      <c r="CBT24" s="629"/>
      <c r="CBU24" s="629"/>
      <c r="CBV24" s="629"/>
      <c r="CBW24" s="629"/>
      <c r="CBX24" s="629"/>
      <c r="CBY24" s="629"/>
      <c r="CBZ24" s="629"/>
      <c r="CCA24" s="629"/>
      <c r="CCB24" s="629"/>
      <c r="CCC24" s="629"/>
      <c r="CCD24" s="629"/>
      <c r="CCE24" s="629"/>
      <c r="CCF24" s="629"/>
      <c r="CCG24" s="629"/>
      <c r="CCH24" s="629"/>
      <c r="CCI24" s="629"/>
      <c r="CCJ24" s="629"/>
      <c r="CCK24" s="629"/>
      <c r="CCL24" s="629"/>
      <c r="CCM24" s="629"/>
      <c r="CCN24" s="629"/>
      <c r="CCO24" s="629"/>
      <c r="CCP24" s="629"/>
      <c r="CCQ24" s="629"/>
      <c r="CCR24" s="629"/>
      <c r="CCS24" s="629"/>
      <c r="CCT24" s="629"/>
      <c r="CCU24" s="629"/>
      <c r="CCV24" s="629"/>
      <c r="CCW24" s="629"/>
      <c r="CCX24" s="629"/>
      <c r="CCY24" s="629"/>
      <c r="CCZ24" s="629"/>
      <c r="CDA24" s="629"/>
      <c r="CDB24" s="629"/>
      <c r="CDC24" s="629"/>
      <c r="CDD24" s="629"/>
      <c r="CDE24" s="629"/>
      <c r="CDF24" s="629"/>
      <c r="CDG24" s="629"/>
      <c r="CDH24" s="629"/>
      <c r="CDI24" s="629"/>
      <c r="CDJ24" s="629"/>
      <c r="CDK24" s="629"/>
      <c r="CDL24" s="629"/>
      <c r="CDM24" s="629"/>
      <c r="CDN24" s="629"/>
      <c r="CDO24" s="629"/>
      <c r="CDP24" s="629"/>
      <c r="CDQ24" s="629"/>
      <c r="CDR24" s="629"/>
      <c r="CDS24" s="629"/>
      <c r="CDT24" s="629"/>
      <c r="CDU24" s="629"/>
      <c r="CDV24" s="629"/>
      <c r="CDW24" s="629"/>
      <c r="CDX24" s="629"/>
      <c r="CDY24" s="629"/>
      <c r="CDZ24" s="629"/>
      <c r="CEA24" s="629"/>
      <c r="CEB24" s="629"/>
      <c r="CEC24" s="629"/>
      <c r="CED24" s="629"/>
      <c r="CEE24" s="629"/>
      <c r="CEF24" s="629"/>
      <c r="CEG24" s="629"/>
      <c r="CEH24" s="629"/>
      <c r="CEI24" s="629"/>
      <c r="CEJ24" s="629"/>
      <c r="CEK24" s="629"/>
      <c r="CEL24" s="629"/>
      <c r="CEM24" s="629"/>
      <c r="CEN24" s="629"/>
      <c r="CEO24" s="629"/>
      <c r="CEP24" s="629"/>
      <c r="CEQ24" s="629"/>
      <c r="CER24" s="629"/>
      <c r="CES24" s="629"/>
      <c r="CET24" s="629"/>
      <c r="CEU24" s="629"/>
      <c r="CEV24" s="629"/>
      <c r="CEW24" s="629"/>
      <c r="CEX24" s="629"/>
      <c r="CEY24" s="629"/>
      <c r="CEZ24" s="629"/>
      <c r="CFA24" s="629"/>
      <c r="CFB24" s="629"/>
      <c r="CFC24" s="629"/>
      <c r="CFD24" s="629"/>
      <c r="CFE24" s="629"/>
      <c r="CFF24" s="629"/>
      <c r="CFG24" s="629"/>
      <c r="CFH24" s="629"/>
      <c r="CFI24" s="629"/>
      <c r="CFJ24" s="629"/>
      <c r="CFK24" s="629"/>
      <c r="CFL24" s="629"/>
      <c r="CFM24" s="629"/>
      <c r="CFN24" s="629"/>
      <c r="CFO24" s="629"/>
      <c r="CFP24" s="629"/>
      <c r="CFQ24" s="629"/>
      <c r="CFR24" s="629"/>
      <c r="CFS24" s="629"/>
      <c r="CFT24" s="629"/>
      <c r="CFU24" s="629"/>
      <c r="CFV24" s="629"/>
      <c r="CFW24" s="629"/>
      <c r="CFX24" s="629"/>
      <c r="CFY24" s="629"/>
      <c r="CFZ24" s="629"/>
      <c r="CGA24" s="629"/>
      <c r="CGB24" s="629"/>
      <c r="CGC24" s="629"/>
      <c r="CGD24" s="629"/>
      <c r="CGE24" s="629"/>
      <c r="CGF24" s="629"/>
      <c r="CGG24" s="629"/>
      <c r="CGH24" s="629"/>
      <c r="CGI24" s="629"/>
      <c r="CGJ24" s="629"/>
      <c r="CGK24" s="629"/>
      <c r="CGL24" s="629"/>
      <c r="CGM24" s="629"/>
      <c r="CGN24" s="629"/>
      <c r="CGO24" s="629"/>
      <c r="CGP24" s="629"/>
      <c r="CGQ24" s="629"/>
      <c r="CGR24" s="629"/>
      <c r="CGS24" s="629"/>
      <c r="CGT24" s="629"/>
      <c r="CGU24" s="629"/>
      <c r="CGV24" s="629"/>
      <c r="CGW24" s="629"/>
      <c r="CGX24" s="629"/>
      <c r="CGY24" s="629"/>
      <c r="CGZ24" s="629"/>
      <c r="CHA24" s="629"/>
      <c r="CHB24" s="629"/>
      <c r="CHC24" s="629"/>
      <c r="CHD24" s="629"/>
      <c r="CHE24" s="629"/>
      <c r="CHF24" s="629"/>
      <c r="CHG24" s="629"/>
      <c r="CHH24" s="629"/>
      <c r="CHI24" s="629"/>
      <c r="CHJ24" s="629"/>
      <c r="CHK24" s="629"/>
      <c r="CHL24" s="629"/>
      <c r="CHM24" s="629"/>
      <c r="CHN24" s="629"/>
      <c r="CHO24" s="629"/>
      <c r="CHP24" s="629"/>
      <c r="CHQ24" s="629"/>
      <c r="CHR24" s="629"/>
      <c r="CHS24" s="629"/>
      <c r="CHT24" s="629"/>
      <c r="CHU24" s="629"/>
      <c r="CHV24" s="629"/>
      <c r="CHW24" s="629"/>
      <c r="CHX24" s="629"/>
      <c r="CHY24" s="629"/>
      <c r="CHZ24" s="629"/>
      <c r="CIA24" s="629"/>
      <c r="CIB24" s="629"/>
      <c r="CIC24" s="629"/>
      <c r="CID24" s="629"/>
      <c r="CIE24" s="629"/>
      <c r="CIF24" s="629"/>
      <c r="CIG24" s="629"/>
      <c r="CIH24" s="629"/>
      <c r="CII24" s="629"/>
      <c r="CIJ24" s="629"/>
      <c r="CIK24" s="629"/>
      <c r="CIL24" s="629"/>
      <c r="CIM24" s="629"/>
      <c r="CIN24" s="629"/>
      <c r="CIO24" s="629"/>
      <c r="CIP24" s="629"/>
      <c r="CIQ24" s="629"/>
      <c r="CIR24" s="629"/>
      <c r="CIS24" s="629"/>
      <c r="CIT24" s="629"/>
      <c r="CIU24" s="629"/>
      <c r="CIV24" s="629"/>
      <c r="CIW24" s="629"/>
      <c r="CIX24" s="629"/>
      <c r="CIY24" s="629"/>
      <c r="CIZ24" s="629"/>
      <c r="CJA24" s="629"/>
      <c r="CJB24" s="629"/>
      <c r="CJC24" s="629"/>
      <c r="CJD24" s="629"/>
      <c r="CJE24" s="629"/>
      <c r="CJF24" s="629"/>
      <c r="CJG24" s="629"/>
      <c r="CJH24" s="629"/>
      <c r="CJI24" s="629"/>
      <c r="CJJ24" s="629"/>
      <c r="CJK24" s="629"/>
      <c r="CJL24" s="629"/>
      <c r="CJM24" s="629"/>
      <c r="CJN24" s="629"/>
      <c r="CJO24" s="629"/>
      <c r="CJP24" s="629"/>
      <c r="CJQ24" s="629"/>
      <c r="CJR24" s="629"/>
      <c r="CJS24" s="629"/>
      <c r="CJT24" s="629"/>
      <c r="CJU24" s="629"/>
      <c r="CJV24" s="629"/>
      <c r="CJW24" s="629"/>
      <c r="CJX24" s="629"/>
      <c r="CJY24" s="629"/>
      <c r="CJZ24" s="629"/>
      <c r="CKA24" s="629"/>
      <c r="CKB24" s="629"/>
      <c r="CKC24" s="629"/>
      <c r="CKD24" s="629"/>
      <c r="CKE24" s="629"/>
      <c r="CKF24" s="629"/>
      <c r="CKG24" s="629"/>
      <c r="CKH24" s="629"/>
      <c r="CKI24" s="629"/>
      <c r="CKJ24" s="629"/>
      <c r="CKK24" s="629"/>
      <c r="CKL24" s="629"/>
      <c r="CKM24" s="629"/>
      <c r="CKN24" s="629"/>
      <c r="CKO24" s="629"/>
      <c r="CKP24" s="629"/>
      <c r="CKQ24" s="629"/>
      <c r="CKR24" s="629"/>
      <c r="CKS24" s="629"/>
      <c r="CKT24" s="629"/>
      <c r="CKU24" s="629"/>
      <c r="CKV24" s="629"/>
      <c r="CKW24" s="629"/>
      <c r="CKX24" s="629"/>
      <c r="CKY24" s="629"/>
      <c r="CKZ24" s="629"/>
      <c r="CLA24" s="629"/>
      <c r="CLB24" s="629"/>
      <c r="CLC24" s="629"/>
      <c r="CLD24" s="629"/>
      <c r="CLE24" s="629"/>
      <c r="CLF24" s="629"/>
      <c r="CLG24" s="629"/>
      <c r="CLH24" s="629"/>
      <c r="CLI24" s="629"/>
      <c r="CLJ24" s="629"/>
      <c r="CLK24" s="629"/>
      <c r="CLL24" s="629"/>
      <c r="CLM24" s="629"/>
      <c r="CLN24" s="629"/>
      <c r="CLO24" s="629"/>
      <c r="CLP24" s="629"/>
      <c r="CLQ24" s="629"/>
      <c r="CLR24" s="629"/>
      <c r="CLS24" s="629"/>
      <c r="CLT24" s="629"/>
      <c r="CLU24" s="629"/>
      <c r="CLV24" s="629"/>
      <c r="CLW24" s="629"/>
      <c r="CLX24" s="629"/>
      <c r="CLY24" s="629"/>
      <c r="CLZ24" s="629"/>
      <c r="CMA24" s="629"/>
      <c r="CMB24" s="629"/>
      <c r="CMC24" s="629"/>
      <c r="CMD24" s="629"/>
      <c r="CME24" s="629"/>
      <c r="CMF24" s="629"/>
      <c r="CMG24" s="629"/>
      <c r="CMH24" s="629"/>
      <c r="CMI24" s="629"/>
      <c r="CMJ24" s="629"/>
      <c r="CMK24" s="629"/>
      <c r="CML24" s="629"/>
      <c r="CMM24" s="629"/>
      <c r="CMN24" s="629"/>
      <c r="CMO24" s="629"/>
      <c r="CMP24" s="629"/>
      <c r="CMQ24" s="629"/>
      <c r="CMR24" s="629"/>
      <c r="CMS24" s="629"/>
      <c r="CMT24" s="629"/>
      <c r="CMU24" s="629"/>
      <c r="CMV24" s="629"/>
      <c r="CMW24" s="629"/>
      <c r="CMX24" s="629"/>
      <c r="CMY24" s="629"/>
      <c r="CMZ24" s="629"/>
      <c r="CNA24" s="629"/>
      <c r="CNB24" s="629"/>
      <c r="CNC24" s="629"/>
      <c r="CND24" s="629"/>
      <c r="CNE24" s="629"/>
      <c r="CNF24" s="629"/>
      <c r="CNG24" s="629"/>
      <c r="CNH24" s="629"/>
      <c r="CNI24" s="629"/>
      <c r="CNJ24" s="629"/>
      <c r="CNK24" s="629"/>
      <c r="CNL24" s="629"/>
      <c r="CNM24" s="629"/>
      <c r="CNN24" s="629"/>
      <c r="CNO24" s="629"/>
      <c r="CNP24" s="629"/>
      <c r="CNQ24" s="629"/>
      <c r="CNR24" s="629"/>
      <c r="CNS24" s="629"/>
      <c r="CNT24" s="629"/>
      <c r="CNU24" s="629"/>
      <c r="CNV24" s="629"/>
      <c r="CNW24" s="629"/>
      <c r="CNX24" s="629"/>
      <c r="CNY24" s="629"/>
      <c r="CNZ24" s="629"/>
      <c r="COA24" s="629"/>
      <c r="COB24" s="629"/>
      <c r="COC24" s="629"/>
      <c r="COD24" s="629"/>
      <c r="COE24" s="629"/>
      <c r="COF24" s="629"/>
      <c r="COG24" s="629"/>
      <c r="COH24" s="629"/>
      <c r="COI24" s="629"/>
      <c r="COJ24" s="629"/>
      <c r="COK24" s="629"/>
      <c r="COL24" s="629"/>
      <c r="COM24" s="629"/>
      <c r="CON24" s="629"/>
      <c r="COO24" s="629"/>
      <c r="COP24" s="629"/>
      <c r="COQ24" s="629"/>
      <c r="COR24" s="629"/>
      <c r="COS24" s="629"/>
      <c r="COT24" s="629"/>
      <c r="COU24" s="629"/>
      <c r="COV24" s="629"/>
      <c r="COW24" s="629"/>
      <c r="COX24" s="629"/>
      <c r="COY24" s="629"/>
      <c r="COZ24" s="629"/>
      <c r="CPA24" s="629"/>
      <c r="CPB24" s="629"/>
      <c r="CPC24" s="629"/>
      <c r="CPD24" s="629"/>
      <c r="CPE24" s="629"/>
      <c r="CPF24" s="629"/>
      <c r="CPG24" s="629"/>
      <c r="CPH24" s="629"/>
      <c r="CPI24" s="629"/>
      <c r="CPJ24" s="629"/>
      <c r="CPK24" s="629"/>
      <c r="CPL24" s="629"/>
      <c r="CPM24" s="629"/>
      <c r="CPN24" s="629"/>
      <c r="CPO24" s="629"/>
      <c r="CPP24" s="629"/>
      <c r="CPQ24" s="629"/>
      <c r="CPR24" s="629"/>
      <c r="CPS24" s="629"/>
      <c r="CPT24" s="629"/>
      <c r="CPU24" s="629"/>
      <c r="CPV24" s="629"/>
      <c r="CPW24" s="629"/>
      <c r="CPX24" s="629"/>
      <c r="CPY24" s="629"/>
      <c r="CPZ24" s="629"/>
      <c r="CQA24" s="629"/>
      <c r="CQB24" s="629"/>
      <c r="CQC24" s="629"/>
      <c r="CQD24" s="629"/>
      <c r="CQE24" s="629"/>
      <c r="CQF24" s="629"/>
      <c r="CQG24" s="629"/>
      <c r="CQH24" s="629"/>
      <c r="CQI24" s="629"/>
      <c r="CQJ24" s="629"/>
      <c r="CQK24" s="629"/>
      <c r="CQL24" s="629"/>
      <c r="CQM24" s="629"/>
      <c r="CQN24" s="629"/>
      <c r="CQO24" s="629"/>
      <c r="CQP24" s="629"/>
      <c r="CQQ24" s="629"/>
      <c r="CQR24" s="629"/>
      <c r="CQS24" s="629"/>
      <c r="CQT24" s="629"/>
      <c r="CQU24" s="629"/>
      <c r="CQV24" s="629"/>
      <c r="CQW24" s="629"/>
      <c r="CQX24" s="629"/>
      <c r="CQY24" s="629"/>
      <c r="CQZ24" s="629"/>
      <c r="CRA24" s="629"/>
      <c r="CRB24" s="629"/>
      <c r="CRC24" s="629"/>
      <c r="CRD24" s="629"/>
      <c r="CRE24" s="629"/>
      <c r="CRF24" s="629"/>
      <c r="CRG24" s="629"/>
      <c r="CRH24" s="629"/>
      <c r="CRI24" s="629"/>
      <c r="CRJ24" s="629"/>
      <c r="CRK24" s="629"/>
      <c r="CRL24" s="629"/>
      <c r="CRM24" s="629"/>
      <c r="CRN24" s="629"/>
      <c r="CRO24" s="629"/>
      <c r="CRP24" s="629"/>
      <c r="CRQ24" s="629"/>
      <c r="CRR24" s="629"/>
      <c r="CRS24" s="629"/>
      <c r="CRT24" s="629"/>
      <c r="CRU24" s="629"/>
      <c r="CRV24" s="629"/>
      <c r="CRW24" s="629"/>
      <c r="CRX24" s="629"/>
      <c r="CRY24" s="629"/>
      <c r="CRZ24" s="629"/>
      <c r="CSA24" s="629"/>
      <c r="CSB24" s="629"/>
      <c r="CSC24" s="629"/>
      <c r="CSD24" s="629"/>
      <c r="CSE24" s="629"/>
      <c r="CSF24" s="629"/>
      <c r="CSG24" s="629"/>
      <c r="CSH24" s="629"/>
      <c r="CSI24" s="629"/>
      <c r="CSJ24" s="629"/>
      <c r="CSK24" s="629"/>
      <c r="CSL24" s="629"/>
      <c r="CSM24" s="629"/>
      <c r="CSN24" s="629"/>
      <c r="CSO24" s="629"/>
      <c r="CSP24" s="629"/>
      <c r="CSQ24" s="629"/>
      <c r="CSR24" s="629"/>
      <c r="CSS24" s="629"/>
      <c r="CST24" s="629"/>
      <c r="CSU24" s="629"/>
      <c r="CSV24" s="629"/>
      <c r="CSW24" s="629"/>
      <c r="CSX24" s="629"/>
      <c r="CSY24" s="629"/>
      <c r="CSZ24" s="629"/>
      <c r="CTA24" s="629"/>
      <c r="CTB24" s="629"/>
      <c r="CTC24" s="629"/>
      <c r="CTD24" s="629"/>
      <c r="CTE24" s="629"/>
      <c r="CTF24" s="629"/>
      <c r="CTG24" s="629"/>
      <c r="CTH24" s="629"/>
      <c r="CTI24" s="629"/>
      <c r="CTJ24" s="629"/>
      <c r="CTK24" s="629"/>
      <c r="CTL24" s="629"/>
      <c r="CTM24" s="629"/>
      <c r="CTN24" s="629"/>
      <c r="CTO24" s="629"/>
      <c r="CTP24" s="629"/>
      <c r="CTQ24" s="629"/>
      <c r="CTR24" s="629"/>
      <c r="CTS24" s="629"/>
      <c r="CTT24" s="629"/>
      <c r="CTU24" s="629"/>
      <c r="CTV24" s="629"/>
      <c r="CTW24" s="629"/>
      <c r="CTX24" s="629"/>
      <c r="CTY24" s="629"/>
      <c r="CTZ24" s="629"/>
      <c r="CUA24" s="629"/>
      <c r="CUB24" s="629"/>
      <c r="CUC24" s="629"/>
      <c r="CUD24" s="629"/>
      <c r="CUE24" s="629"/>
      <c r="CUF24" s="629"/>
      <c r="CUG24" s="629"/>
      <c r="CUH24" s="629"/>
      <c r="CUI24" s="629"/>
      <c r="CUJ24" s="629"/>
      <c r="CUK24" s="629"/>
      <c r="CUL24" s="629"/>
      <c r="CUM24" s="629"/>
      <c r="CUN24" s="629"/>
      <c r="CUO24" s="629"/>
      <c r="CUP24" s="629"/>
      <c r="CUQ24" s="629"/>
      <c r="CUR24" s="629"/>
      <c r="CUS24" s="629"/>
      <c r="CUT24" s="629"/>
      <c r="CUU24" s="629"/>
      <c r="CUV24" s="629"/>
      <c r="CUW24" s="629"/>
      <c r="CUX24" s="629"/>
      <c r="CUY24" s="629"/>
      <c r="CUZ24" s="629"/>
      <c r="CVA24" s="629"/>
      <c r="CVB24" s="629"/>
      <c r="CVC24" s="629"/>
      <c r="CVD24" s="629"/>
      <c r="CVE24" s="629"/>
      <c r="CVF24" s="629"/>
      <c r="CVG24" s="629"/>
      <c r="CVH24" s="629"/>
      <c r="CVI24" s="629"/>
      <c r="CVJ24" s="629"/>
      <c r="CVK24" s="629"/>
      <c r="CVL24" s="629"/>
      <c r="CVM24" s="629"/>
      <c r="CVN24" s="629"/>
      <c r="CVO24" s="629"/>
      <c r="CVP24" s="629"/>
      <c r="CVQ24" s="629"/>
      <c r="CVR24" s="629"/>
      <c r="CVS24" s="629"/>
      <c r="CVT24" s="629"/>
      <c r="CVU24" s="629"/>
      <c r="CVV24" s="629"/>
      <c r="CVW24" s="629"/>
      <c r="CVX24" s="629"/>
      <c r="CVY24" s="629"/>
      <c r="CVZ24" s="629"/>
      <c r="CWA24" s="629"/>
      <c r="CWB24" s="629"/>
      <c r="CWC24" s="629"/>
      <c r="CWD24" s="629"/>
      <c r="CWE24" s="629"/>
      <c r="CWF24" s="629"/>
      <c r="CWG24" s="629"/>
      <c r="CWH24" s="629"/>
      <c r="CWI24" s="629"/>
      <c r="CWJ24" s="629"/>
      <c r="CWK24" s="629"/>
      <c r="CWL24" s="629"/>
      <c r="CWM24" s="629"/>
      <c r="CWN24" s="629"/>
      <c r="CWO24" s="629"/>
      <c r="CWP24" s="629"/>
      <c r="CWQ24" s="629"/>
      <c r="CWR24" s="629"/>
      <c r="CWS24" s="629"/>
      <c r="CWT24" s="629"/>
      <c r="CWU24" s="629"/>
      <c r="CWV24" s="629"/>
      <c r="CWW24" s="629"/>
      <c r="CWX24" s="629"/>
      <c r="CWY24" s="629"/>
      <c r="CWZ24" s="629"/>
      <c r="CXA24" s="629"/>
      <c r="CXB24" s="629"/>
      <c r="CXC24" s="629"/>
      <c r="CXD24" s="629"/>
      <c r="CXE24" s="629"/>
      <c r="CXF24" s="629"/>
      <c r="CXG24" s="629"/>
      <c r="CXH24" s="629"/>
      <c r="CXI24" s="629"/>
      <c r="CXJ24" s="629"/>
      <c r="CXK24" s="629"/>
      <c r="CXL24" s="629"/>
      <c r="CXM24" s="629"/>
      <c r="CXN24" s="629"/>
      <c r="CXO24" s="629"/>
      <c r="CXP24" s="629"/>
      <c r="CXQ24" s="629"/>
      <c r="CXR24" s="629"/>
      <c r="CXS24" s="629"/>
      <c r="CXT24" s="629"/>
      <c r="CXU24" s="629"/>
      <c r="CXV24" s="629"/>
      <c r="CXW24" s="629"/>
      <c r="CXX24" s="629"/>
      <c r="CXY24" s="629"/>
      <c r="CXZ24" s="629"/>
      <c r="CYA24" s="629"/>
      <c r="CYB24" s="629"/>
      <c r="CYC24" s="629"/>
      <c r="CYD24" s="629"/>
      <c r="CYE24" s="629"/>
      <c r="CYF24" s="629"/>
      <c r="CYG24" s="629"/>
      <c r="CYH24" s="629"/>
      <c r="CYI24" s="629"/>
      <c r="CYJ24" s="629"/>
      <c r="CYK24" s="629"/>
      <c r="CYL24" s="629"/>
      <c r="CYM24" s="629"/>
      <c r="CYN24" s="629"/>
      <c r="CYO24" s="629"/>
      <c r="CYP24" s="629"/>
      <c r="CYQ24" s="629"/>
      <c r="CYR24" s="629"/>
      <c r="CYS24" s="629"/>
      <c r="CYT24" s="629"/>
      <c r="CYU24" s="629"/>
      <c r="CYV24" s="629"/>
      <c r="CYW24" s="629"/>
      <c r="CYX24" s="629"/>
      <c r="CYY24" s="629"/>
      <c r="CYZ24" s="629"/>
      <c r="CZA24" s="629"/>
      <c r="CZB24" s="629"/>
      <c r="CZC24" s="629"/>
      <c r="CZD24" s="629"/>
      <c r="CZE24" s="629"/>
      <c r="CZF24" s="629"/>
      <c r="CZG24" s="629"/>
      <c r="CZH24" s="629"/>
      <c r="CZI24" s="629"/>
      <c r="CZJ24" s="629"/>
      <c r="CZK24" s="629"/>
      <c r="CZL24" s="629"/>
      <c r="CZM24" s="629"/>
      <c r="CZN24" s="629"/>
      <c r="CZO24" s="629"/>
      <c r="CZP24" s="629"/>
      <c r="CZQ24" s="629"/>
      <c r="CZR24" s="629"/>
      <c r="CZS24" s="629"/>
      <c r="CZT24" s="629"/>
      <c r="CZU24" s="629"/>
      <c r="CZV24" s="629"/>
      <c r="CZW24" s="629"/>
      <c r="CZX24" s="629"/>
      <c r="CZY24" s="629"/>
      <c r="CZZ24" s="629"/>
      <c r="DAA24" s="629"/>
      <c r="DAB24" s="629"/>
      <c r="DAC24" s="629"/>
      <c r="DAD24" s="629"/>
      <c r="DAE24" s="629"/>
      <c r="DAF24" s="629"/>
      <c r="DAG24" s="629"/>
      <c r="DAH24" s="629"/>
      <c r="DAI24" s="629"/>
      <c r="DAJ24" s="629"/>
      <c r="DAK24" s="629"/>
      <c r="DAL24" s="629"/>
      <c r="DAM24" s="629"/>
      <c r="DAN24" s="629"/>
      <c r="DAO24" s="629"/>
      <c r="DAP24" s="629"/>
      <c r="DAQ24" s="629"/>
      <c r="DAR24" s="629"/>
      <c r="DAS24" s="629"/>
      <c r="DAT24" s="629"/>
      <c r="DAU24" s="629"/>
      <c r="DAV24" s="629"/>
      <c r="DAW24" s="629"/>
      <c r="DAX24" s="629"/>
      <c r="DAY24" s="629"/>
      <c r="DAZ24" s="629"/>
      <c r="DBA24" s="629"/>
      <c r="DBB24" s="629"/>
      <c r="DBC24" s="629"/>
      <c r="DBD24" s="629"/>
      <c r="DBE24" s="629"/>
      <c r="DBF24" s="629"/>
      <c r="DBG24" s="629"/>
      <c r="DBH24" s="629"/>
      <c r="DBI24" s="629"/>
      <c r="DBJ24" s="629"/>
      <c r="DBK24" s="629"/>
      <c r="DBL24" s="629"/>
      <c r="DBM24" s="629"/>
      <c r="DBN24" s="629"/>
      <c r="DBO24" s="629"/>
      <c r="DBP24" s="629"/>
      <c r="DBQ24" s="629"/>
      <c r="DBR24" s="629"/>
      <c r="DBS24" s="629"/>
      <c r="DBT24" s="629"/>
      <c r="DBU24" s="629"/>
      <c r="DBV24" s="629"/>
      <c r="DBW24" s="629"/>
      <c r="DBX24" s="629"/>
      <c r="DBY24" s="629"/>
      <c r="DBZ24" s="629"/>
      <c r="DCA24" s="629"/>
      <c r="DCB24" s="629"/>
      <c r="DCC24" s="629"/>
      <c r="DCD24" s="629"/>
      <c r="DCE24" s="629"/>
      <c r="DCF24" s="629"/>
      <c r="DCG24" s="629"/>
      <c r="DCH24" s="629"/>
      <c r="DCI24" s="629"/>
      <c r="DCJ24" s="629"/>
      <c r="DCK24" s="629"/>
      <c r="DCL24" s="629"/>
      <c r="DCM24" s="629"/>
      <c r="DCN24" s="629"/>
      <c r="DCO24" s="629"/>
      <c r="DCP24" s="629"/>
      <c r="DCQ24" s="629"/>
      <c r="DCR24" s="629"/>
      <c r="DCS24" s="629"/>
      <c r="DCT24" s="629"/>
      <c r="DCU24" s="629"/>
      <c r="DCV24" s="629"/>
      <c r="DCW24" s="629"/>
      <c r="DCX24" s="629"/>
      <c r="DCY24" s="629"/>
      <c r="DCZ24" s="629"/>
      <c r="DDA24" s="629"/>
      <c r="DDB24" s="629"/>
      <c r="DDC24" s="629"/>
      <c r="DDD24" s="629"/>
      <c r="DDE24" s="629"/>
      <c r="DDF24" s="629"/>
      <c r="DDG24" s="629"/>
      <c r="DDH24" s="629"/>
      <c r="DDI24" s="629"/>
      <c r="DDJ24" s="629"/>
      <c r="DDK24" s="629"/>
      <c r="DDL24" s="629"/>
      <c r="DDM24" s="629"/>
      <c r="DDN24" s="629"/>
      <c r="DDO24" s="629"/>
      <c r="DDP24" s="629"/>
      <c r="DDQ24" s="629"/>
      <c r="DDR24" s="629"/>
      <c r="DDS24" s="629"/>
      <c r="DDT24" s="629"/>
      <c r="DDU24" s="629"/>
      <c r="DDV24" s="629"/>
      <c r="DDW24" s="629"/>
      <c r="DDX24" s="629"/>
      <c r="DDY24" s="629"/>
      <c r="DDZ24" s="629"/>
      <c r="DEA24" s="629"/>
      <c r="DEB24" s="629"/>
      <c r="DEC24" s="629"/>
      <c r="DED24" s="629"/>
      <c r="DEE24" s="629"/>
      <c r="DEF24" s="629"/>
      <c r="DEG24" s="629"/>
      <c r="DEH24" s="629"/>
      <c r="DEI24" s="629"/>
      <c r="DEJ24" s="629"/>
      <c r="DEK24" s="629"/>
      <c r="DEL24" s="629"/>
      <c r="DEM24" s="629"/>
      <c r="DEN24" s="629"/>
      <c r="DEO24" s="629"/>
      <c r="DEP24" s="629"/>
      <c r="DEQ24" s="629"/>
      <c r="DER24" s="629"/>
      <c r="DES24" s="629"/>
      <c r="DET24" s="629"/>
      <c r="DEU24" s="629"/>
      <c r="DEV24" s="629"/>
      <c r="DEW24" s="629"/>
      <c r="DEX24" s="629"/>
      <c r="DEY24" s="629"/>
      <c r="DEZ24" s="629"/>
      <c r="DFA24" s="629"/>
      <c r="DFB24" s="629"/>
      <c r="DFC24" s="629"/>
      <c r="DFD24" s="629"/>
      <c r="DFE24" s="629"/>
      <c r="DFF24" s="629"/>
      <c r="DFG24" s="629"/>
      <c r="DFH24" s="629"/>
      <c r="DFI24" s="629"/>
      <c r="DFJ24" s="629"/>
      <c r="DFK24" s="629"/>
      <c r="DFL24" s="629"/>
      <c r="DFM24" s="629"/>
      <c r="DFN24" s="629"/>
      <c r="DFO24" s="629"/>
      <c r="DFP24" s="629"/>
      <c r="DFQ24" s="629"/>
      <c r="DFR24" s="629"/>
      <c r="DFS24" s="629"/>
      <c r="DFT24" s="629"/>
      <c r="DFU24" s="629"/>
      <c r="DFV24" s="629"/>
      <c r="DFW24" s="629"/>
      <c r="DFX24" s="629"/>
      <c r="DFY24" s="629"/>
      <c r="DFZ24" s="629"/>
      <c r="DGA24" s="629"/>
      <c r="DGB24" s="629"/>
      <c r="DGC24" s="629"/>
      <c r="DGD24" s="629"/>
      <c r="DGE24" s="629"/>
      <c r="DGF24" s="629"/>
      <c r="DGG24" s="629"/>
      <c r="DGH24" s="629"/>
      <c r="DGI24" s="629"/>
      <c r="DGJ24" s="629"/>
      <c r="DGK24" s="629"/>
      <c r="DGL24" s="629"/>
      <c r="DGM24" s="629"/>
      <c r="DGN24" s="629"/>
      <c r="DGO24" s="629"/>
      <c r="DGP24" s="629"/>
      <c r="DGQ24" s="629"/>
      <c r="DGR24" s="629"/>
      <c r="DGS24" s="629"/>
      <c r="DGT24" s="629"/>
      <c r="DGU24" s="629"/>
      <c r="DGV24" s="629"/>
      <c r="DGW24" s="629"/>
      <c r="DGX24" s="629"/>
      <c r="DGY24" s="629"/>
      <c r="DGZ24" s="629"/>
      <c r="DHA24" s="629"/>
      <c r="DHB24" s="629"/>
      <c r="DHC24" s="629"/>
      <c r="DHD24" s="629"/>
      <c r="DHE24" s="629"/>
      <c r="DHF24" s="629"/>
      <c r="DHG24" s="629"/>
      <c r="DHH24" s="629"/>
      <c r="DHI24" s="629"/>
      <c r="DHJ24" s="629"/>
      <c r="DHK24" s="629"/>
      <c r="DHL24" s="629"/>
      <c r="DHM24" s="629"/>
      <c r="DHN24" s="629"/>
      <c r="DHO24" s="629"/>
      <c r="DHP24" s="629"/>
      <c r="DHQ24" s="629"/>
      <c r="DHR24" s="629"/>
      <c r="DHS24" s="629"/>
      <c r="DHT24" s="629"/>
      <c r="DHU24" s="629"/>
      <c r="DHV24" s="629"/>
      <c r="DHW24" s="629"/>
      <c r="DHX24" s="629"/>
      <c r="DHY24" s="629"/>
      <c r="DHZ24" s="629"/>
      <c r="DIA24" s="629"/>
      <c r="DIB24" s="629"/>
      <c r="DIC24" s="629"/>
      <c r="DID24" s="629"/>
      <c r="DIE24" s="629"/>
      <c r="DIF24" s="629"/>
      <c r="DIG24" s="629"/>
      <c r="DIH24" s="629"/>
      <c r="DII24" s="629"/>
      <c r="DIJ24" s="629"/>
      <c r="DIK24" s="629"/>
      <c r="DIL24" s="629"/>
      <c r="DIM24" s="629"/>
      <c r="DIN24" s="629"/>
      <c r="DIO24" s="629"/>
      <c r="DIP24" s="629"/>
      <c r="DIQ24" s="629"/>
      <c r="DIR24" s="629"/>
      <c r="DIS24" s="629"/>
      <c r="DIT24" s="629"/>
      <c r="DIU24" s="629"/>
      <c r="DIV24" s="629"/>
      <c r="DIW24" s="629"/>
      <c r="DIX24" s="629"/>
      <c r="DIY24" s="629"/>
      <c r="DIZ24" s="629"/>
      <c r="DJA24" s="629"/>
      <c r="DJB24" s="629"/>
      <c r="DJC24" s="629"/>
      <c r="DJD24" s="629"/>
      <c r="DJE24" s="629"/>
      <c r="DJF24" s="629"/>
      <c r="DJG24" s="629"/>
      <c r="DJH24" s="629"/>
      <c r="DJI24" s="629"/>
      <c r="DJJ24" s="629"/>
      <c r="DJK24" s="629"/>
      <c r="DJL24" s="629"/>
      <c r="DJM24" s="629"/>
      <c r="DJN24" s="629"/>
      <c r="DJO24" s="629"/>
      <c r="DJP24" s="629"/>
      <c r="DJQ24" s="629"/>
      <c r="DJR24" s="629"/>
      <c r="DJS24" s="629"/>
      <c r="DJT24" s="629"/>
      <c r="DJU24" s="629"/>
      <c r="DJV24" s="629"/>
      <c r="DJW24" s="629"/>
      <c r="DJX24" s="629"/>
      <c r="DJY24" s="629"/>
      <c r="DJZ24" s="629"/>
      <c r="DKA24" s="629"/>
      <c r="DKB24" s="629"/>
      <c r="DKC24" s="629"/>
      <c r="DKD24" s="629"/>
      <c r="DKE24" s="629"/>
      <c r="DKF24" s="629"/>
      <c r="DKG24" s="629"/>
      <c r="DKH24" s="629"/>
      <c r="DKI24" s="629"/>
      <c r="DKJ24" s="629"/>
      <c r="DKK24" s="629"/>
      <c r="DKL24" s="629"/>
      <c r="DKM24" s="629"/>
      <c r="DKN24" s="629"/>
      <c r="DKO24" s="629"/>
      <c r="DKP24" s="629"/>
      <c r="DKQ24" s="629"/>
      <c r="DKR24" s="629"/>
      <c r="DKS24" s="629"/>
      <c r="DKT24" s="629"/>
      <c r="DKU24" s="629"/>
      <c r="DKV24" s="629"/>
      <c r="DKW24" s="629"/>
      <c r="DKX24" s="629"/>
      <c r="DKY24" s="629"/>
      <c r="DKZ24" s="629"/>
      <c r="DLA24" s="629"/>
      <c r="DLB24" s="629"/>
      <c r="DLC24" s="629"/>
      <c r="DLD24" s="629"/>
      <c r="DLE24" s="629"/>
      <c r="DLF24" s="629"/>
      <c r="DLG24" s="629"/>
      <c r="DLH24" s="629"/>
      <c r="DLI24" s="629"/>
      <c r="DLJ24" s="629"/>
      <c r="DLK24" s="629"/>
      <c r="DLL24" s="629"/>
      <c r="DLM24" s="629"/>
      <c r="DLN24" s="629"/>
      <c r="DLO24" s="629"/>
      <c r="DLP24" s="629"/>
      <c r="DLQ24" s="629"/>
      <c r="DLR24" s="629"/>
      <c r="DLS24" s="629"/>
      <c r="DLT24" s="629"/>
      <c r="DLU24" s="629"/>
      <c r="DLV24" s="629"/>
      <c r="DLW24" s="629"/>
      <c r="DLX24" s="629"/>
      <c r="DLY24" s="629"/>
      <c r="DLZ24" s="629"/>
      <c r="DMA24" s="629"/>
      <c r="DMB24" s="629"/>
      <c r="DMC24" s="629"/>
      <c r="DMD24" s="629"/>
      <c r="DME24" s="629"/>
      <c r="DMF24" s="629"/>
      <c r="DMG24" s="629"/>
      <c r="DMH24" s="629"/>
      <c r="DMI24" s="629"/>
      <c r="DMJ24" s="629"/>
      <c r="DMK24" s="629"/>
      <c r="DML24" s="629"/>
      <c r="DMM24" s="629"/>
      <c r="DMN24" s="629"/>
      <c r="DMO24" s="629"/>
      <c r="DMP24" s="629"/>
      <c r="DMQ24" s="629"/>
      <c r="DMR24" s="629"/>
      <c r="DMS24" s="629"/>
      <c r="DMT24" s="629"/>
      <c r="DMU24" s="629"/>
      <c r="DMV24" s="629"/>
      <c r="DMW24" s="629"/>
      <c r="DMX24" s="629"/>
      <c r="DMY24" s="629"/>
      <c r="DMZ24" s="629"/>
      <c r="DNA24" s="629"/>
      <c r="DNB24" s="629"/>
      <c r="DNC24" s="629"/>
      <c r="DND24" s="629"/>
      <c r="DNE24" s="629"/>
      <c r="DNF24" s="629"/>
      <c r="DNG24" s="629"/>
      <c r="DNH24" s="629"/>
      <c r="DNI24" s="629"/>
      <c r="DNJ24" s="629"/>
      <c r="DNK24" s="629"/>
      <c r="DNL24" s="629"/>
      <c r="DNM24" s="629"/>
      <c r="DNN24" s="629"/>
      <c r="DNO24" s="629"/>
      <c r="DNP24" s="629"/>
      <c r="DNQ24" s="629"/>
      <c r="DNR24" s="629"/>
      <c r="DNS24" s="629"/>
      <c r="DNT24" s="629"/>
      <c r="DNU24" s="629"/>
      <c r="DNV24" s="629"/>
      <c r="DNW24" s="629"/>
      <c r="DNX24" s="629"/>
      <c r="DNY24" s="629"/>
      <c r="DNZ24" s="629"/>
      <c r="DOA24" s="629"/>
      <c r="DOB24" s="629"/>
      <c r="DOC24" s="629"/>
      <c r="DOD24" s="629"/>
      <c r="DOE24" s="629"/>
      <c r="DOF24" s="629"/>
      <c r="DOG24" s="629"/>
      <c r="DOH24" s="629"/>
      <c r="DOI24" s="629"/>
      <c r="DOJ24" s="629"/>
      <c r="DOK24" s="629"/>
      <c r="DOL24" s="629"/>
      <c r="DOM24" s="629"/>
      <c r="DON24" s="629"/>
      <c r="DOO24" s="629"/>
      <c r="DOP24" s="629"/>
      <c r="DOQ24" s="629"/>
      <c r="DOR24" s="629"/>
      <c r="DOS24" s="629"/>
      <c r="DOT24" s="629"/>
      <c r="DOU24" s="629"/>
      <c r="DOV24" s="629"/>
      <c r="DOW24" s="629"/>
      <c r="DOX24" s="629"/>
      <c r="DOY24" s="629"/>
      <c r="DOZ24" s="629"/>
      <c r="DPA24" s="629"/>
      <c r="DPB24" s="629"/>
      <c r="DPC24" s="629"/>
      <c r="DPD24" s="629"/>
      <c r="DPE24" s="629"/>
      <c r="DPF24" s="629"/>
      <c r="DPG24" s="629"/>
      <c r="DPH24" s="629"/>
      <c r="DPI24" s="629"/>
      <c r="DPJ24" s="629"/>
      <c r="DPK24" s="629"/>
      <c r="DPL24" s="629"/>
      <c r="DPM24" s="629"/>
      <c r="DPN24" s="629"/>
      <c r="DPO24" s="629"/>
      <c r="DPP24" s="629"/>
      <c r="DPQ24" s="629"/>
      <c r="DPR24" s="629"/>
      <c r="DPS24" s="629"/>
      <c r="DPT24" s="629"/>
      <c r="DPU24" s="629"/>
      <c r="DPV24" s="629"/>
      <c r="DPW24" s="629"/>
      <c r="DPX24" s="629"/>
      <c r="DPY24" s="629"/>
      <c r="DPZ24" s="629"/>
      <c r="DQA24" s="629"/>
      <c r="DQB24" s="629"/>
      <c r="DQC24" s="629"/>
      <c r="DQD24" s="629"/>
      <c r="DQE24" s="629"/>
      <c r="DQF24" s="629"/>
      <c r="DQG24" s="629"/>
      <c r="DQH24" s="629"/>
      <c r="DQI24" s="629"/>
      <c r="DQJ24" s="629"/>
      <c r="DQK24" s="629"/>
      <c r="DQL24" s="629"/>
      <c r="DQM24" s="629"/>
      <c r="DQN24" s="629"/>
      <c r="DQO24" s="629"/>
      <c r="DQP24" s="629"/>
      <c r="DQQ24" s="629"/>
      <c r="DQR24" s="629"/>
      <c r="DQS24" s="629"/>
      <c r="DQT24" s="629"/>
      <c r="DQU24" s="629"/>
      <c r="DQV24" s="629"/>
      <c r="DQW24" s="629"/>
      <c r="DQX24" s="629"/>
      <c r="DQY24" s="629"/>
      <c r="DQZ24" s="629"/>
      <c r="DRA24" s="629"/>
      <c r="DRB24" s="629"/>
      <c r="DRC24" s="629"/>
      <c r="DRD24" s="629"/>
      <c r="DRE24" s="629"/>
      <c r="DRF24" s="629"/>
      <c r="DRG24" s="629"/>
      <c r="DRH24" s="629"/>
      <c r="DRI24" s="629"/>
      <c r="DRJ24" s="629"/>
      <c r="DRK24" s="629"/>
      <c r="DRL24" s="629"/>
      <c r="DRM24" s="629"/>
      <c r="DRN24" s="629"/>
      <c r="DRO24" s="629"/>
      <c r="DRP24" s="629"/>
      <c r="DRQ24" s="629"/>
      <c r="DRR24" s="629"/>
      <c r="DRS24" s="629"/>
      <c r="DRT24" s="629"/>
      <c r="DRU24" s="629"/>
      <c r="DRV24" s="629"/>
      <c r="DRW24" s="629"/>
      <c r="DRX24" s="629"/>
      <c r="DRY24" s="629"/>
      <c r="DRZ24" s="629"/>
      <c r="DSA24" s="629"/>
      <c r="DSB24" s="629"/>
      <c r="DSC24" s="629"/>
      <c r="DSD24" s="629"/>
      <c r="DSE24" s="629"/>
      <c r="DSF24" s="629"/>
      <c r="DSG24" s="629"/>
      <c r="DSH24" s="629"/>
      <c r="DSI24" s="629"/>
      <c r="DSJ24" s="629"/>
      <c r="DSK24" s="629"/>
      <c r="DSL24" s="629"/>
      <c r="DSM24" s="629"/>
      <c r="DSN24" s="629"/>
      <c r="DSO24" s="629"/>
      <c r="DSP24" s="629"/>
      <c r="DSQ24" s="629"/>
      <c r="DSR24" s="629"/>
      <c r="DSS24" s="629"/>
      <c r="DST24" s="629"/>
      <c r="DSU24" s="629"/>
      <c r="DSV24" s="629"/>
      <c r="DSW24" s="629"/>
      <c r="DSX24" s="629"/>
      <c r="DSY24" s="629"/>
      <c r="DSZ24" s="629"/>
      <c r="DTA24" s="629"/>
      <c r="DTB24" s="629"/>
      <c r="DTC24" s="629"/>
      <c r="DTD24" s="629"/>
      <c r="DTE24" s="629"/>
      <c r="DTF24" s="629"/>
      <c r="DTG24" s="629"/>
      <c r="DTH24" s="629"/>
      <c r="DTI24" s="629"/>
      <c r="DTJ24" s="629"/>
      <c r="DTK24" s="629"/>
      <c r="DTL24" s="629"/>
      <c r="DTM24" s="629"/>
      <c r="DTN24" s="629"/>
      <c r="DTO24" s="629"/>
      <c r="DTP24" s="629"/>
      <c r="DTQ24" s="629"/>
      <c r="DTR24" s="629"/>
      <c r="DTS24" s="629"/>
      <c r="DTT24" s="629"/>
      <c r="DTU24" s="629"/>
      <c r="DTV24" s="629"/>
      <c r="DTW24" s="629"/>
      <c r="DTX24" s="629"/>
      <c r="DTY24" s="629"/>
      <c r="DTZ24" s="629"/>
      <c r="DUA24" s="629"/>
      <c r="DUB24" s="629"/>
      <c r="DUC24" s="629"/>
      <c r="DUD24" s="629"/>
      <c r="DUE24" s="629"/>
      <c r="DUF24" s="629"/>
      <c r="DUG24" s="629"/>
      <c r="DUH24" s="629"/>
      <c r="DUI24" s="629"/>
      <c r="DUJ24" s="629"/>
      <c r="DUK24" s="629"/>
      <c r="DUL24" s="629"/>
      <c r="DUM24" s="629"/>
      <c r="DUN24" s="629"/>
      <c r="DUO24" s="629"/>
      <c r="DUP24" s="629"/>
      <c r="DUQ24" s="629"/>
      <c r="DUR24" s="629"/>
      <c r="DUS24" s="629"/>
      <c r="DUT24" s="629"/>
      <c r="DUU24" s="629"/>
      <c r="DUV24" s="629"/>
      <c r="DUW24" s="629"/>
      <c r="DUX24" s="629"/>
      <c r="DUY24" s="629"/>
      <c r="DUZ24" s="629"/>
      <c r="DVA24" s="629"/>
      <c r="DVB24" s="629"/>
      <c r="DVC24" s="629"/>
      <c r="DVD24" s="629"/>
      <c r="DVE24" s="629"/>
      <c r="DVF24" s="629"/>
      <c r="DVG24" s="629"/>
      <c r="DVH24" s="629"/>
      <c r="DVI24" s="629"/>
      <c r="DVJ24" s="629"/>
      <c r="DVK24" s="629"/>
      <c r="DVL24" s="629"/>
      <c r="DVM24" s="629"/>
      <c r="DVN24" s="629"/>
      <c r="DVO24" s="629"/>
      <c r="DVP24" s="629"/>
      <c r="DVQ24" s="629"/>
      <c r="DVR24" s="629"/>
      <c r="DVS24" s="629"/>
      <c r="DVT24" s="629"/>
      <c r="DVU24" s="629"/>
      <c r="DVV24" s="629"/>
      <c r="DVW24" s="629"/>
      <c r="DVX24" s="629"/>
      <c r="DVY24" s="629"/>
      <c r="DVZ24" s="629"/>
      <c r="DWA24" s="629"/>
      <c r="DWB24" s="629"/>
      <c r="DWC24" s="629"/>
      <c r="DWD24" s="629"/>
      <c r="DWE24" s="629"/>
      <c r="DWF24" s="629"/>
      <c r="DWG24" s="629"/>
      <c r="DWH24" s="629"/>
      <c r="DWI24" s="629"/>
      <c r="DWJ24" s="629"/>
      <c r="DWK24" s="629"/>
      <c r="DWL24" s="629"/>
      <c r="DWM24" s="629"/>
      <c r="DWN24" s="629"/>
      <c r="DWO24" s="629"/>
      <c r="DWP24" s="629"/>
      <c r="DWQ24" s="629"/>
      <c r="DWR24" s="629"/>
      <c r="DWS24" s="629"/>
      <c r="DWT24" s="629"/>
      <c r="DWU24" s="629"/>
      <c r="DWV24" s="629"/>
      <c r="DWW24" s="629"/>
      <c r="DWX24" s="629"/>
      <c r="DWY24" s="629"/>
      <c r="DWZ24" s="629"/>
      <c r="DXA24" s="629"/>
      <c r="DXB24" s="629"/>
      <c r="DXC24" s="629"/>
      <c r="DXD24" s="629"/>
      <c r="DXE24" s="629"/>
      <c r="DXF24" s="629"/>
      <c r="DXG24" s="629"/>
      <c r="DXH24" s="629"/>
      <c r="DXI24" s="629"/>
      <c r="DXJ24" s="629"/>
      <c r="DXK24" s="629"/>
      <c r="DXL24" s="629"/>
      <c r="DXM24" s="629"/>
      <c r="DXN24" s="629"/>
      <c r="DXO24" s="629"/>
      <c r="DXP24" s="629"/>
      <c r="DXQ24" s="629"/>
      <c r="DXR24" s="629"/>
      <c r="DXS24" s="629"/>
      <c r="DXT24" s="629"/>
      <c r="DXU24" s="629"/>
      <c r="DXV24" s="629"/>
      <c r="DXW24" s="629"/>
      <c r="DXX24" s="629"/>
      <c r="DXY24" s="629"/>
      <c r="DXZ24" s="629"/>
      <c r="DYA24" s="629"/>
      <c r="DYB24" s="629"/>
      <c r="DYC24" s="629"/>
      <c r="DYD24" s="629"/>
      <c r="DYE24" s="629"/>
      <c r="DYF24" s="629"/>
      <c r="DYG24" s="629"/>
      <c r="DYH24" s="629"/>
      <c r="DYI24" s="629"/>
      <c r="DYJ24" s="629"/>
      <c r="DYK24" s="629"/>
      <c r="DYL24" s="629"/>
      <c r="DYM24" s="629"/>
      <c r="DYN24" s="629"/>
      <c r="DYO24" s="629"/>
      <c r="DYP24" s="629"/>
      <c r="DYQ24" s="629"/>
      <c r="DYR24" s="629"/>
      <c r="DYS24" s="629"/>
      <c r="DYT24" s="629"/>
      <c r="DYU24" s="629"/>
      <c r="DYV24" s="629"/>
      <c r="DYW24" s="629"/>
      <c r="DYX24" s="629"/>
      <c r="DYY24" s="629"/>
      <c r="DYZ24" s="629"/>
      <c r="DZA24" s="629"/>
      <c r="DZB24" s="629"/>
      <c r="DZC24" s="629"/>
      <c r="DZD24" s="629"/>
      <c r="DZE24" s="629"/>
      <c r="DZF24" s="629"/>
      <c r="DZG24" s="629"/>
      <c r="DZH24" s="629"/>
      <c r="DZI24" s="629"/>
      <c r="DZJ24" s="629"/>
      <c r="DZK24" s="629"/>
      <c r="DZL24" s="629"/>
      <c r="DZM24" s="629"/>
      <c r="DZN24" s="629"/>
      <c r="DZO24" s="629"/>
      <c r="DZP24" s="629"/>
      <c r="DZQ24" s="629"/>
      <c r="DZR24" s="629"/>
      <c r="DZS24" s="629"/>
      <c r="DZT24" s="629"/>
      <c r="DZU24" s="629"/>
      <c r="DZV24" s="629"/>
      <c r="DZW24" s="629"/>
      <c r="DZX24" s="629"/>
      <c r="DZY24" s="629"/>
      <c r="DZZ24" s="629"/>
      <c r="EAA24" s="629"/>
      <c r="EAB24" s="629"/>
      <c r="EAC24" s="629"/>
      <c r="EAD24" s="629"/>
      <c r="EAE24" s="629"/>
      <c r="EAF24" s="629"/>
      <c r="EAG24" s="629"/>
      <c r="EAH24" s="629"/>
      <c r="EAI24" s="629"/>
      <c r="EAJ24" s="629"/>
      <c r="EAK24" s="629"/>
      <c r="EAL24" s="629"/>
      <c r="EAM24" s="629"/>
      <c r="EAN24" s="629"/>
      <c r="EAO24" s="629"/>
      <c r="EAP24" s="629"/>
      <c r="EAQ24" s="629"/>
      <c r="EAR24" s="629"/>
      <c r="EAS24" s="629"/>
      <c r="EAT24" s="629"/>
      <c r="EAU24" s="629"/>
      <c r="EAV24" s="629"/>
      <c r="EAW24" s="629"/>
      <c r="EAX24" s="629"/>
      <c r="EAY24" s="629"/>
      <c r="EAZ24" s="629"/>
      <c r="EBA24" s="629"/>
      <c r="EBB24" s="629"/>
      <c r="EBC24" s="629"/>
      <c r="EBD24" s="629"/>
      <c r="EBE24" s="629"/>
      <c r="EBF24" s="629"/>
      <c r="EBG24" s="629"/>
      <c r="EBH24" s="629"/>
      <c r="EBI24" s="629"/>
      <c r="EBJ24" s="629"/>
      <c r="EBK24" s="629"/>
      <c r="EBL24" s="629"/>
      <c r="EBM24" s="629"/>
      <c r="EBN24" s="629"/>
      <c r="EBO24" s="629"/>
      <c r="EBP24" s="629"/>
      <c r="EBQ24" s="629"/>
      <c r="EBR24" s="629"/>
      <c r="EBS24" s="629"/>
      <c r="EBT24" s="629"/>
      <c r="EBU24" s="629"/>
      <c r="EBV24" s="629"/>
      <c r="EBW24" s="629"/>
      <c r="EBX24" s="629"/>
      <c r="EBY24" s="629"/>
      <c r="EBZ24" s="629"/>
      <c r="ECA24" s="629"/>
      <c r="ECB24" s="629"/>
      <c r="ECC24" s="629"/>
      <c r="ECD24" s="629"/>
      <c r="ECE24" s="629"/>
      <c r="ECF24" s="629"/>
      <c r="ECG24" s="629"/>
      <c r="ECH24" s="629"/>
      <c r="ECI24" s="629"/>
      <c r="ECJ24" s="629"/>
      <c r="ECK24" s="629"/>
      <c r="ECL24" s="629"/>
      <c r="ECM24" s="629"/>
      <c r="ECN24" s="629"/>
      <c r="ECO24" s="629"/>
      <c r="ECP24" s="629"/>
      <c r="ECQ24" s="629"/>
      <c r="ECR24" s="629"/>
      <c r="ECS24" s="629"/>
      <c r="ECT24" s="629"/>
      <c r="ECU24" s="629"/>
      <c r="ECV24" s="629"/>
      <c r="ECW24" s="629"/>
      <c r="ECX24" s="629"/>
      <c r="ECY24" s="629"/>
      <c r="ECZ24" s="629"/>
      <c r="EDA24" s="629"/>
      <c r="EDB24" s="629"/>
      <c r="EDC24" s="629"/>
      <c r="EDD24" s="629"/>
      <c r="EDE24" s="629"/>
      <c r="EDF24" s="629"/>
      <c r="EDG24" s="629"/>
      <c r="EDH24" s="629"/>
      <c r="EDI24" s="629"/>
      <c r="EDJ24" s="629"/>
      <c r="EDK24" s="629"/>
      <c r="EDL24" s="629"/>
      <c r="EDM24" s="629"/>
      <c r="EDN24" s="629"/>
      <c r="EDO24" s="629"/>
      <c r="EDP24" s="629"/>
      <c r="EDQ24" s="629"/>
      <c r="EDR24" s="629"/>
      <c r="EDS24" s="629"/>
      <c r="EDT24" s="629"/>
      <c r="EDU24" s="629"/>
      <c r="EDV24" s="629"/>
      <c r="EDW24" s="629"/>
      <c r="EDX24" s="629"/>
      <c r="EDY24" s="629"/>
      <c r="EDZ24" s="629"/>
      <c r="EEA24" s="629"/>
      <c r="EEB24" s="629"/>
      <c r="EEC24" s="629"/>
      <c r="EED24" s="629"/>
      <c r="EEE24" s="629"/>
      <c r="EEF24" s="629"/>
      <c r="EEG24" s="629"/>
      <c r="EEH24" s="629"/>
      <c r="EEI24" s="629"/>
      <c r="EEJ24" s="629"/>
      <c r="EEK24" s="629"/>
      <c r="EEL24" s="629"/>
      <c r="EEM24" s="629"/>
      <c r="EEN24" s="629"/>
      <c r="EEO24" s="629"/>
      <c r="EEP24" s="629"/>
      <c r="EEQ24" s="629"/>
      <c r="EER24" s="629"/>
      <c r="EES24" s="629"/>
      <c r="EET24" s="629"/>
      <c r="EEU24" s="629"/>
      <c r="EEV24" s="629"/>
      <c r="EEW24" s="629"/>
      <c r="EEX24" s="629"/>
      <c r="EEY24" s="629"/>
      <c r="EEZ24" s="629"/>
      <c r="EFA24" s="629"/>
      <c r="EFB24" s="629"/>
      <c r="EFC24" s="629"/>
      <c r="EFD24" s="629"/>
      <c r="EFE24" s="629"/>
      <c r="EFF24" s="629"/>
      <c r="EFG24" s="629"/>
      <c r="EFH24" s="629"/>
      <c r="EFI24" s="629"/>
      <c r="EFJ24" s="629"/>
      <c r="EFK24" s="629"/>
      <c r="EFL24" s="629"/>
      <c r="EFM24" s="629"/>
      <c r="EFN24" s="629"/>
      <c r="EFO24" s="629"/>
      <c r="EFP24" s="629"/>
      <c r="EFQ24" s="629"/>
      <c r="EFR24" s="629"/>
      <c r="EFS24" s="629"/>
      <c r="EFT24" s="629"/>
      <c r="EFU24" s="629"/>
      <c r="EFV24" s="629"/>
      <c r="EFW24" s="629"/>
      <c r="EFX24" s="629"/>
      <c r="EFY24" s="629"/>
      <c r="EFZ24" s="629"/>
      <c r="EGA24" s="629"/>
      <c r="EGB24" s="629"/>
      <c r="EGC24" s="629"/>
      <c r="EGD24" s="629"/>
      <c r="EGE24" s="629"/>
      <c r="EGF24" s="629"/>
      <c r="EGG24" s="629"/>
      <c r="EGH24" s="629"/>
      <c r="EGI24" s="629"/>
      <c r="EGJ24" s="629"/>
      <c r="EGK24" s="629"/>
      <c r="EGL24" s="629"/>
      <c r="EGM24" s="629"/>
      <c r="EGN24" s="629"/>
      <c r="EGO24" s="629"/>
      <c r="EGP24" s="629"/>
      <c r="EGQ24" s="629"/>
      <c r="EGR24" s="629"/>
      <c r="EGS24" s="629"/>
      <c r="EGT24" s="629"/>
      <c r="EGU24" s="629"/>
      <c r="EGV24" s="629"/>
      <c r="EGW24" s="629"/>
      <c r="EGX24" s="629"/>
      <c r="EGY24" s="629"/>
      <c r="EGZ24" s="629"/>
      <c r="EHA24" s="629"/>
      <c r="EHB24" s="629"/>
      <c r="EHC24" s="629"/>
      <c r="EHD24" s="629"/>
      <c r="EHE24" s="629"/>
      <c r="EHF24" s="629"/>
      <c r="EHG24" s="629"/>
      <c r="EHH24" s="629"/>
      <c r="EHI24" s="629"/>
      <c r="EHJ24" s="629"/>
      <c r="EHK24" s="629"/>
      <c r="EHL24" s="629"/>
      <c r="EHM24" s="629"/>
      <c r="EHN24" s="629"/>
      <c r="EHO24" s="629"/>
      <c r="EHP24" s="629"/>
      <c r="EHQ24" s="629"/>
      <c r="EHR24" s="629"/>
      <c r="EHS24" s="629"/>
      <c r="EHT24" s="629"/>
      <c r="EHU24" s="629"/>
      <c r="EHV24" s="629"/>
      <c r="EHW24" s="629"/>
      <c r="EHX24" s="629"/>
      <c r="EHY24" s="629"/>
      <c r="EHZ24" s="629"/>
      <c r="EIA24" s="629"/>
      <c r="EIB24" s="629"/>
      <c r="EIC24" s="629"/>
      <c r="EID24" s="629"/>
      <c r="EIE24" s="629"/>
      <c r="EIF24" s="629"/>
      <c r="EIG24" s="629"/>
      <c r="EIH24" s="629"/>
      <c r="EII24" s="629"/>
      <c r="EIJ24" s="629"/>
      <c r="EIK24" s="629"/>
      <c r="EIL24" s="629"/>
      <c r="EIM24" s="629"/>
      <c r="EIN24" s="629"/>
      <c r="EIO24" s="629"/>
      <c r="EIP24" s="629"/>
      <c r="EIQ24" s="629"/>
      <c r="EIR24" s="629"/>
      <c r="EIS24" s="629"/>
      <c r="EIT24" s="629"/>
      <c r="EIU24" s="629"/>
      <c r="EIV24" s="629"/>
      <c r="EIW24" s="629"/>
      <c r="EIX24" s="629"/>
      <c r="EIY24" s="629"/>
      <c r="EIZ24" s="629"/>
      <c r="EJA24" s="629"/>
      <c r="EJB24" s="629"/>
      <c r="EJC24" s="629"/>
      <c r="EJD24" s="629"/>
      <c r="EJE24" s="629"/>
      <c r="EJF24" s="629"/>
      <c r="EJG24" s="629"/>
      <c r="EJH24" s="629"/>
      <c r="EJI24" s="629"/>
      <c r="EJJ24" s="629"/>
      <c r="EJK24" s="629"/>
      <c r="EJL24" s="629"/>
      <c r="EJM24" s="629"/>
      <c r="EJN24" s="629"/>
      <c r="EJO24" s="629"/>
      <c r="EJP24" s="629"/>
      <c r="EJQ24" s="629"/>
      <c r="EJR24" s="629"/>
      <c r="EJS24" s="629"/>
      <c r="EJT24" s="629"/>
      <c r="EJU24" s="629"/>
      <c r="EJV24" s="629"/>
      <c r="EJW24" s="629"/>
      <c r="EJX24" s="629"/>
      <c r="EJY24" s="629"/>
      <c r="EJZ24" s="629"/>
      <c r="EKA24" s="629"/>
      <c r="EKB24" s="629"/>
      <c r="EKC24" s="629"/>
      <c r="EKD24" s="629"/>
      <c r="EKE24" s="629"/>
      <c r="EKF24" s="629"/>
      <c r="EKG24" s="629"/>
      <c r="EKH24" s="629"/>
      <c r="EKI24" s="629"/>
      <c r="EKJ24" s="629"/>
      <c r="EKK24" s="629"/>
      <c r="EKL24" s="629"/>
      <c r="EKM24" s="629"/>
      <c r="EKN24" s="629"/>
      <c r="EKO24" s="629"/>
      <c r="EKP24" s="629"/>
      <c r="EKQ24" s="629"/>
      <c r="EKR24" s="629"/>
      <c r="EKS24" s="629"/>
      <c r="EKT24" s="629"/>
      <c r="EKU24" s="629"/>
      <c r="EKV24" s="629"/>
      <c r="EKW24" s="629"/>
      <c r="EKX24" s="629"/>
      <c r="EKY24" s="629"/>
      <c r="EKZ24" s="629"/>
      <c r="ELA24" s="629"/>
      <c r="ELB24" s="629"/>
      <c r="ELC24" s="629"/>
      <c r="ELD24" s="629"/>
      <c r="ELE24" s="629"/>
      <c r="ELF24" s="629"/>
      <c r="ELG24" s="629"/>
      <c r="ELH24" s="629"/>
      <c r="ELI24" s="629"/>
      <c r="ELJ24" s="629"/>
      <c r="ELK24" s="629"/>
      <c r="ELL24" s="629"/>
      <c r="ELM24" s="629"/>
      <c r="ELN24" s="629"/>
      <c r="ELO24" s="629"/>
      <c r="ELP24" s="629"/>
      <c r="ELQ24" s="629"/>
      <c r="ELR24" s="629"/>
      <c r="ELS24" s="629"/>
      <c r="ELT24" s="629"/>
      <c r="ELU24" s="629"/>
      <c r="ELV24" s="629"/>
      <c r="ELW24" s="629"/>
      <c r="ELX24" s="629"/>
      <c r="ELY24" s="629"/>
      <c r="ELZ24" s="629"/>
      <c r="EMA24" s="629"/>
      <c r="EMB24" s="629"/>
      <c r="EMC24" s="629"/>
      <c r="EMD24" s="629"/>
      <c r="EME24" s="629"/>
      <c r="EMF24" s="629"/>
      <c r="EMG24" s="629"/>
      <c r="EMH24" s="629"/>
      <c r="EMI24" s="629"/>
      <c r="EMJ24" s="629"/>
      <c r="EMK24" s="629"/>
      <c r="EML24" s="629"/>
      <c r="EMM24" s="629"/>
      <c r="EMN24" s="629"/>
      <c r="EMO24" s="629"/>
      <c r="EMP24" s="629"/>
      <c r="EMQ24" s="629"/>
      <c r="EMR24" s="629"/>
      <c r="EMS24" s="629"/>
      <c r="EMT24" s="629"/>
      <c r="EMU24" s="629"/>
      <c r="EMV24" s="629"/>
      <c r="EMW24" s="629"/>
      <c r="EMX24" s="629"/>
      <c r="EMY24" s="629"/>
      <c r="EMZ24" s="629"/>
      <c r="ENA24" s="629"/>
      <c r="ENB24" s="629"/>
      <c r="ENC24" s="629"/>
      <c r="END24" s="629"/>
      <c r="ENE24" s="629"/>
      <c r="ENF24" s="629"/>
      <c r="ENG24" s="629"/>
      <c r="ENH24" s="629"/>
      <c r="ENI24" s="629"/>
      <c r="ENJ24" s="629"/>
      <c r="ENK24" s="629"/>
      <c r="ENL24" s="629"/>
      <c r="ENM24" s="629"/>
      <c r="ENN24" s="629"/>
      <c r="ENO24" s="629"/>
      <c r="ENP24" s="629"/>
      <c r="ENQ24" s="629"/>
      <c r="ENR24" s="629"/>
      <c r="ENS24" s="629"/>
      <c r="ENT24" s="629"/>
      <c r="ENU24" s="629"/>
      <c r="ENV24" s="629"/>
      <c r="ENW24" s="629"/>
      <c r="ENX24" s="629"/>
      <c r="ENY24" s="629"/>
      <c r="ENZ24" s="629"/>
      <c r="EOA24" s="629"/>
      <c r="EOB24" s="629"/>
      <c r="EOC24" s="629"/>
      <c r="EOD24" s="629"/>
      <c r="EOE24" s="629"/>
      <c r="EOF24" s="629"/>
      <c r="EOG24" s="629"/>
      <c r="EOH24" s="629"/>
      <c r="EOI24" s="629"/>
      <c r="EOJ24" s="629"/>
      <c r="EOK24" s="629"/>
      <c r="EOL24" s="629"/>
      <c r="EOM24" s="629"/>
      <c r="EON24" s="629"/>
      <c r="EOO24" s="629"/>
      <c r="EOP24" s="629"/>
      <c r="EOQ24" s="629"/>
      <c r="EOR24" s="629"/>
      <c r="EOS24" s="629"/>
      <c r="EOT24" s="629"/>
      <c r="EOU24" s="629"/>
      <c r="EOV24" s="629"/>
      <c r="EOW24" s="629"/>
      <c r="EOX24" s="629"/>
      <c r="EOY24" s="629"/>
      <c r="EOZ24" s="629"/>
      <c r="EPA24" s="629"/>
      <c r="EPB24" s="629"/>
      <c r="EPC24" s="629"/>
      <c r="EPD24" s="629"/>
      <c r="EPE24" s="629"/>
      <c r="EPF24" s="629"/>
      <c r="EPG24" s="629"/>
      <c r="EPH24" s="629"/>
      <c r="EPI24" s="629"/>
      <c r="EPJ24" s="629"/>
      <c r="EPK24" s="629"/>
      <c r="EPL24" s="629"/>
      <c r="EPM24" s="629"/>
      <c r="EPN24" s="629"/>
      <c r="EPO24" s="629"/>
      <c r="EPP24" s="629"/>
      <c r="EPQ24" s="629"/>
      <c r="EPR24" s="629"/>
      <c r="EPS24" s="629"/>
      <c r="EPT24" s="629"/>
      <c r="EPU24" s="629"/>
      <c r="EPV24" s="629"/>
      <c r="EPW24" s="629"/>
      <c r="EPX24" s="629"/>
      <c r="EPY24" s="629"/>
      <c r="EPZ24" s="629"/>
      <c r="EQA24" s="629"/>
      <c r="EQB24" s="629"/>
      <c r="EQC24" s="629"/>
      <c r="EQD24" s="629"/>
      <c r="EQE24" s="629"/>
      <c r="EQF24" s="629"/>
      <c r="EQG24" s="629"/>
      <c r="EQH24" s="629"/>
      <c r="EQI24" s="629"/>
      <c r="EQJ24" s="629"/>
      <c r="EQK24" s="629"/>
      <c r="EQL24" s="629"/>
      <c r="EQM24" s="629"/>
      <c r="EQN24" s="629"/>
      <c r="EQO24" s="629"/>
      <c r="EQP24" s="629"/>
      <c r="EQQ24" s="629"/>
      <c r="EQR24" s="629"/>
      <c r="EQS24" s="629"/>
      <c r="EQT24" s="629"/>
      <c r="EQU24" s="629"/>
      <c r="EQV24" s="629"/>
      <c r="EQW24" s="629"/>
      <c r="EQX24" s="629"/>
      <c r="EQY24" s="629"/>
      <c r="EQZ24" s="629"/>
      <c r="ERA24" s="629"/>
      <c r="ERB24" s="629"/>
      <c r="ERC24" s="629"/>
      <c r="ERD24" s="629"/>
      <c r="ERE24" s="629"/>
      <c r="ERF24" s="629"/>
      <c r="ERG24" s="629"/>
      <c r="ERH24" s="629"/>
      <c r="ERI24" s="629"/>
      <c r="ERJ24" s="629"/>
      <c r="ERK24" s="629"/>
      <c r="ERL24" s="629"/>
      <c r="ERM24" s="629"/>
      <c r="ERN24" s="629"/>
      <c r="ERO24" s="629"/>
      <c r="ERP24" s="629"/>
      <c r="ERQ24" s="629"/>
      <c r="ERR24" s="629"/>
      <c r="ERS24" s="629"/>
      <c r="ERT24" s="629"/>
      <c r="ERU24" s="629"/>
      <c r="ERV24" s="629"/>
      <c r="ERW24" s="629"/>
      <c r="ERX24" s="629"/>
      <c r="ERY24" s="629"/>
      <c r="ERZ24" s="629"/>
      <c r="ESA24" s="629"/>
      <c r="ESB24" s="629"/>
      <c r="ESC24" s="629"/>
      <c r="ESD24" s="629"/>
      <c r="ESE24" s="629"/>
      <c r="ESF24" s="629"/>
      <c r="ESG24" s="629"/>
      <c r="ESH24" s="629"/>
      <c r="ESI24" s="629"/>
      <c r="ESJ24" s="629"/>
      <c r="ESK24" s="629"/>
      <c r="ESL24" s="629"/>
      <c r="ESM24" s="629"/>
      <c r="ESN24" s="629"/>
      <c r="ESO24" s="629"/>
      <c r="ESP24" s="629"/>
      <c r="ESQ24" s="629"/>
      <c r="ESR24" s="629"/>
      <c r="ESS24" s="629"/>
      <c r="EST24" s="629"/>
      <c r="ESU24" s="629"/>
      <c r="ESV24" s="629"/>
      <c r="ESW24" s="629"/>
      <c r="ESX24" s="629"/>
      <c r="ESY24" s="629"/>
      <c r="ESZ24" s="629"/>
      <c r="ETA24" s="629"/>
      <c r="ETB24" s="629"/>
      <c r="ETC24" s="629"/>
      <c r="ETD24" s="629"/>
      <c r="ETE24" s="629"/>
      <c r="ETF24" s="629"/>
      <c r="ETG24" s="629"/>
      <c r="ETH24" s="629"/>
      <c r="ETI24" s="629"/>
      <c r="ETJ24" s="629"/>
      <c r="ETK24" s="629"/>
      <c r="ETL24" s="629"/>
      <c r="ETM24" s="629"/>
      <c r="ETN24" s="629"/>
      <c r="ETO24" s="629"/>
      <c r="ETP24" s="629"/>
      <c r="ETQ24" s="629"/>
      <c r="ETR24" s="629"/>
      <c r="ETS24" s="629"/>
      <c r="ETT24" s="629"/>
      <c r="ETU24" s="629"/>
      <c r="ETV24" s="629"/>
      <c r="ETW24" s="629"/>
      <c r="ETX24" s="629"/>
      <c r="ETY24" s="629"/>
      <c r="ETZ24" s="629"/>
      <c r="EUA24" s="629"/>
      <c r="EUB24" s="629"/>
      <c r="EUC24" s="629"/>
      <c r="EUD24" s="629"/>
      <c r="EUE24" s="629"/>
      <c r="EUF24" s="629"/>
      <c r="EUG24" s="629"/>
      <c r="EUH24" s="629"/>
      <c r="EUI24" s="629"/>
      <c r="EUJ24" s="629"/>
      <c r="EUK24" s="629"/>
      <c r="EUL24" s="629"/>
      <c r="EUM24" s="629"/>
      <c r="EUN24" s="629"/>
      <c r="EUO24" s="629"/>
      <c r="EUP24" s="629"/>
      <c r="EUQ24" s="629"/>
      <c r="EUR24" s="629"/>
      <c r="EUS24" s="629"/>
      <c r="EUT24" s="629"/>
      <c r="EUU24" s="629"/>
      <c r="EUV24" s="629"/>
      <c r="EUW24" s="629"/>
      <c r="EUX24" s="629"/>
      <c r="EUY24" s="629"/>
      <c r="EUZ24" s="629"/>
      <c r="EVA24" s="629"/>
      <c r="EVB24" s="629"/>
      <c r="EVC24" s="629"/>
      <c r="EVD24" s="629"/>
      <c r="EVE24" s="629"/>
      <c r="EVF24" s="629"/>
      <c r="EVG24" s="629"/>
      <c r="EVH24" s="629"/>
      <c r="EVI24" s="629"/>
      <c r="EVJ24" s="629"/>
      <c r="EVK24" s="629"/>
      <c r="EVL24" s="629"/>
      <c r="EVM24" s="629"/>
      <c r="EVN24" s="629"/>
      <c r="EVO24" s="629"/>
      <c r="EVP24" s="629"/>
      <c r="EVQ24" s="629"/>
      <c r="EVR24" s="629"/>
      <c r="EVS24" s="629"/>
      <c r="EVT24" s="629"/>
      <c r="EVU24" s="629"/>
      <c r="EVV24" s="629"/>
      <c r="EVW24" s="629"/>
      <c r="EVX24" s="629"/>
      <c r="EVY24" s="629"/>
      <c r="EVZ24" s="629"/>
      <c r="EWA24" s="629"/>
      <c r="EWB24" s="629"/>
      <c r="EWC24" s="629"/>
      <c r="EWD24" s="629"/>
      <c r="EWE24" s="629"/>
      <c r="EWF24" s="629"/>
      <c r="EWG24" s="629"/>
      <c r="EWH24" s="629"/>
      <c r="EWI24" s="629"/>
      <c r="EWJ24" s="629"/>
      <c r="EWK24" s="629"/>
      <c r="EWL24" s="629"/>
      <c r="EWM24" s="629"/>
      <c r="EWN24" s="629"/>
      <c r="EWO24" s="629"/>
      <c r="EWP24" s="629"/>
      <c r="EWQ24" s="629"/>
      <c r="EWR24" s="629"/>
      <c r="EWS24" s="629"/>
      <c r="EWT24" s="629"/>
      <c r="EWU24" s="629"/>
      <c r="EWV24" s="629"/>
      <c r="EWW24" s="629"/>
      <c r="EWX24" s="629"/>
      <c r="EWY24" s="629"/>
      <c r="EWZ24" s="629"/>
      <c r="EXA24" s="629"/>
      <c r="EXB24" s="629"/>
      <c r="EXC24" s="629"/>
      <c r="EXD24" s="629"/>
      <c r="EXE24" s="629"/>
      <c r="EXF24" s="629"/>
      <c r="EXG24" s="629"/>
      <c r="EXH24" s="629"/>
      <c r="EXI24" s="629"/>
      <c r="EXJ24" s="629"/>
      <c r="EXK24" s="629"/>
      <c r="EXL24" s="629"/>
      <c r="EXM24" s="629"/>
      <c r="EXN24" s="629"/>
      <c r="EXO24" s="629"/>
      <c r="EXP24" s="629"/>
      <c r="EXQ24" s="629"/>
      <c r="EXR24" s="629"/>
      <c r="EXS24" s="629"/>
      <c r="EXT24" s="629"/>
      <c r="EXU24" s="629"/>
      <c r="EXV24" s="629"/>
      <c r="EXW24" s="629"/>
      <c r="EXX24" s="629"/>
      <c r="EXY24" s="629"/>
      <c r="EXZ24" s="629"/>
      <c r="EYA24" s="629"/>
      <c r="EYB24" s="629"/>
      <c r="EYC24" s="629"/>
      <c r="EYD24" s="629"/>
      <c r="EYE24" s="629"/>
      <c r="EYF24" s="629"/>
      <c r="EYG24" s="629"/>
      <c r="EYH24" s="629"/>
      <c r="EYI24" s="629"/>
      <c r="EYJ24" s="629"/>
      <c r="EYK24" s="629"/>
      <c r="EYL24" s="629"/>
      <c r="EYM24" s="629"/>
      <c r="EYN24" s="629"/>
      <c r="EYO24" s="629"/>
      <c r="EYP24" s="629"/>
      <c r="EYQ24" s="629"/>
      <c r="EYR24" s="629"/>
      <c r="EYS24" s="629"/>
      <c r="EYT24" s="629"/>
      <c r="EYU24" s="629"/>
      <c r="EYV24" s="629"/>
      <c r="EYW24" s="629"/>
      <c r="EYX24" s="629"/>
      <c r="EYY24" s="629"/>
      <c r="EYZ24" s="629"/>
      <c r="EZA24" s="629"/>
      <c r="EZB24" s="629"/>
      <c r="EZC24" s="629"/>
      <c r="EZD24" s="629"/>
      <c r="EZE24" s="629"/>
      <c r="EZF24" s="629"/>
      <c r="EZG24" s="629"/>
      <c r="EZH24" s="629"/>
      <c r="EZI24" s="629"/>
      <c r="EZJ24" s="629"/>
      <c r="EZK24" s="629"/>
      <c r="EZL24" s="629"/>
      <c r="EZM24" s="629"/>
      <c r="EZN24" s="629"/>
      <c r="EZO24" s="629"/>
      <c r="EZP24" s="629"/>
      <c r="EZQ24" s="629"/>
      <c r="EZR24" s="629"/>
      <c r="EZS24" s="629"/>
      <c r="EZT24" s="629"/>
      <c r="EZU24" s="629"/>
      <c r="EZV24" s="629"/>
      <c r="EZW24" s="629"/>
      <c r="EZX24" s="629"/>
      <c r="EZY24" s="629"/>
      <c r="EZZ24" s="629"/>
      <c r="FAA24" s="629"/>
      <c r="FAB24" s="629"/>
      <c r="FAC24" s="629"/>
      <c r="FAD24" s="629"/>
      <c r="FAE24" s="629"/>
      <c r="FAF24" s="629"/>
      <c r="FAG24" s="629"/>
      <c r="FAH24" s="629"/>
      <c r="FAI24" s="629"/>
      <c r="FAJ24" s="629"/>
      <c r="FAK24" s="629"/>
      <c r="FAL24" s="629"/>
      <c r="FAM24" s="629"/>
      <c r="FAN24" s="629"/>
      <c r="FAO24" s="629"/>
      <c r="FAP24" s="629"/>
      <c r="FAQ24" s="629"/>
      <c r="FAR24" s="629"/>
      <c r="FAS24" s="629"/>
      <c r="FAT24" s="629"/>
      <c r="FAU24" s="629"/>
      <c r="FAV24" s="629"/>
      <c r="FAW24" s="629"/>
      <c r="FAX24" s="629"/>
      <c r="FAY24" s="629"/>
      <c r="FAZ24" s="629"/>
      <c r="FBA24" s="629"/>
      <c r="FBB24" s="629"/>
      <c r="FBC24" s="629"/>
      <c r="FBD24" s="629"/>
      <c r="FBE24" s="629"/>
      <c r="FBF24" s="629"/>
      <c r="FBG24" s="629"/>
      <c r="FBH24" s="629"/>
      <c r="FBI24" s="629"/>
      <c r="FBJ24" s="629"/>
      <c r="FBK24" s="629"/>
      <c r="FBL24" s="629"/>
      <c r="FBM24" s="629"/>
      <c r="FBN24" s="629"/>
      <c r="FBO24" s="629"/>
      <c r="FBP24" s="629"/>
      <c r="FBQ24" s="629"/>
      <c r="FBR24" s="629"/>
      <c r="FBS24" s="629"/>
      <c r="FBT24" s="629"/>
      <c r="FBU24" s="629"/>
      <c r="FBV24" s="629"/>
      <c r="FBW24" s="629"/>
      <c r="FBX24" s="629"/>
      <c r="FBY24" s="629"/>
      <c r="FBZ24" s="629"/>
      <c r="FCA24" s="629"/>
      <c r="FCB24" s="629"/>
      <c r="FCC24" s="629"/>
      <c r="FCD24" s="629"/>
      <c r="FCE24" s="629"/>
      <c r="FCF24" s="629"/>
      <c r="FCG24" s="629"/>
      <c r="FCH24" s="629"/>
      <c r="FCI24" s="629"/>
      <c r="FCJ24" s="629"/>
      <c r="FCK24" s="629"/>
      <c r="FCL24" s="629"/>
      <c r="FCM24" s="629"/>
      <c r="FCN24" s="629"/>
      <c r="FCO24" s="629"/>
      <c r="FCP24" s="629"/>
      <c r="FCQ24" s="629"/>
      <c r="FCR24" s="629"/>
      <c r="FCS24" s="629"/>
      <c r="FCT24" s="629"/>
      <c r="FCU24" s="629"/>
      <c r="FCV24" s="629"/>
      <c r="FCW24" s="629"/>
      <c r="FCX24" s="629"/>
      <c r="FCY24" s="629"/>
      <c r="FCZ24" s="629"/>
      <c r="FDA24" s="629"/>
      <c r="FDB24" s="629"/>
      <c r="FDC24" s="629"/>
      <c r="FDD24" s="629"/>
      <c r="FDE24" s="629"/>
      <c r="FDF24" s="629"/>
      <c r="FDG24" s="629"/>
      <c r="FDH24" s="629"/>
      <c r="FDI24" s="629"/>
      <c r="FDJ24" s="629"/>
      <c r="FDK24" s="629"/>
      <c r="FDL24" s="629"/>
      <c r="FDM24" s="629"/>
      <c r="FDN24" s="629"/>
      <c r="FDO24" s="629"/>
      <c r="FDP24" s="629"/>
      <c r="FDQ24" s="629"/>
      <c r="FDR24" s="629"/>
      <c r="FDS24" s="629"/>
      <c r="FDT24" s="629"/>
      <c r="FDU24" s="629"/>
      <c r="FDV24" s="629"/>
      <c r="FDW24" s="629"/>
      <c r="FDX24" s="629"/>
      <c r="FDY24" s="629"/>
      <c r="FDZ24" s="629"/>
      <c r="FEA24" s="629"/>
      <c r="FEB24" s="629"/>
      <c r="FEC24" s="629"/>
      <c r="FED24" s="629"/>
      <c r="FEE24" s="629"/>
      <c r="FEF24" s="629"/>
      <c r="FEG24" s="629"/>
      <c r="FEH24" s="629"/>
      <c r="FEI24" s="629"/>
      <c r="FEJ24" s="629"/>
      <c r="FEK24" s="629"/>
      <c r="FEL24" s="629"/>
      <c r="FEM24" s="629"/>
      <c r="FEN24" s="629"/>
      <c r="FEO24" s="629"/>
      <c r="FEP24" s="629"/>
      <c r="FEQ24" s="629"/>
      <c r="FER24" s="629"/>
      <c r="FES24" s="629"/>
      <c r="FET24" s="629"/>
      <c r="FEU24" s="629"/>
      <c r="FEV24" s="629"/>
      <c r="FEW24" s="629"/>
      <c r="FEX24" s="629"/>
      <c r="FEY24" s="629"/>
      <c r="FEZ24" s="629"/>
      <c r="FFA24" s="629"/>
      <c r="FFB24" s="629"/>
      <c r="FFC24" s="629"/>
      <c r="FFD24" s="629"/>
      <c r="FFE24" s="629"/>
      <c r="FFF24" s="629"/>
      <c r="FFG24" s="629"/>
      <c r="FFH24" s="629"/>
      <c r="FFI24" s="629"/>
      <c r="FFJ24" s="629"/>
      <c r="FFK24" s="629"/>
      <c r="FFL24" s="629"/>
      <c r="FFM24" s="629"/>
      <c r="FFN24" s="629"/>
      <c r="FFO24" s="629"/>
      <c r="FFP24" s="629"/>
      <c r="FFQ24" s="629"/>
      <c r="FFR24" s="629"/>
      <c r="FFS24" s="629"/>
      <c r="FFT24" s="629"/>
      <c r="FFU24" s="629"/>
      <c r="FFV24" s="629"/>
      <c r="FFW24" s="629"/>
      <c r="FFX24" s="629"/>
      <c r="FFY24" s="629"/>
      <c r="FFZ24" s="629"/>
      <c r="FGA24" s="629"/>
      <c r="FGB24" s="629"/>
      <c r="FGC24" s="629"/>
      <c r="FGD24" s="629"/>
      <c r="FGE24" s="629"/>
      <c r="FGF24" s="629"/>
      <c r="FGG24" s="629"/>
      <c r="FGH24" s="629"/>
      <c r="FGI24" s="629"/>
      <c r="FGJ24" s="629"/>
      <c r="FGK24" s="629"/>
      <c r="FGL24" s="629"/>
      <c r="FGM24" s="629"/>
      <c r="FGN24" s="629"/>
      <c r="FGO24" s="629"/>
      <c r="FGP24" s="629"/>
      <c r="FGQ24" s="629"/>
      <c r="FGR24" s="629"/>
      <c r="FGS24" s="629"/>
      <c r="FGT24" s="629"/>
      <c r="FGU24" s="629"/>
      <c r="FGV24" s="629"/>
      <c r="FGW24" s="629"/>
      <c r="FGX24" s="629"/>
      <c r="FGY24" s="629"/>
      <c r="FGZ24" s="629"/>
      <c r="FHA24" s="629"/>
      <c r="FHB24" s="629"/>
      <c r="FHC24" s="629"/>
      <c r="FHD24" s="629"/>
      <c r="FHE24" s="629"/>
      <c r="FHF24" s="629"/>
      <c r="FHG24" s="629"/>
      <c r="FHH24" s="629"/>
      <c r="FHI24" s="629"/>
      <c r="FHJ24" s="629"/>
      <c r="FHK24" s="629"/>
      <c r="FHL24" s="629"/>
      <c r="FHM24" s="629"/>
      <c r="FHN24" s="629"/>
      <c r="FHO24" s="629"/>
      <c r="FHP24" s="629"/>
      <c r="FHQ24" s="629"/>
      <c r="FHR24" s="629"/>
      <c r="FHS24" s="629"/>
      <c r="FHT24" s="629"/>
      <c r="FHU24" s="629"/>
      <c r="FHV24" s="629"/>
      <c r="FHW24" s="629"/>
      <c r="FHX24" s="629"/>
      <c r="FHY24" s="629"/>
      <c r="FHZ24" s="629"/>
      <c r="FIA24" s="629"/>
      <c r="FIB24" s="629"/>
      <c r="FIC24" s="629"/>
      <c r="FID24" s="629"/>
      <c r="FIE24" s="629"/>
      <c r="FIF24" s="629"/>
      <c r="FIG24" s="629"/>
      <c r="FIH24" s="629"/>
      <c r="FII24" s="629"/>
      <c r="FIJ24" s="629"/>
      <c r="FIK24" s="629"/>
      <c r="FIL24" s="629"/>
      <c r="FIM24" s="629"/>
      <c r="FIN24" s="629"/>
      <c r="FIO24" s="629"/>
      <c r="FIP24" s="629"/>
      <c r="FIQ24" s="629"/>
      <c r="FIR24" s="629"/>
      <c r="FIS24" s="629"/>
      <c r="FIT24" s="629"/>
      <c r="FIU24" s="629"/>
      <c r="FIV24" s="629"/>
      <c r="FIW24" s="629"/>
      <c r="FIX24" s="629"/>
      <c r="FIY24" s="629"/>
      <c r="FIZ24" s="629"/>
      <c r="FJA24" s="629"/>
      <c r="FJB24" s="629"/>
      <c r="FJC24" s="629"/>
      <c r="FJD24" s="629"/>
      <c r="FJE24" s="629"/>
      <c r="FJF24" s="629"/>
      <c r="FJG24" s="629"/>
      <c r="FJH24" s="629"/>
      <c r="FJI24" s="629"/>
      <c r="FJJ24" s="629"/>
      <c r="FJK24" s="629"/>
      <c r="FJL24" s="629"/>
      <c r="FJM24" s="629"/>
      <c r="FJN24" s="629"/>
      <c r="FJO24" s="629"/>
      <c r="FJP24" s="629"/>
      <c r="FJQ24" s="629"/>
      <c r="FJR24" s="629"/>
      <c r="FJS24" s="629"/>
      <c r="FJT24" s="629"/>
      <c r="FJU24" s="629"/>
      <c r="FJV24" s="629"/>
      <c r="FJW24" s="629"/>
      <c r="FJX24" s="629"/>
      <c r="FJY24" s="629"/>
      <c r="FJZ24" s="629"/>
      <c r="FKA24" s="629"/>
      <c r="FKB24" s="629"/>
      <c r="FKC24" s="629"/>
      <c r="FKD24" s="629"/>
      <c r="FKE24" s="629"/>
      <c r="FKF24" s="629"/>
      <c r="FKG24" s="629"/>
      <c r="FKH24" s="629"/>
      <c r="FKI24" s="629"/>
      <c r="FKJ24" s="629"/>
      <c r="FKK24" s="629"/>
      <c r="FKL24" s="629"/>
      <c r="FKM24" s="629"/>
      <c r="FKN24" s="629"/>
      <c r="FKO24" s="629"/>
      <c r="FKP24" s="629"/>
      <c r="FKQ24" s="629"/>
      <c r="FKR24" s="629"/>
      <c r="FKS24" s="629"/>
      <c r="FKT24" s="629"/>
      <c r="FKU24" s="629"/>
      <c r="FKV24" s="629"/>
      <c r="FKW24" s="629"/>
      <c r="FKX24" s="629"/>
      <c r="FKY24" s="629"/>
      <c r="FKZ24" s="629"/>
      <c r="FLA24" s="629"/>
      <c r="FLB24" s="629"/>
      <c r="FLC24" s="629"/>
      <c r="FLD24" s="629"/>
      <c r="FLE24" s="629"/>
      <c r="FLF24" s="629"/>
      <c r="FLG24" s="629"/>
      <c r="FLH24" s="629"/>
      <c r="FLI24" s="629"/>
      <c r="FLJ24" s="629"/>
      <c r="FLK24" s="629"/>
      <c r="FLL24" s="629"/>
      <c r="FLM24" s="629"/>
      <c r="FLN24" s="629"/>
      <c r="FLO24" s="629"/>
      <c r="FLP24" s="629"/>
      <c r="FLQ24" s="629"/>
      <c r="FLR24" s="629"/>
      <c r="FLS24" s="629"/>
      <c r="FLT24" s="629"/>
      <c r="FLU24" s="629"/>
      <c r="FLV24" s="629"/>
      <c r="FLW24" s="629"/>
      <c r="FLX24" s="629"/>
      <c r="FLY24" s="629"/>
      <c r="FLZ24" s="629"/>
      <c r="FMA24" s="629"/>
      <c r="FMB24" s="629"/>
      <c r="FMC24" s="629"/>
      <c r="FMD24" s="629"/>
      <c r="FME24" s="629"/>
      <c r="FMF24" s="629"/>
      <c r="FMG24" s="629"/>
      <c r="FMH24" s="629"/>
      <c r="FMI24" s="629"/>
      <c r="FMJ24" s="629"/>
      <c r="FMK24" s="629"/>
      <c r="FML24" s="629"/>
      <c r="FMM24" s="629"/>
      <c r="FMN24" s="629"/>
      <c r="FMO24" s="629"/>
      <c r="FMP24" s="629"/>
      <c r="FMQ24" s="629"/>
      <c r="FMR24" s="629"/>
      <c r="FMS24" s="629"/>
      <c r="FMT24" s="629"/>
      <c r="FMU24" s="629"/>
      <c r="FMV24" s="629"/>
      <c r="FMW24" s="629"/>
      <c r="FMX24" s="629"/>
      <c r="FMY24" s="629"/>
      <c r="FMZ24" s="629"/>
      <c r="FNA24" s="629"/>
      <c r="FNB24" s="629"/>
      <c r="FNC24" s="629"/>
      <c r="FND24" s="629"/>
      <c r="FNE24" s="629"/>
      <c r="FNF24" s="629"/>
      <c r="FNG24" s="629"/>
      <c r="FNH24" s="629"/>
      <c r="FNI24" s="629"/>
      <c r="FNJ24" s="629"/>
      <c r="FNK24" s="629"/>
      <c r="FNL24" s="629"/>
      <c r="FNM24" s="629"/>
      <c r="FNN24" s="629"/>
      <c r="FNO24" s="629"/>
      <c r="FNP24" s="629"/>
      <c r="FNQ24" s="629"/>
      <c r="FNR24" s="629"/>
      <c r="FNS24" s="629"/>
      <c r="FNT24" s="629"/>
      <c r="FNU24" s="629"/>
      <c r="FNV24" s="629"/>
      <c r="FNW24" s="629"/>
      <c r="FNX24" s="629"/>
      <c r="FNY24" s="629"/>
      <c r="FNZ24" s="629"/>
      <c r="FOA24" s="629"/>
      <c r="FOB24" s="629"/>
      <c r="FOC24" s="629"/>
      <c r="FOD24" s="629"/>
      <c r="FOE24" s="629"/>
      <c r="FOF24" s="629"/>
      <c r="FOG24" s="629"/>
      <c r="FOH24" s="629"/>
      <c r="FOI24" s="629"/>
      <c r="FOJ24" s="629"/>
      <c r="FOK24" s="629"/>
      <c r="FOL24" s="629"/>
      <c r="FOM24" s="629"/>
      <c r="FON24" s="629"/>
      <c r="FOO24" s="629"/>
      <c r="FOP24" s="629"/>
      <c r="FOQ24" s="629"/>
      <c r="FOR24" s="629"/>
      <c r="FOS24" s="629"/>
      <c r="FOT24" s="629"/>
      <c r="FOU24" s="629"/>
      <c r="FOV24" s="629"/>
      <c r="FOW24" s="629"/>
      <c r="FOX24" s="629"/>
      <c r="FOY24" s="629"/>
      <c r="FOZ24" s="629"/>
      <c r="FPA24" s="629"/>
      <c r="FPB24" s="629"/>
      <c r="FPC24" s="629"/>
      <c r="FPD24" s="629"/>
      <c r="FPE24" s="629"/>
      <c r="FPF24" s="629"/>
      <c r="FPG24" s="629"/>
      <c r="FPH24" s="629"/>
      <c r="FPI24" s="629"/>
      <c r="FPJ24" s="629"/>
      <c r="FPK24" s="629"/>
      <c r="FPL24" s="629"/>
      <c r="FPM24" s="629"/>
      <c r="FPN24" s="629"/>
      <c r="FPO24" s="629"/>
      <c r="FPP24" s="629"/>
      <c r="FPQ24" s="629"/>
      <c r="FPR24" s="629"/>
      <c r="FPS24" s="629"/>
      <c r="FPT24" s="629"/>
      <c r="FPU24" s="629"/>
      <c r="FPV24" s="629"/>
      <c r="FPW24" s="629"/>
      <c r="FPX24" s="629"/>
      <c r="FPY24" s="629"/>
      <c r="FPZ24" s="629"/>
      <c r="FQA24" s="629"/>
      <c r="FQB24" s="629"/>
      <c r="FQC24" s="629"/>
      <c r="FQD24" s="629"/>
      <c r="FQE24" s="629"/>
      <c r="FQF24" s="629"/>
      <c r="FQG24" s="629"/>
      <c r="FQH24" s="629"/>
      <c r="FQI24" s="629"/>
      <c r="FQJ24" s="629"/>
      <c r="FQK24" s="629"/>
      <c r="FQL24" s="629"/>
      <c r="FQM24" s="629"/>
      <c r="FQN24" s="629"/>
      <c r="FQO24" s="629"/>
      <c r="FQP24" s="629"/>
      <c r="FQQ24" s="629"/>
      <c r="FQR24" s="629"/>
      <c r="FQS24" s="629"/>
      <c r="FQT24" s="629"/>
      <c r="FQU24" s="629"/>
      <c r="FQV24" s="629"/>
      <c r="FQW24" s="629"/>
      <c r="FQX24" s="629"/>
      <c r="FQY24" s="629"/>
      <c r="FQZ24" s="629"/>
      <c r="FRA24" s="629"/>
      <c r="FRB24" s="629"/>
      <c r="FRC24" s="629"/>
      <c r="FRD24" s="629"/>
      <c r="FRE24" s="629"/>
      <c r="FRF24" s="629"/>
      <c r="FRG24" s="629"/>
      <c r="FRH24" s="629"/>
      <c r="FRI24" s="629"/>
      <c r="FRJ24" s="629"/>
      <c r="FRK24" s="629"/>
      <c r="FRL24" s="629"/>
      <c r="FRM24" s="629"/>
      <c r="FRN24" s="629"/>
      <c r="FRO24" s="629"/>
      <c r="FRP24" s="629"/>
      <c r="FRQ24" s="629"/>
      <c r="FRR24" s="629"/>
      <c r="FRS24" s="629"/>
      <c r="FRT24" s="629"/>
      <c r="FRU24" s="629"/>
      <c r="FRV24" s="629"/>
      <c r="FRW24" s="629"/>
      <c r="FRX24" s="629"/>
      <c r="FRY24" s="629"/>
      <c r="FRZ24" s="629"/>
      <c r="FSA24" s="629"/>
      <c r="FSB24" s="629"/>
      <c r="FSC24" s="629"/>
      <c r="FSD24" s="629"/>
      <c r="FSE24" s="629"/>
      <c r="FSF24" s="629"/>
      <c r="FSG24" s="629"/>
      <c r="FSH24" s="629"/>
      <c r="FSI24" s="629"/>
      <c r="FSJ24" s="629"/>
      <c r="FSK24" s="629"/>
      <c r="FSL24" s="629"/>
      <c r="FSM24" s="629"/>
      <c r="FSN24" s="629"/>
      <c r="FSO24" s="629"/>
      <c r="FSP24" s="629"/>
      <c r="FSQ24" s="629"/>
      <c r="FSR24" s="629"/>
      <c r="FSS24" s="629"/>
      <c r="FST24" s="629"/>
      <c r="FSU24" s="629"/>
      <c r="FSV24" s="629"/>
      <c r="FSW24" s="629"/>
      <c r="FSX24" s="629"/>
      <c r="FSY24" s="629"/>
      <c r="FSZ24" s="629"/>
      <c r="FTA24" s="629"/>
      <c r="FTB24" s="629"/>
      <c r="FTC24" s="629"/>
      <c r="FTD24" s="629"/>
      <c r="FTE24" s="629"/>
      <c r="FTF24" s="629"/>
      <c r="FTG24" s="629"/>
      <c r="FTH24" s="629"/>
      <c r="FTI24" s="629"/>
      <c r="FTJ24" s="629"/>
      <c r="FTK24" s="629"/>
      <c r="FTL24" s="629"/>
      <c r="FTM24" s="629"/>
      <c r="FTN24" s="629"/>
      <c r="FTO24" s="629"/>
      <c r="FTP24" s="629"/>
      <c r="FTQ24" s="629"/>
      <c r="FTR24" s="629"/>
      <c r="FTS24" s="629"/>
      <c r="FTT24" s="629"/>
      <c r="FTU24" s="629"/>
      <c r="FTV24" s="629"/>
      <c r="FTW24" s="629"/>
      <c r="FTX24" s="629"/>
      <c r="FTY24" s="629"/>
      <c r="FTZ24" s="629"/>
      <c r="FUA24" s="629"/>
      <c r="FUB24" s="629"/>
      <c r="FUC24" s="629"/>
      <c r="FUD24" s="629"/>
      <c r="FUE24" s="629"/>
      <c r="FUF24" s="629"/>
      <c r="FUG24" s="629"/>
      <c r="FUH24" s="629"/>
      <c r="FUI24" s="629"/>
      <c r="FUJ24" s="629"/>
      <c r="FUK24" s="629"/>
      <c r="FUL24" s="629"/>
      <c r="FUM24" s="629"/>
      <c r="FUN24" s="629"/>
      <c r="FUO24" s="629"/>
      <c r="FUP24" s="629"/>
      <c r="FUQ24" s="629"/>
      <c r="FUR24" s="629"/>
      <c r="FUS24" s="629"/>
      <c r="FUT24" s="629"/>
      <c r="FUU24" s="629"/>
      <c r="FUV24" s="629"/>
      <c r="FUW24" s="629"/>
      <c r="FUX24" s="629"/>
      <c r="FUY24" s="629"/>
      <c r="FUZ24" s="629"/>
      <c r="FVA24" s="629"/>
      <c r="FVB24" s="629"/>
      <c r="FVC24" s="629"/>
      <c r="FVD24" s="629"/>
      <c r="FVE24" s="629"/>
      <c r="FVF24" s="629"/>
      <c r="FVG24" s="629"/>
      <c r="FVH24" s="629"/>
      <c r="FVI24" s="629"/>
      <c r="FVJ24" s="629"/>
      <c r="FVK24" s="629"/>
      <c r="FVL24" s="629"/>
      <c r="FVM24" s="629"/>
      <c r="FVN24" s="629"/>
      <c r="FVO24" s="629"/>
      <c r="FVP24" s="629"/>
      <c r="FVQ24" s="629"/>
      <c r="FVR24" s="629"/>
      <c r="FVS24" s="629"/>
      <c r="FVT24" s="629"/>
      <c r="FVU24" s="629"/>
      <c r="FVV24" s="629"/>
      <c r="FVW24" s="629"/>
      <c r="FVX24" s="629"/>
      <c r="FVY24" s="629"/>
      <c r="FVZ24" s="629"/>
      <c r="FWA24" s="629"/>
      <c r="FWB24" s="629"/>
      <c r="FWC24" s="629"/>
      <c r="FWD24" s="629"/>
      <c r="FWE24" s="629"/>
      <c r="FWF24" s="629"/>
      <c r="FWG24" s="629"/>
      <c r="FWH24" s="629"/>
      <c r="FWI24" s="629"/>
      <c r="FWJ24" s="629"/>
      <c r="FWK24" s="629"/>
      <c r="FWL24" s="629"/>
      <c r="FWM24" s="629"/>
      <c r="FWN24" s="629"/>
      <c r="FWO24" s="629"/>
      <c r="FWP24" s="629"/>
      <c r="FWQ24" s="629"/>
      <c r="FWR24" s="629"/>
      <c r="FWS24" s="629"/>
      <c r="FWT24" s="629"/>
      <c r="FWU24" s="629"/>
      <c r="FWV24" s="629"/>
      <c r="FWW24" s="629"/>
      <c r="FWX24" s="629"/>
      <c r="FWY24" s="629"/>
      <c r="FWZ24" s="629"/>
      <c r="FXA24" s="629"/>
      <c r="FXB24" s="629"/>
      <c r="FXC24" s="629"/>
      <c r="FXD24" s="629"/>
      <c r="FXE24" s="629"/>
      <c r="FXF24" s="629"/>
      <c r="FXG24" s="629"/>
      <c r="FXH24" s="629"/>
      <c r="FXI24" s="629"/>
      <c r="FXJ24" s="629"/>
      <c r="FXK24" s="629"/>
      <c r="FXL24" s="629"/>
      <c r="FXM24" s="629"/>
      <c r="FXN24" s="629"/>
      <c r="FXO24" s="629"/>
      <c r="FXP24" s="629"/>
      <c r="FXQ24" s="629"/>
      <c r="FXR24" s="629"/>
      <c r="FXS24" s="629"/>
      <c r="FXT24" s="629"/>
      <c r="FXU24" s="629"/>
      <c r="FXV24" s="629"/>
      <c r="FXW24" s="629"/>
      <c r="FXX24" s="629"/>
      <c r="FXY24" s="629"/>
      <c r="FXZ24" s="629"/>
      <c r="FYA24" s="629"/>
      <c r="FYB24" s="629"/>
      <c r="FYC24" s="629"/>
      <c r="FYD24" s="629"/>
      <c r="FYE24" s="629"/>
      <c r="FYF24" s="629"/>
      <c r="FYG24" s="629"/>
      <c r="FYH24" s="629"/>
      <c r="FYI24" s="629"/>
      <c r="FYJ24" s="629"/>
      <c r="FYK24" s="629"/>
      <c r="FYL24" s="629"/>
      <c r="FYM24" s="629"/>
      <c r="FYN24" s="629"/>
      <c r="FYO24" s="629"/>
      <c r="FYP24" s="629"/>
      <c r="FYQ24" s="629"/>
      <c r="FYR24" s="629"/>
      <c r="FYS24" s="629"/>
      <c r="FYT24" s="629"/>
      <c r="FYU24" s="629"/>
      <c r="FYV24" s="629"/>
      <c r="FYW24" s="629"/>
      <c r="FYX24" s="629"/>
      <c r="FYY24" s="629"/>
      <c r="FYZ24" s="629"/>
      <c r="FZA24" s="629"/>
      <c r="FZB24" s="629"/>
      <c r="FZC24" s="629"/>
      <c r="FZD24" s="629"/>
      <c r="FZE24" s="629"/>
      <c r="FZF24" s="629"/>
      <c r="FZG24" s="629"/>
      <c r="FZH24" s="629"/>
      <c r="FZI24" s="629"/>
      <c r="FZJ24" s="629"/>
      <c r="FZK24" s="629"/>
      <c r="FZL24" s="629"/>
      <c r="FZM24" s="629"/>
      <c r="FZN24" s="629"/>
      <c r="FZO24" s="629"/>
      <c r="FZP24" s="629"/>
      <c r="FZQ24" s="629"/>
      <c r="FZR24" s="629"/>
      <c r="FZS24" s="629"/>
      <c r="FZT24" s="629"/>
      <c r="FZU24" s="629"/>
      <c r="FZV24" s="629"/>
      <c r="FZW24" s="629"/>
      <c r="FZX24" s="629"/>
      <c r="FZY24" s="629"/>
      <c r="FZZ24" s="629"/>
      <c r="GAA24" s="629"/>
      <c r="GAB24" s="629"/>
      <c r="GAC24" s="629"/>
      <c r="GAD24" s="629"/>
      <c r="GAE24" s="629"/>
      <c r="GAF24" s="629"/>
      <c r="GAG24" s="629"/>
      <c r="GAH24" s="629"/>
      <c r="GAI24" s="629"/>
      <c r="GAJ24" s="629"/>
      <c r="GAK24" s="629"/>
      <c r="GAL24" s="629"/>
      <c r="GAM24" s="629"/>
      <c r="GAN24" s="629"/>
      <c r="GAO24" s="629"/>
      <c r="GAP24" s="629"/>
      <c r="GAQ24" s="629"/>
      <c r="GAR24" s="629"/>
      <c r="GAS24" s="629"/>
      <c r="GAT24" s="629"/>
      <c r="GAU24" s="629"/>
      <c r="GAV24" s="629"/>
      <c r="GAW24" s="629"/>
      <c r="GAX24" s="629"/>
      <c r="GAY24" s="629"/>
      <c r="GAZ24" s="629"/>
      <c r="GBA24" s="629"/>
      <c r="GBB24" s="629"/>
      <c r="GBC24" s="629"/>
      <c r="GBD24" s="629"/>
      <c r="GBE24" s="629"/>
      <c r="GBF24" s="629"/>
      <c r="GBG24" s="629"/>
      <c r="GBH24" s="629"/>
      <c r="GBI24" s="629"/>
      <c r="GBJ24" s="629"/>
      <c r="GBK24" s="629"/>
      <c r="GBL24" s="629"/>
      <c r="GBM24" s="629"/>
      <c r="GBN24" s="629"/>
      <c r="GBO24" s="629"/>
      <c r="GBP24" s="629"/>
      <c r="GBQ24" s="629"/>
      <c r="GBR24" s="629"/>
      <c r="GBS24" s="629"/>
      <c r="GBT24" s="629"/>
      <c r="GBU24" s="629"/>
      <c r="GBV24" s="629"/>
      <c r="GBW24" s="629"/>
      <c r="GBX24" s="629"/>
      <c r="GBY24" s="629"/>
      <c r="GBZ24" s="629"/>
      <c r="GCA24" s="629"/>
      <c r="GCB24" s="629"/>
      <c r="GCC24" s="629"/>
      <c r="GCD24" s="629"/>
      <c r="GCE24" s="629"/>
      <c r="GCF24" s="629"/>
      <c r="GCG24" s="629"/>
      <c r="GCH24" s="629"/>
      <c r="GCI24" s="629"/>
      <c r="GCJ24" s="629"/>
      <c r="GCK24" s="629"/>
      <c r="GCL24" s="629"/>
      <c r="GCM24" s="629"/>
      <c r="GCN24" s="629"/>
      <c r="GCO24" s="629"/>
      <c r="GCP24" s="629"/>
      <c r="GCQ24" s="629"/>
      <c r="GCR24" s="629"/>
      <c r="GCS24" s="629"/>
      <c r="GCT24" s="629"/>
      <c r="GCU24" s="629"/>
      <c r="GCV24" s="629"/>
      <c r="GCW24" s="629"/>
      <c r="GCX24" s="629"/>
      <c r="GCY24" s="629"/>
      <c r="GCZ24" s="629"/>
      <c r="GDA24" s="629"/>
      <c r="GDB24" s="629"/>
      <c r="GDC24" s="629"/>
      <c r="GDD24" s="629"/>
      <c r="GDE24" s="629"/>
      <c r="GDF24" s="629"/>
      <c r="GDG24" s="629"/>
      <c r="GDH24" s="629"/>
      <c r="GDI24" s="629"/>
      <c r="GDJ24" s="629"/>
      <c r="GDK24" s="629"/>
      <c r="GDL24" s="629"/>
      <c r="GDM24" s="629"/>
      <c r="GDN24" s="629"/>
      <c r="GDO24" s="629"/>
      <c r="GDP24" s="629"/>
      <c r="GDQ24" s="629"/>
      <c r="GDR24" s="629"/>
      <c r="GDS24" s="629"/>
      <c r="GDT24" s="629"/>
      <c r="GDU24" s="629"/>
      <c r="GDV24" s="629"/>
      <c r="GDW24" s="629"/>
      <c r="GDX24" s="629"/>
      <c r="GDY24" s="629"/>
      <c r="GDZ24" s="629"/>
      <c r="GEA24" s="629"/>
      <c r="GEB24" s="629"/>
      <c r="GEC24" s="629"/>
      <c r="GED24" s="629"/>
      <c r="GEE24" s="629"/>
      <c r="GEF24" s="629"/>
      <c r="GEG24" s="629"/>
      <c r="GEH24" s="629"/>
      <c r="GEI24" s="629"/>
      <c r="GEJ24" s="629"/>
      <c r="GEK24" s="629"/>
      <c r="GEL24" s="629"/>
      <c r="GEM24" s="629"/>
      <c r="GEN24" s="629"/>
      <c r="GEO24" s="629"/>
      <c r="GEP24" s="629"/>
      <c r="GEQ24" s="629"/>
      <c r="GER24" s="629"/>
      <c r="GES24" s="629"/>
      <c r="GET24" s="629"/>
      <c r="GEU24" s="629"/>
      <c r="GEV24" s="629"/>
      <c r="GEW24" s="629"/>
      <c r="GEX24" s="629"/>
      <c r="GEY24" s="629"/>
      <c r="GEZ24" s="629"/>
      <c r="GFA24" s="629"/>
      <c r="GFB24" s="629"/>
      <c r="GFC24" s="629"/>
      <c r="GFD24" s="629"/>
      <c r="GFE24" s="629"/>
      <c r="GFF24" s="629"/>
      <c r="GFG24" s="629"/>
      <c r="GFH24" s="629"/>
      <c r="GFI24" s="629"/>
      <c r="GFJ24" s="629"/>
      <c r="GFK24" s="629"/>
      <c r="GFL24" s="629"/>
      <c r="GFM24" s="629"/>
      <c r="GFN24" s="629"/>
      <c r="GFO24" s="629"/>
      <c r="GFP24" s="629"/>
      <c r="GFQ24" s="629"/>
      <c r="GFR24" s="629"/>
      <c r="GFS24" s="629"/>
      <c r="GFT24" s="629"/>
      <c r="GFU24" s="629"/>
      <c r="GFV24" s="629"/>
      <c r="GFW24" s="629"/>
      <c r="GFX24" s="629"/>
      <c r="GFY24" s="629"/>
      <c r="GFZ24" s="629"/>
      <c r="GGA24" s="629"/>
      <c r="GGB24" s="629"/>
      <c r="GGC24" s="629"/>
      <c r="GGD24" s="629"/>
      <c r="GGE24" s="629"/>
      <c r="GGF24" s="629"/>
      <c r="GGG24" s="629"/>
      <c r="GGH24" s="629"/>
      <c r="GGI24" s="629"/>
      <c r="GGJ24" s="629"/>
      <c r="GGK24" s="629"/>
      <c r="GGL24" s="629"/>
      <c r="GGM24" s="629"/>
      <c r="GGN24" s="629"/>
      <c r="GGO24" s="629"/>
      <c r="GGP24" s="629"/>
      <c r="GGQ24" s="629"/>
      <c r="GGR24" s="629"/>
      <c r="GGS24" s="629"/>
      <c r="GGT24" s="629"/>
      <c r="GGU24" s="629"/>
      <c r="GGV24" s="629"/>
      <c r="GGW24" s="629"/>
      <c r="GGX24" s="629"/>
      <c r="GGY24" s="629"/>
      <c r="GGZ24" s="629"/>
      <c r="GHA24" s="629"/>
      <c r="GHB24" s="629"/>
      <c r="GHC24" s="629"/>
      <c r="GHD24" s="629"/>
      <c r="GHE24" s="629"/>
      <c r="GHF24" s="629"/>
      <c r="GHG24" s="629"/>
      <c r="GHH24" s="629"/>
      <c r="GHI24" s="629"/>
      <c r="GHJ24" s="629"/>
      <c r="GHK24" s="629"/>
      <c r="GHL24" s="629"/>
      <c r="GHM24" s="629"/>
      <c r="GHN24" s="629"/>
      <c r="GHO24" s="629"/>
      <c r="GHP24" s="629"/>
      <c r="GHQ24" s="629"/>
      <c r="GHR24" s="629"/>
      <c r="GHS24" s="629"/>
      <c r="GHT24" s="629"/>
      <c r="GHU24" s="629"/>
      <c r="GHV24" s="629"/>
      <c r="GHW24" s="629"/>
      <c r="GHX24" s="629"/>
      <c r="GHY24" s="629"/>
      <c r="GHZ24" s="629"/>
      <c r="GIA24" s="629"/>
      <c r="GIB24" s="629"/>
      <c r="GIC24" s="629"/>
      <c r="GID24" s="629"/>
      <c r="GIE24" s="629"/>
      <c r="GIF24" s="629"/>
      <c r="GIG24" s="629"/>
      <c r="GIH24" s="629"/>
      <c r="GII24" s="629"/>
      <c r="GIJ24" s="629"/>
      <c r="GIK24" s="629"/>
      <c r="GIL24" s="629"/>
      <c r="GIM24" s="629"/>
      <c r="GIN24" s="629"/>
      <c r="GIO24" s="629"/>
      <c r="GIP24" s="629"/>
      <c r="GIQ24" s="629"/>
      <c r="GIR24" s="629"/>
      <c r="GIS24" s="629"/>
      <c r="GIT24" s="629"/>
      <c r="GIU24" s="629"/>
      <c r="GIV24" s="629"/>
      <c r="GIW24" s="629"/>
      <c r="GIX24" s="629"/>
      <c r="GIY24" s="629"/>
      <c r="GIZ24" s="629"/>
      <c r="GJA24" s="629"/>
      <c r="GJB24" s="629"/>
      <c r="GJC24" s="629"/>
      <c r="GJD24" s="629"/>
      <c r="GJE24" s="629"/>
      <c r="GJF24" s="629"/>
      <c r="GJG24" s="629"/>
      <c r="GJH24" s="629"/>
      <c r="GJI24" s="629"/>
      <c r="GJJ24" s="629"/>
      <c r="GJK24" s="629"/>
      <c r="GJL24" s="629"/>
      <c r="GJM24" s="629"/>
      <c r="GJN24" s="629"/>
      <c r="GJO24" s="629"/>
      <c r="GJP24" s="629"/>
      <c r="GJQ24" s="629"/>
      <c r="GJR24" s="629"/>
      <c r="GJS24" s="629"/>
      <c r="GJT24" s="629"/>
      <c r="GJU24" s="629"/>
      <c r="GJV24" s="629"/>
      <c r="GJW24" s="629"/>
      <c r="GJX24" s="629"/>
      <c r="GJY24" s="629"/>
      <c r="GJZ24" s="629"/>
      <c r="GKA24" s="629"/>
      <c r="GKB24" s="629"/>
      <c r="GKC24" s="629"/>
      <c r="GKD24" s="629"/>
      <c r="GKE24" s="629"/>
      <c r="GKF24" s="629"/>
      <c r="GKG24" s="629"/>
      <c r="GKH24" s="629"/>
      <c r="GKI24" s="629"/>
      <c r="GKJ24" s="629"/>
      <c r="GKK24" s="629"/>
      <c r="GKL24" s="629"/>
      <c r="GKM24" s="629"/>
      <c r="GKN24" s="629"/>
      <c r="GKO24" s="629"/>
      <c r="GKP24" s="629"/>
      <c r="GKQ24" s="629"/>
      <c r="GKR24" s="629"/>
      <c r="GKS24" s="629"/>
      <c r="GKT24" s="629"/>
      <c r="GKU24" s="629"/>
      <c r="GKV24" s="629"/>
      <c r="GKW24" s="629"/>
      <c r="GKX24" s="629"/>
      <c r="GKY24" s="629"/>
      <c r="GKZ24" s="629"/>
      <c r="GLA24" s="629"/>
      <c r="GLB24" s="629"/>
      <c r="GLC24" s="629"/>
      <c r="GLD24" s="629"/>
      <c r="GLE24" s="629"/>
      <c r="GLF24" s="629"/>
      <c r="GLG24" s="629"/>
      <c r="GLH24" s="629"/>
      <c r="GLI24" s="629"/>
      <c r="GLJ24" s="629"/>
      <c r="GLK24" s="629"/>
      <c r="GLL24" s="629"/>
      <c r="GLM24" s="629"/>
      <c r="GLN24" s="629"/>
      <c r="GLO24" s="629"/>
      <c r="GLP24" s="629"/>
      <c r="GLQ24" s="629"/>
      <c r="GLR24" s="629"/>
      <c r="GLS24" s="629"/>
      <c r="GLT24" s="629"/>
      <c r="GLU24" s="629"/>
      <c r="GLV24" s="629"/>
      <c r="GLW24" s="629"/>
      <c r="GLX24" s="629"/>
      <c r="GLY24" s="629"/>
      <c r="GLZ24" s="629"/>
      <c r="GMA24" s="629"/>
      <c r="GMB24" s="629"/>
      <c r="GMC24" s="629"/>
      <c r="GMD24" s="629"/>
      <c r="GME24" s="629"/>
      <c r="GMF24" s="629"/>
      <c r="GMG24" s="629"/>
      <c r="GMH24" s="629"/>
      <c r="GMI24" s="629"/>
      <c r="GMJ24" s="629"/>
      <c r="GMK24" s="629"/>
      <c r="GML24" s="629"/>
      <c r="GMM24" s="629"/>
      <c r="GMN24" s="629"/>
      <c r="GMO24" s="629"/>
      <c r="GMP24" s="629"/>
      <c r="GMQ24" s="629"/>
      <c r="GMR24" s="629"/>
      <c r="GMS24" s="629"/>
      <c r="GMT24" s="629"/>
      <c r="GMU24" s="629"/>
      <c r="GMV24" s="629"/>
      <c r="GMW24" s="629"/>
      <c r="GMX24" s="629"/>
      <c r="GMY24" s="629"/>
      <c r="GMZ24" s="629"/>
      <c r="GNA24" s="629"/>
      <c r="GNB24" s="629"/>
      <c r="GNC24" s="629"/>
      <c r="GND24" s="629"/>
      <c r="GNE24" s="629"/>
      <c r="GNF24" s="629"/>
      <c r="GNG24" s="629"/>
      <c r="GNH24" s="629"/>
      <c r="GNI24" s="629"/>
      <c r="GNJ24" s="629"/>
      <c r="GNK24" s="629"/>
      <c r="GNL24" s="629"/>
      <c r="GNM24" s="629"/>
      <c r="GNN24" s="629"/>
      <c r="GNO24" s="629"/>
      <c r="GNP24" s="629"/>
      <c r="GNQ24" s="629"/>
      <c r="GNR24" s="629"/>
      <c r="GNS24" s="629"/>
      <c r="GNT24" s="629"/>
      <c r="GNU24" s="629"/>
      <c r="GNV24" s="629"/>
      <c r="GNW24" s="629"/>
      <c r="GNX24" s="629"/>
      <c r="GNY24" s="629"/>
      <c r="GNZ24" s="629"/>
      <c r="GOA24" s="629"/>
      <c r="GOB24" s="629"/>
      <c r="GOC24" s="629"/>
      <c r="GOD24" s="629"/>
      <c r="GOE24" s="629"/>
      <c r="GOF24" s="629"/>
      <c r="GOG24" s="629"/>
      <c r="GOH24" s="629"/>
      <c r="GOI24" s="629"/>
      <c r="GOJ24" s="629"/>
      <c r="GOK24" s="629"/>
      <c r="GOL24" s="629"/>
      <c r="GOM24" s="629"/>
      <c r="GON24" s="629"/>
      <c r="GOO24" s="629"/>
      <c r="GOP24" s="629"/>
      <c r="GOQ24" s="629"/>
      <c r="GOR24" s="629"/>
      <c r="GOS24" s="629"/>
      <c r="GOT24" s="629"/>
      <c r="GOU24" s="629"/>
      <c r="GOV24" s="629"/>
      <c r="GOW24" s="629"/>
      <c r="GOX24" s="629"/>
      <c r="GOY24" s="629"/>
      <c r="GOZ24" s="629"/>
      <c r="GPA24" s="629"/>
      <c r="GPB24" s="629"/>
      <c r="GPC24" s="629"/>
      <c r="GPD24" s="629"/>
      <c r="GPE24" s="629"/>
      <c r="GPF24" s="629"/>
      <c r="GPG24" s="629"/>
      <c r="GPH24" s="629"/>
      <c r="GPI24" s="629"/>
      <c r="GPJ24" s="629"/>
      <c r="GPK24" s="629"/>
      <c r="GPL24" s="629"/>
      <c r="GPM24" s="629"/>
      <c r="GPN24" s="629"/>
      <c r="GPO24" s="629"/>
      <c r="GPP24" s="629"/>
      <c r="GPQ24" s="629"/>
      <c r="GPR24" s="629"/>
      <c r="GPS24" s="629"/>
      <c r="GPT24" s="629"/>
      <c r="GPU24" s="629"/>
      <c r="GPV24" s="629"/>
      <c r="GPW24" s="629"/>
      <c r="GPX24" s="629"/>
      <c r="GPY24" s="629"/>
      <c r="GPZ24" s="629"/>
      <c r="GQA24" s="629"/>
      <c r="GQB24" s="629"/>
      <c r="GQC24" s="629"/>
      <c r="GQD24" s="629"/>
      <c r="GQE24" s="629"/>
      <c r="GQF24" s="629"/>
      <c r="GQG24" s="629"/>
      <c r="GQH24" s="629"/>
      <c r="GQI24" s="629"/>
      <c r="GQJ24" s="629"/>
      <c r="GQK24" s="629"/>
      <c r="GQL24" s="629"/>
      <c r="GQM24" s="629"/>
      <c r="GQN24" s="629"/>
      <c r="GQO24" s="629"/>
      <c r="GQP24" s="629"/>
      <c r="GQQ24" s="629"/>
      <c r="GQR24" s="629"/>
      <c r="GQS24" s="629"/>
      <c r="GQT24" s="629"/>
      <c r="GQU24" s="629"/>
      <c r="GQV24" s="629"/>
      <c r="GQW24" s="629"/>
      <c r="GQX24" s="629"/>
      <c r="GQY24" s="629"/>
      <c r="GQZ24" s="629"/>
      <c r="GRA24" s="629"/>
      <c r="GRB24" s="629"/>
      <c r="GRC24" s="629"/>
      <c r="GRD24" s="629"/>
      <c r="GRE24" s="629"/>
      <c r="GRF24" s="629"/>
      <c r="GRG24" s="629"/>
      <c r="GRH24" s="629"/>
      <c r="GRI24" s="629"/>
      <c r="GRJ24" s="629"/>
      <c r="GRK24" s="629"/>
      <c r="GRL24" s="629"/>
      <c r="GRM24" s="629"/>
      <c r="GRN24" s="629"/>
      <c r="GRO24" s="629"/>
      <c r="GRP24" s="629"/>
      <c r="GRQ24" s="629"/>
      <c r="GRR24" s="629"/>
      <c r="GRS24" s="629"/>
      <c r="GRT24" s="629"/>
      <c r="GRU24" s="629"/>
      <c r="GRV24" s="629"/>
      <c r="GRW24" s="629"/>
      <c r="GRX24" s="629"/>
      <c r="GRY24" s="629"/>
      <c r="GRZ24" s="629"/>
      <c r="GSA24" s="629"/>
      <c r="GSB24" s="629"/>
      <c r="GSC24" s="629"/>
      <c r="GSD24" s="629"/>
      <c r="GSE24" s="629"/>
      <c r="GSF24" s="629"/>
      <c r="GSG24" s="629"/>
      <c r="GSH24" s="629"/>
      <c r="GSI24" s="629"/>
      <c r="GSJ24" s="629"/>
      <c r="GSK24" s="629"/>
      <c r="GSL24" s="629"/>
      <c r="GSM24" s="629"/>
      <c r="GSN24" s="629"/>
      <c r="GSO24" s="629"/>
      <c r="GSP24" s="629"/>
      <c r="GSQ24" s="629"/>
      <c r="GSR24" s="629"/>
      <c r="GSS24" s="629"/>
      <c r="GST24" s="629"/>
      <c r="GSU24" s="629"/>
      <c r="GSV24" s="629"/>
      <c r="GSW24" s="629"/>
      <c r="GSX24" s="629"/>
      <c r="GSY24" s="629"/>
      <c r="GSZ24" s="629"/>
      <c r="GTA24" s="629"/>
      <c r="GTB24" s="629"/>
      <c r="GTC24" s="629"/>
      <c r="GTD24" s="629"/>
      <c r="GTE24" s="629"/>
      <c r="GTF24" s="629"/>
      <c r="GTG24" s="629"/>
      <c r="GTH24" s="629"/>
      <c r="GTI24" s="629"/>
      <c r="GTJ24" s="629"/>
      <c r="GTK24" s="629"/>
      <c r="GTL24" s="629"/>
      <c r="GTM24" s="629"/>
      <c r="GTN24" s="629"/>
      <c r="GTO24" s="629"/>
      <c r="GTP24" s="629"/>
      <c r="GTQ24" s="629"/>
      <c r="GTR24" s="629"/>
      <c r="GTS24" s="629"/>
      <c r="GTT24" s="629"/>
      <c r="GTU24" s="629"/>
      <c r="GTV24" s="629"/>
      <c r="GTW24" s="629"/>
      <c r="GTX24" s="629"/>
      <c r="GTY24" s="629"/>
      <c r="GTZ24" s="629"/>
      <c r="GUA24" s="629"/>
      <c r="GUB24" s="629"/>
      <c r="GUC24" s="629"/>
      <c r="GUD24" s="629"/>
      <c r="GUE24" s="629"/>
      <c r="GUF24" s="629"/>
      <c r="GUG24" s="629"/>
      <c r="GUH24" s="629"/>
      <c r="GUI24" s="629"/>
      <c r="GUJ24" s="629"/>
      <c r="GUK24" s="629"/>
      <c r="GUL24" s="629"/>
      <c r="GUM24" s="629"/>
      <c r="GUN24" s="629"/>
      <c r="GUO24" s="629"/>
      <c r="GUP24" s="629"/>
      <c r="GUQ24" s="629"/>
      <c r="GUR24" s="629"/>
      <c r="GUS24" s="629"/>
      <c r="GUT24" s="629"/>
      <c r="GUU24" s="629"/>
      <c r="GUV24" s="629"/>
      <c r="GUW24" s="629"/>
      <c r="GUX24" s="629"/>
      <c r="GUY24" s="629"/>
      <c r="GUZ24" s="629"/>
      <c r="GVA24" s="629"/>
      <c r="GVB24" s="629"/>
      <c r="GVC24" s="629"/>
      <c r="GVD24" s="629"/>
      <c r="GVE24" s="629"/>
      <c r="GVF24" s="629"/>
      <c r="GVG24" s="629"/>
      <c r="GVH24" s="629"/>
      <c r="GVI24" s="629"/>
      <c r="GVJ24" s="629"/>
      <c r="GVK24" s="629"/>
      <c r="GVL24" s="629"/>
      <c r="GVM24" s="629"/>
      <c r="GVN24" s="629"/>
      <c r="GVO24" s="629"/>
      <c r="GVP24" s="629"/>
      <c r="GVQ24" s="629"/>
      <c r="GVR24" s="629"/>
      <c r="GVS24" s="629"/>
      <c r="GVT24" s="629"/>
      <c r="GVU24" s="629"/>
      <c r="GVV24" s="629"/>
      <c r="GVW24" s="629"/>
      <c r="GVX24" s="629"/>
      <c r="GVY24" s="629"/>
      <c r="GVZ24" s="629"/>
      <c r="GWA24" s="629"/>
      <c r="GWB24" s="629"/>
      <c r="GWC24" s="629"/>
      <c r="GWD24" s="629"/>
      <c r="GWE24" s="629"/>
      <c r="GWF24" s="629"/>
      <c r="GWG24" s="629"/>
      <c r="GWH24" s="629"/>
      <c r="GWI24" s="629"/>
      <c r="GWJ24" s="629"/>
      <c r="GWK24" s="629"/>
      <c r="GWL24" s="629"/>
      <c r="GWM24" s="629"/>
      <c r="GWN24" s="629"/>
      <c r="GWO24" s="629"/>
      <c r="GWP24" s="629"/>
      <c r="GWQ24" s="629"/>
      <c r="GWR24" s="629"/>
      <c r="GWS24" s="629"/>
      <c r="GWT24" s="629"/>
      <c r="GWU24" s="629"/>
      <c r="GWV24" s="629"/>
      <c r="GWW24" s="629"/>
      <c r="GWX24" s="629"/>
      <c r="GWY24" s="629"/>
      <c r="GWZ24" s="629"/>
      <c r="GXA24" s="629"/>
      <c r="GXB24" s="629"/>
      <c r="GXC24" s="629"/>
      <c r="GXD24" s="629"/>
      <c r="GXE24" s="629"/>
      <c r="GXF24" s="629"/>
      <c r="GXG24" s="629"/>
      <c r="GXH24" s="629"/>
      <c r="GXI24" s="629"/>
      <c r="GXJ24" s="629"/>
      <c r="GXK24" s="629"/>
      <c r="GXL24" s="629"/>
      <c r="GXM24" s="629"/>
      <c r="GXN24" s="629"/>
      <c r="GXO24" s="629"/>
      <c r="GXP24" s="629"/>
      <c r="GXQ24" s="629"/>
      <c r="GXR24" s="629"/>
      <c r="GXS24" s="629"/>
      <c r="GXT24" s="629"/>
      <c r="GXU24" s="629"/>
      <c r="GXV24" s="629"/>
      <c r="GXW24" s="629"/>
      <c r="GXX24" s="629"/>
      <c r="GXY24" s="629"/>
      <c r="GXZ24" s="629"/>
      <c r="GYA24" s="629"/>
      <c r="GYB24" s="629"/>
      <c r="GYC24" s="629"/>
      <c r="GYD24" s="629"/>
      <c r="GYE24" s="629"/>
      <c r="GYF24" s="629"/>
      <c r="GYG24" s="629"/>
      <c r="GYH24" s="629"/>
      <c r="GYI24" s="629"/>
      <c r="GYJ24" s="629"/>
      <c r="GYK24" s="629"/>
      <c r="GYL24" s="629"/>
      <c r="GYM24" s="629"/>
      <c r="GYN24" s="629"/>
      <c r="GYO24" s="629"/>
      <c r="GYP24" s="629"/>
      <c r="GYQ24" s="629"/>
      <c r="GYR24" s="629"/>
      <c r="GYS24" s="629"/>
      <c r="GYT24" s="629"/>
      <c r="GYU24" s="629"/>
      <c r="GYV24" s="629"/>
      <c r="GYW24" s="629"/>
      <c r="GYX24" s="629"/>
      <c r="GYY24" s="629"/>
      <c r="GYZ24" s="629"/>
      <c r="GZA24" s="629"/>
      <c r="GZB24" s="629"/>
      <c r="GZC24" s="629"/>
      <c r="GZD24" s="629"/>
      <c r="GZE24" s="629"/>
      <c r="GZF24" s="629"/>
      <c r="GZG24" s="629"/>
      <c r="GZH24" s="629"/>
      <c r="GZI24" s="629"/>
      <c r="GZJ24" s="629"/>
      <c r="GZK24" s="629"/>
      <c r="GZL24" s="629"/>
      <c r="GZM24" s="629"/>
      <c r="GZN24" s="629"/>
      <c r="GZO24" s="629"/>
      <c r="GZP24" s="629"/>
      <c r="GZQ24" s="629"/>
      <c r="GZR24" s="629"/>
      <c r="GZS24" s="629"/>
      <c r="GZT24" s="629"/>
      <c r="GZU24" s="629"/>
      <c r="GZV24" s="629"/>
      <c r="GZW24" s="629"/>
      <c r="GZX24" s="629"/>
      <c r="GZY24" s="629"/>
      <c r="GZZ24" s="629"/>
      <c r="HAA24" s="629"/>
      <c r="HAB24" s="629"/>
      <c r="HAC24" s="629"/>
      <c r="HAD24" s="629"/>
      <c r="HAE24" s="629"/>
      <c r="HAF24" s="629"/>
      <c r="HAG24" s="629"/>
      <c r="HAH24" s="629"/>
      <c r="HAI24" s="629"/>
      <c r="HAJ24" s="629"/>
      <c r="HAK24" s="629"/>
      <c r="HAL24" s="629"/>
      <c r="HAM24" s="629"/>
      <c r="HAN24" s="629"/>
      <c r="HAO24" s="629"/>
      <c r="HAP24" s="629"/>
      <c r="HAQ24" s="629"/>
      <c r="HAR24" s="629"/>
      <c r="HAS24" s="629"/>
      <c r="HAT24" s="629"/>
      <c r="HAU24" s="629"/>
      <c r="HAV24" s="629"/>
      <c r="HAW24" s="629"/>
      <c r="HAX24" s="629"/>
      <c r="HAY24" s="629"/>
      <c r="HAZ24" s="629"/>
      <c r="HBA24" s="629"/>
      <c r="HBB24" s="629"/>
      <c r="HBC24" s="629"/>
      <c r="HBD24" s="629"/>
      <c r="HBE24" s="629"/>
      <c r="HBF24" s="629"/>
      <c r="HBG24" s="629"/>
      <c r="HBH24" s="629"/>
      <c r="HBI24" s="629"/>
      <c r="HBJ24" s="629"/>
      <c r="HBK24" s="629"/>
      <c r="HBL24" s="629"/>
      <c r="HBM24" s="629"/>
      <c r="HBN24" s="629"/>
      <c r="HBO24" s="629"/>
      <c r="HBP24" s="629"/>
      <c r="HBQ24" s="629"/>
      <c r="HBR24" s="629"/>
      <c r="HBS24" s="629"/>
      <c r="HBT24" s="629"/>
      <c r="HBU24" s="629"/>
      <c r="HBV24" s="629"/>
      <c r="HBW24" s="629"/>
      <c r="HBX24" s="629"/>
      <c r="HBY24" s="629"/>
      <c r="HBZ24" s="629"/>
      <c r="HCA24" s="629"/>
      <c r="HCB24" s="629"/>
      <c r="HCC24" s="629"/>
      <c r="HCD24" s="629"/>
      <c r="HCE24" s="629"/>
      <c r="HCF24" s="629"/>
      <c r="HCG24" s="629"/>
      <c r="HCH24" s="629"/>
      <c r="HCI24" s="629"/>
      <c r="HCJ24" s="629"/>
      <c r="HCK24" s="629"/>
      <c r="HCL24" s="629"/>
      <c r="HCM24" s="629"/>
      <c r="HCN24" s="629"/>
      <c r="HCO24" s="629"/>
      <c r="HCP24" s="629"/>
      <c r="HCQ24" s="629"/>
      <c r="HCR24" s="629"/>
      <c r="HCS24" s="629"/>
      <c r="HCT24" s="629"/>
      <c r="HCU24" s="629"/>
      <c r="HCV24" s="629"/>
      <c r="HCW24" s="629"/>
      <c r="HCX24" s="629"/>
      <c r="HCY24" s="629"/>
      <c r="HCZ24" s="629"/>
      <c r="HDA24" s="629"/>
      <c r="HDB24" s="629"/>
      <c r="HDC24" s="629"/>
      <c r="HDD24" s="629"/>
      <c r="HDE24" s="629"/>
      <c r="HDF24" s="629"/>
      <c r="HDG24" s="629"/>
      <c r="HDH24" s="629"/>
      <c r="HDI24" s="629"/>
      <c r="HDJ24" s="629"/>
      <c r="HDK24" s="629"/>
      <c r="HDL24" s="629"/>
      <c r="HDM24" s="629"/>
      <c r="HDN24" s="629"/>
      <c r="HDO24" s="629"/>
      <c r="HDP24" s="629"/>
      <c r="HDQ24" s="629"/>
      <c r="HDR24" s="629"/>
      <c r="HDS24" s="629"/>
      <c r="HDT24" s="629"/>
      <c r="HDU24" s="629"/>
      <c r="HDV24" s="629"/>
      <c r="HDW24" s="629"/>
      <c r="HDX24" s="629"/>
      <c r="HDY24" s="629"/>
      <c r="HDZ24" s="629"/>
      <c r="HEA24" s="629"/>
      <c r="HEB24" s="629"/>
      <c r="HEC24" s="629"/>
      <c r="HED24" s="629"/>
      <c r="HEE24" s="629"/>
      <c r="HEF24" s="629"/>
      <c r="HEG24" s="629"/>
      <c r="HEH24" s="629"/>
      <c r="HEI24" s="629"/>
      <c r="HEJ24" s="629"/>
      <c r="HEK24" s="629"/>
      <c r="HEL24" s="629"/>
      <c r="HEM24" s="629"/>
      <c r="HEN24" s="629"/>
      <c r="HEO24" s="629"/>
      <c r="HEP24" s="629"/>
      <c r="HEQ24" s="629"/>
      <c r="HER24" s="629"/>
      <c r="HES24" s="629"/>
      <c r="HET24" s="629"/>
      <c r="HEU24" s="629"/>
      <c r="HEV24" s="629"/>
      <c r="HEW24" s="629"/>
      <c r="HEX24" s="629"/>
      <c r="HEY24" s="629"/>
      <c r="HEZ24" s="629"/>
      <c r="HFA24" s="629"/>
      <c r="HFB24" s="629"/>
      <c r="HFC24" s="629"/>
      <c r="HFD24" s="629"/>
      <c r="HFE24" s="629"/>
      <c r="HFF24" s="629"/>
      <c r="HFG24" s="629"/>
      <c r="HFH24" s="629"/>
      <c r="HFI24" s="629"/>
      <c r="HFJ24" s="629"/>
      <c r="HFK24" s="629"/>
      <c r="HFL24" s="629"/>
      <c r="HFM24" s="629"/>
      <c r="HFN24" s="629"/>
      <c r="HFO24" s="629"/>
      <c r="HFP24" s="629"/>
      <c r="HFQ24" s="629"/>
      <c r="HFR24" s="629"/>
      <c r="HFS24" s="629"/>
      <c r="HFT24" s="629"/>
      <c r="HFU24" s="629"/>
      <c r="HFV24" s="629"/>
      <c r="HFW24" s="629"/>
      <c r="HFX24" s="629"/>
      <c r="HFY24" s="629"/>
      <c r="HFZ24" s="629"/>
      <c r="HGA24" s="629"/>
      <c r="HGB24" s="629"/>
      <c r="HGC24" s="629"/>
      <c r="HGD24" s="629"/>
      <c r="HGE24" s="629"/>
      <c r="HGF24" s="629"/>
      <c r="HGG24" s="629"/>
      <c r="HGH24" s="629"/>
      <c r="HGI24" s="629"/>
      <c r="HGJ24" s="629"/>
      <c r="HGK24" s="629"/>
      <c r="HGL24" s="629"/>
      <c r="HGM24" s="629"/>
      <c r="HGN24" s="629"/>
      <c r="HGO24" s="629"/>
      <c r="HGP24" s="629"/>
      <c r="HGQ24" s="629"/>
      <c r="HGR24" s="629"/>
      <c r="HGS24" s="629"/>
      <c r="HGT24" s="629"/>
      <c r="HGU24" s="629"/>
      <c r="HGV24" s="629"/>
      <c r="HGW24" s="629"/>
      <c r="HGX24" s="629"/>
      <c r="HGY24" s="629"/>
      <c r="HGZ24" s="629"/>
      <c r="HHA24" s="629"/>
      <c r="HHB24" s="629"/>
      <c r="HHC24" s="629"/>
      <c r="HHD24" s="629"/>
      <c r="HHE24" s="629"/>
      <c r="HHF24" s="629"/>
      <c r="HHG24" s="629"/>
      <c r="HHH24" s="629"/>
      <c r="HHI24" s="629"/>
      <c r="HHJ24" s="629"/>
      <c r="HHK24" s="629"/>
      <c r="HHL24" s="629"/>
      <c r="HHM24" s="629"/>
      <c r="HHN24" s="629"/>
      <c r="HHO24" s="629"/>
      <c r="HHP24" s="629"/>
      <c r="HHQ24" s="629"/>
      <c r="HHR24" s="629"/>
      <c r="HHS24" s="629"/>
      <c r="HHT24" s="629"/>
      <c r="HHU24" s="629"/>
      <c r="HHV24" s="629"/>
      <c r="HHW24" s="629"/>
      <c r="HHX24" s="629"/>
      <c r="HHY24" s="629"/>
      <c r="HHZ24" s="629"/>
      <c r="HIA24" s="629"/>
      <c r="HIB24" s="629"/>
      <c r="HIC24" s="629"/>
      <c r="HID24" s="629"/>
      <c r="HIE24" s="629"/>
      <c r="HIF24" s="629"/>
      <c r="HIG24" s="629"/>
      <c r="HIH24" s="629"/>
      <c r="HII24" s="629"/>
      <c r="HIJ24" s="629"/>
      <c r="HIK24" s="629"/>
      <c r="HIL24" s="629"/>
      <c r="HIM24" s="629"/>
      <c r="HIN24" s="629"/>
      <c r="HIO24" s="629"/>
      <c r="HIP24" s="629"/>
      <c r="HIQ24" s="629"/>
      <c r="HIR24" s="629"/>
      <c r="HIS24" s="629"/>
      <c r="HIT24" s="629"/>
      <c r="HIU24" s="629"/>
      <c r="HIV24" s="629"/>
      <c r="HIW24" s="629"/>
      <c r="HIX24" s="629"/>
      <c r="HIY24" s="629"/>
      <c r="HIZ24" s="629"/>
      <c r="HJA24" s="629"/>
      <c r="HJB24" s="629"/>
      <c r="HJC24" s="629"/>
      <c r="HJD24" s="629"/>
      <c r="HJE24" s="629"/>
      <c r="HJF24" s="629"/>
      <c r="HJG24" s="629"/>
      <c r="HJH24" s="629"/>
      <c r="HJI24" s="629"/>
      <c r="HJJ24" s="629"/>
      <c r="HJK24" s="629"/>
      <c r="HJL24" s="629"/>
      <c r="HJM24" s="629"/>
      <c r="HJN24" s="629"/>
      <c r="HJO24" s="629"/>
      <c r="HJP24" s="629"/>
      <c r="HJQ24" s="629"/>
      <c r="HJR24" s="629"/>
      <c r="HJS24" s="629"/>
      <c r="HJT24" s="629"/>
      <c r="HJU24" s="629"/>
      <c r="HJV24" s="629"/>
      <c r="HJW24" s="629"/>
      <c r="HJX24" s="629"/>
      <c r="HJY24" s="629"/>
      <c r="HJZ24" s="629"/>
      <c r="HKA24" s="629"/>
      <c r="HKB24" s="629"/>
      <c r="HKC24" s="629"/>
      <c r="HKD24" s="629"/>
      <c r="HKE24" s="629"/>
      <c r="HKF24" s="629"/>
      <c r="HKG24" s="629"/>
      <c r="HKH24" s="629"/>
      <c r="HKI24" s="629"/>
      <c r="HKJ24" s="629"/>
      <c r="HKK24" s="629"/>
      <c r="HKL24" s="629"/>
      <c r="HKM24" s="629"/>
      <c r="HKN24" s="629"/>
      <c r="HKO24" s="629"/>
      <c r="HKP24" s="629"/>
      <c r="HKQ24" s="629"/>
      <c r="HKR24" s="629"/>
      <c r="HKS24" s="629"/>
      <c r="HKT24" s="629"/>
      <c r="HKU24" s="629"/>
      <c r="HKV24" s="629"/>
      <c r="HKW24" s="629"/>
      <c r="HKX24" s="629"/>
      <c r="HKY24" s="629"/>
      <c r="HKZ24" s="629"/>
      <c r="HLA24" s="629"/>
      <c r="HLB24" s="629"/>
      <c r="HLC24" s="629"/>
      <c r="HLD24" s="629"/>
      <c r="HLE24" s="629"/>
      <c r="HLF24" s="629"/>
      <c r="HLG24" s="629"/>
      <c r="HLH24" s="629"/>
      <c r="HLI24" s="629"/>
      <c r="HLJ24" s="629"/>
      <c r="HLK24" s="629"/>
      <c r="HLL24" s="629"/>
      <c r="HLM24" s="629"/>
      <c r="HLN24" s="629"/>
      <c r="HLO24" s="629"/>
      <c r="HLP24" s="629"/>
      <c r="HLQ24" s="629"/>
      <c r="HLR24" s="629"/>
      <c r="HLS24" s="629"/>
      <c r="HLT24" s="629"/>
      <c r="HLU24" s="629"/>
      <c r="HLV24" s="629"/>
      <c r="HLW24" s="629"/>
      <c r="HLX24" s="629"/>
      <c r="HLY24" s="629"/>
      <c r="HLZ24" s="629"/>
      <c r="HMA24" s="629"/>
      <c r="HMB24" s="629"/>
      <c r="HMC24" s="629"/>
      <c r="HMD24" s="629"/>
      <c r="HME24" s="629"/>
      <c r="HMF24" s="629"/>
      <c r="HMG24" s="629"/>
      <c r="HMH24" s="629"/>
      <c r="HMI24" s="629"/>
      <c r="HMJ24" s="629"/>
      <c r="HMK24" s="629"/>
      <c r="HML24" s="629"/>
      <c r="HMM24" s="629"/>
      <c r="HMN24" s="629"/>
      <c r="HMO24" s="629"/>
      <c r="HMP24" s="629"/>
      <c r="HMQ24" s="629"/>
      <c r="HMR24" s="629"/>
      <c r="HMS24" s="629"/>
      <c r="HMT24" s="629"/>
      <c r="HMU24" s="629"/>
      <c r="HMV24" s="629"/>
      <c r="HMW24" s="629"/>
      <c r="HMX24" s="629"/>
      <c r="HMY24" s="629"/>
      <c r="HMZ24" s="629"/>
      <c r="HNA24" s="629"/>
      <c r="HNB24" s="629"/>
      <c r="HNC24" s="629"/>
      <c r="HND24" s="629"/>
      <c r="HNE24" s="629"/>
      <c r="HNF24" s="629"/>
      <c r="HNG24" s="629"/>
      <c r="HNH24" s="629"/>
      <c r="HNI24" s="629"/>
      <c r="HNJ24" s="629"/>
      <c r="HNK24" s="629"/>
      <c r="HNL24" s="629"/>
      <c r="HNM24" s="629"/>
      <c r="HNN24" s="629"/>
      <c r="HNO24" s="629"/>
      <c r="HNP24" s="629"/>
      <c r="HNQ24" s="629"/>
      <c r="HNR24" s="629"/>
      <c r="HNS24" s="629"/>
      <c r="HNT24" s="629"/>
      <c r="HNU24" s="629"/>
      <c r="HNV24" s="629"/>
      <c r="HNW24" s="629"/>
      <c r="HNX24" s="629"/>
      <c r="HNY24" s="629"/>
      <c r="HNZ24" s="629"/>
      <c r="HOA24" s="629"/>
      <c r="HOB24" s="629"/>
      <c r="HOC24" s="629"/>
      <c r="HOD24" s="629"/>
      <c r="HOE24" s="629"/>
      <c r="HOF24" s="629"/>
      <c r="HOG24" s="629"/>
      <c r="HOH24" s="629"/>
      <c r="HOI24" s="629"/>
      <c r="HOJ24" s="629"/>
      <c r="HOK24" s="629"/>
      <c r="HOL24" s="629"/>
      <c r="HOM24" s="629"/>
      <c r="HON24" s="629"/>
      <c r="HOO24" s="629"/>
      <c r="HOP24" s="629"/>
      <c r="HOQ24" s="629"/>
      <c r="HOR24" s="629"/>
      <c r="HOS24" s="629"/>
      <c r="HOT24" s="629"/>
      <c r="HOU24" s="629"/>
      <c r="HOV24" s="629"/>
      <c r="HOW24" s="629"/>
      <c r="HOX24" s="629"/>
      <c r="HOY24" s="629"/>
      <c r="HOZ24" s="629"/>
      <c r="HPA24" s="629"/>
      <c r="HPB24" s="629"/>
      <c r="HPC24" s="629"/>
      <c r="HPD24" s="629"/>
      <c r="HPE24" s="629"/>
      <c r="HPF24" s="629"/>
      <c r="HPG24" s="629"/>
      <c r="HPH24" s="629"/>
      <c r="HPI24" s="629"/>
      <c r="HPJ24" s="629"/>
      <c r="HPK24" s="629"/>
      <c r="HPL24" s="629"/>
      <c r="HPM24" s="629"/>
      <c r="HPN24" s="629"/>
      <c r="HPO24" s="629"/>
      <c r="HPP24" s="629"/>
      <c r="HPQ24" s="629"/>
      <c r="HPR24" s="629"/>
      <c r="HPS24" s="629"/>
      <c r="HPT24" s="629"/>
      <c r="HPU24" s="629"/>
      <c r="HPV24" s="629"/>
      <c r="HPW24" s="629"/>
      <c r="HPX24" s="629"/>
      <c r="HPY24" s="629"/>
      <c r="HPZ24" s="629"/>
      <c r="HQA24" s="629"/>
      <c r="HQB24" s="629"/>
      <c r="HQC24" s="629"/>
      <c r="HQD24" s="629"/>
      <c r="HQE24" s="629"/>
      <c r="HQF24" s="629"/>
      <c r="HQG24" s="629"/>
      <c r="HQH24" s="629"/>
      <c r="HQI24" s="629"/>
      <c r="HQJ24" s="629"/>
      <c r="HQK24" s="629"/>
      <c r="HQL24" s="629"/>
      <c r="HQM24" s="629"/>
      <c r="HQN24" s="629"/>
      <c r="HQO24" s="629"/>
      <c r="HQP24" s="629"/>
      <c r="HQQ24" s="629"/>
      <c r="HQR24" s="629"/>
      <c r="HQS24" s="629"/>
      <c r="HQT24" s="629"/>
      <c r="HQU24" s="629"/>
      <c r="HQV24" s="629"/>
      <c r="HQW24" s="629"/>
      <c r="HQX24" s="629"/>
      <c r="HQY24" s="629"/>
      <c r="HQZ24" s="629"/>
      <c r="HRA24" s="629"/>
      <c r="HRB24" s="629"/>
      <c r="HRC24" s="629"/>
      <c r="HRD24" s="629"/>
      <c r="HRE24" s="629"/>
      <c r="HRF24" s="629"/>
      <c r="HRG24" s="629"/>
      <c r="HRH24" s="629"/>
      <c r="HRI24" s="629"/>
      <c r="HRJ24" s="629"/>
      <c r="HRK24" s="629"/>
      <c r="HRL24" s="629"/>
      <c r="HRM24" s="629"/>
      <c r="HRN24" s="629"/>
      <c r="HRO24" s="629"/>
      <c r="HRP24" s="629"/>
      <c r="HRQ24" s="629"/>
      <c r="HRR24" s="629"/>
      <c r="HRS24" s="629"/>
      <c r="HRT24" s="629"/>
      <c r="HRU24" s="629"/>
      <c r="HRV24" s="629"/>
      <c r="HRW24" s="629"/>
      <c r="HRX24" s="629"/>
      <c r="HRY24" s="629"/>
      <c r="HRZ24" s="629"/>
      <c r="HSA24" s="629"/>
      <c r="HSB24" s="629"/>
      <c r="HSC24" s="629"/>
      <c r="HSD24" s="629"/>
      <c r="HSE24" s="629"/>
      <c r="HSF24" s="629"/>
      <c r="HSG24" s="629"/>
      <c r="HSH24" s="629"/>
      <c r="HSI24" s="629"/>
      <c r="HSJ24" s="629"/>
      <c r="HSK24" s="629"/>
      <c r="HSL24" s="629"/>
      <c r="HSM24" s="629"/>
      <c r="HSN24" s="629"/>
      <c r="HSO24" s="629"/>
      <c r="HSP24" s="629"/>
      <c r="HSQ24" s="629"/>
      <c r="HSR24" s="629"/>
      <c r="HSS24" s="629"/>
      <c r="HST24" s="629"/>
      <c r="HSU24" s="629"/>
      <c r="HSV24" s="629"/>
      <c r="HSW24" s="629"/>
      <c r="HSX24" s="629"/>
      <c r="HSY24" s="629"/>
      <c r="HSZ24" s="629"/>
      <c r="HTA24" s="629"/>
      <c r="HTB24" s="629"/>
      <c r="HTC24" s="629"/>
      <c r="HTD24" s="629"/>
      <c r="HTE24" s="629"/>
      <c r="HTF24" s="629"/>
      <c r="HTG24" s="629"/>
      <c r="HTH24" s="629"/>
      <c r="HTI24" s="629"/>
      <c r="HTJ24" s="629"/>
      <c r="HTK24" s="629"/>
      <c r="HTL24" s="629"/>
      <c r="HTM24" s="629"/>
      <c r="HTN24" s="629"/>
      <c r="HTO24" s="629"/>
      <c r="HTP24" s="629"/>
      <c r="HTQ24" s="629"/>
      <c r="HTR24" s="629"/>
      <c r="HTS24" s="629"/>
      <c r="HTT24" s="629"/>
      <c r="HTU24" s="629"/>
      <c r="HTV24" s="629"/>
      <c r="HTW24" s="629"/>
      <c r="HTX24" s="629"/>
      <c r="HTY24" s="629"/>
      <c r="HTZ24" s="629"/>
      <c r="HUA24" s="629"/>
      <c r="HUB24" s="629"/>
      <c r="HUC24" s="629"/>
      <c r="HUD24" s="629"/>
      <c r="HUE24" s="629"/>
      <c r="HUF24" s="629"/>
      <c r="HUG24" s="629"/>
      <c r="HUH24" s="629"/>
      <c r="HUI24" s="629"/>
      <c r="HUJ24" s="629"/>
      <c r="HUK24" s="629"/>
      <c r="HUL24" s="629"/>
      <c r="HUM24" s="629"/>
      <c r="HUN24" s="629"/>
      <c r="HUO24" s="629"/>
      <c r="HUP24" s="629"/>
      <c r="HUQ24" s="629"/>
      <c r="HUR24" s="629"/>
      <c r="HUS24" s="629"/>
      <c r="HUT24" s="629"/>
      <c r="HUU24" s="629"/>
      <c r="HUV24" s="629"/>
      <c r="HUW24" s="629"/>
      <c r="HUX24" s="629"/>
      <c r="HUY24" s="629"/>
      <c r="HUZ24" s="629"/>
      <c r="HVA24" s="629"/>
      <c r="HVB24" s="629"/>
      <c r="HVC24" s="629"/>
      <c r="HVD24" s="629"/>
      <c r="HVE24" s="629"/>
      <c r="HVF24" s="629"/>
      <c r="HVG24" s="629"/>
      <c r="HVH24" s="629"/>
      <c r="HVI24" s="629"/>
      <c r="HVJ24" s="629"/>
      <c r="HVK24" s="629"/>
      <c r="HVL24" s="629"/>
      <c r="HVM24" s="629"/>
      <c r="HVN24" s="629"/>
      <c r="HVO24" s="629"/>
      <c r="HVP24" s="629"/>
      <c r="HVQ24" s="629"/>
      <c r="HVR24" s="629"/>
      <c r="HVS24" s="629"/>
      <c r="HVT24" s="629"/>
      <c r="HVU24" s="629"/>
      <c r="HVV24" s="629"/>
      <c r="HVW24" s="629"/>
      <c r="HVX24" s="629"/>
      <c r="HVY24" s="629"/>
      <c r="HVZ24" s="629"/>
      <c r="HWA24" s="629"/>
      <c r="HWB24" s="629"/>
      <c r="HWC24" s="629"/>
      <c r="HWD24" s="629"/>
      <c r="HWE24" s="629"/>
      <c r="HWF24" s="629"/>
      <c r="HWG24" s="629"/>
      <c r="HWH24" s="629"/>
      <c r="HWI24" s="629"/>
      <c r="HWJ24" s="629"/>
      <c r="HWK24" s="629"/>
      <c r="HWL24" s="629"/>
      <c r="HWM24" s="629"/>
      <c r="HWN24" s="629"/>
      <c r="HWO24" s="629"/>
      <c r="HWP24" s="629"/>
      <c r="HWQ24" s="629"/>
      <c r="HWR24" s="629"/>
      <c r="HWS24" s="629"/>
      <c r="HWT24" s="629"/>
      <c r="HWU24" s="629"/>
      <c r="HWV24" s="629"/>
      <c r="HWW24" s="629"/>
      <c r="HWX24" s="629"/>
      <c r="HWY24" s="629"/>
      <c r="HWZ24" s="629"/>
      <c r="HXA24" s="629"/>
      <c r="HXB24" s="629"/>
      <c r="HXC24" s="629"/>
      <c r="HXD24" s="629"/>
      <c r="HXE24" s="629"/>
      <c r="HXF24" s="629"/>
      <c r="HXG24" s="629"/>
      <c r="HXH24" s="629"/>
      <c r="HXI24" s="629"/>
      <c r="HXJ24" s="629"/>
      <c r="HXK24" s="629"/>
      <c r="HXL24" s="629"/>
      <c r="HXM24" s="629"/>
      <c r="HXN24" s="629"/>
      <c r="HXO24" s="629"/>
      <c r="HXP24" s="629"/>
      <c r="HXQ24" s="629"/>
      <c r="HXR24" s="629"/>
      <c r="HXS24" s="629"/>
      <c r="HXT24" s="629"/>
      <c r="HXU24" s="629"/>
      <c r="HXV24" s="629"/>
      <c r="HXW24" s="629"/>
      <c r="HXX24" s="629"/>
      <c r="HXY24" s="629"/>
      <c r="HXZ24" s="629"/>
      <c r="HYA24" s="629"/>
      <c r="HYB24" s="629"/>
      <c r="HYC24" s="629"/>
      <c r="HYD24" s="629"/>
      <c r="HYE24" s="629"/>
      <c r="HYF24" s="629"/>
      <c r="HYG24" s="629"/>
      <c r="HYH24" s="629"/>
      <c r="HYI24" s="629"/>
      <c r="HYJ24" s="629"/>
      <c r="HYK24" s="629"/>
      <c r="HYL24" s="629"/>
      <c r="HYM24" s="629"/>
      <c r="HYN24" s="629"/>
      <c r="HYO24" s="629"/>
      <c r="HYP24" s="629"/>
      <c r="HYQ24" s="629"/>
      <c r="HYR24" s="629"/>
      <c r="HYS24" s="629"/>
      <c r="HYT24" s="629"/>
      <c r="HYU24" s="629"/>
      <c r="HYV24" s="629"/>
      <c r="HYW24" s="629"/>
      <c r="HYX24" s="629"/>
      <c r="HYY24" s="629"/>
      <c r="HYZ24" s="629"/>
      <c r="HZA24" s="629"/>
      <c r="HZB24" s="629"/>
      <c r="HZC24" s="629"/>
      <c r="HZD24" s="629"/>
      <c r="HZE24" s="629"/>
      <c r="HZF24" s="629"/>
      <c r="HZG24" s="629"/>
      <c r="HZH24" s="629"/>
      <c r="HZI24" s="629"/>
      <c r="HZJ24" s="629"/>
      <c r="HZK24" s="629"/>
      <c r="HZL24" s="629"/>
      <c r="HZM24" s="629"/>
      <c r="HZN24" s="629"/>
      <c r="HZO24" s="629"/>
      <c r="HZP24" s="629"/>
      <c r="HZQ24" s="629"/>
      <c r="HZR24" s="629"/>
      <c r="HZS24" s="629"/>
      <c r="HZT24" s="629"/>
      <c r="HZU24" s="629"/>
      <c r="HZV24" s="629"/>
      <c r="HZW24" s="629"/>
      <c r="HZX24" s="629"/>
      <c r="HZY24" s="629"/>
      <c r="HZZ24" s="629"/>
      <c r="IAA24" s="629"/>
      <c r="IAB24" s="629"/>
      <c r="IAC24" s="629"/>
      <c r="IAD24" s="629"/>
      <c r="IAE24" s="629"/>
      <c r="IAF24" s="629"/>
      <c r="IAG24" s="629"/>
      <c r="IAH24" s="629"/>
      <c r="IAI24" s="629"/>
      <c r="IAJ24" s="629"/>
      <c r="IAK24" s="629"/>
      <c r="IAL24" s="629"/>
      <c r="IAM24" s="629"/>
      <c r="IAN24" s="629"/>
      <c r="IAO24" s="629"/>
      <c r="IAP24" s="629"/>
      <c r="IAQ24" s="629"/>
      <c r="IAR24" s="629"/>
      <c r="IAS24" s="629"/>
      <c r="IAT24" s="629"/>
      <c r="IAU24" s="629"/>
      <c r="IAV24" s="629"/>
      <c r="IAW24" s="629"/>
      <c r="IAX24" s="629"/>
      <c r="IAY24" s="629"/>
      <c r="IAZ24" s="629"/>
      <c r="IBA24" s="629"/>
      <c r="IBB24" s="629"/>
      <c r="IBC24" s="629"/>
      <c r="IBD24" s="629"/>
      <c r="IBE24" s="629"/>
      <c r="IBF24" s="629"/>
      <c r="IBG24" s="629"/>
      <c r="IBH24" s="629"/>
      <c r="IBI24" s="629"/>
      <c r="IBJ24" s="629"/>
      <c r="IBK24" s="629"/>
      <c r="IBL24" s="629"/>
      <c r="IBM24" s="629"/>
      <c r="IBN24" s="629"/>
      <c r="IBO24" s="629"/>
      <c r="IBP24" s="629"/>
      <c r="IBQ24" s="629"/>
      <c r="IBR24" s="629"/>
      <c r="IBS24" s="629"/>
      <c r="IBT24" s="629"/>
      <c r="IBU24" s="629"/>
      <c r="IBV24" s="629"/>
      <c r="IBW24" s="629"/>
      <c r="IBX24" s="629"/>
      <c r="IBY24" s="629"/>
      <c r="IBZ24" s="629"/>
      <c r="ICA24" s="629"/>
      <c r="ICB24" s="629"/>
      <c r="ICC24" s="629"/>
      <c r="ICD24" s="629"/>
      <c r="ICE24" s="629"/>
      <c r="ICF24" s="629"/>
      <c r="ICG24" s="629"/>
      <c r="ICH24" s="629"/>
      <c r="ICI24" s="629"/>
      <c r="ICJ24" s="629"/>
      <c r="ICK24" s="629"/>
      <c r="ICL24" s="629"/>
      <c r="ICM24" s="629"/>
      <c r="ICN24" s="629"/>
      <c r="ICO24" s="629"/>
      <c r="ICP24" s="629"/>
      <c r="ICQ24" s="629"/>
      <c r="ICR24" s="629"/>
      <c r="ICS24" s="629"/>
      <c r="ICT24" s="629"/>
      <c r="ICU24" s="629"/>
      <c r="ICV24" s="629"/>
      <c r="ICW24" s="629"/>
      <c r="ICX24" s="629"/>
      <c r="ICY24" s="629"/>
      <c r="ICZ24" s="629"/>
      <c r="IDA24" s="629"/>
      <c r="IDB24" s="629"/>
      <c r="IDC24" s="629"/>
      <c r="IDD24" s="629"/>
      <c r="IDE24" s="629"/>
      <c r="IDF24" s="629"/>
      <c r="IDG24" s="629"/>
      <c r="IDH24" s="629"/>
      <c r="IDI24" s="629"/>
      <c r="IDJ24" s="629"/>
      <c r="IDK24" s="629"/>
      <c r="IDL24" s="629"/>
      <c r="IDM24" s="629"/>
      <c r="IDN24" s="629"/>
      <c r="IDO24" s="629"/>
      <c r="IDP24" s="629"/>
      <c r="IDQ24" s="629"/>
      <c r="IDR24" s="629"/>
      <c r="IDS24" s="629"/>
      <c r="IDT24" s="629"/>
      <c r="IDU24" s="629"/>
      <c r="IDV24" s="629"/>
      <c r="IDW24" s="629"/>
      <c r="IDX24" s="629"/>
      <c r="IDY24" s="629"/>
      <c r="IDZ24" s="629"/>
      <c r="IEA24" s="629"/>
      <c r="IEB24" s="629"/>
      <c r="IEC24" s="629"/>
      <c r="IED24" s="629"/>
      <c r="IEE24" s="629"/>
      <c r="IEF24" s="629"/>
      <c r="IEG24" s="629"/>
      <c r="IEH24" s="629"/>
      <c r="IEI24" s="629"/>
      <c r="IEJ24" s="629"/>
      <c r="IEK24" s="629"/>
      <c r="IEL24" s="629"/>
      <c r="IEM24" s="629"/>
      <c r="IEN24" s="629"/>
      <c r="IEO24" s="629"/>
      <c r="IEP24" s="629"/>
      <c r="IEQ24" s="629"/>
      <c r="IER24" s="629"/>
      <c r="IES24" s="629"/>
      <c r="IET24" s="629"/>
      <c r="IEU24" s="629"/>
      <c r="IEV24" s="629"/>
      <c r="IEW24" s="629"/>
      <c r="IEX24" s="629"/>
      <c r="IEY24" s="629"/>
      <c r="IEZ24" s="629"/>
      <c r="IFA24" s="629"/>
      <c r="IFB24" s="629"/>
      <c r="IFC24" s="629"/>
      <c r="IFD24" s="629"/>
      <c r="IFE24" s="629"/>
      <c r="IFF24" s="629"/>
      <c r="IFG24" s="629"/>
      <c r="IFH24" s="629"/>
      <c r="IFI24" s="629"/>
      <c r="IFJ24" s="629"/>
      <c r="IFK24" s="629"/>
      <c r="IFL24" s="629"/>
      <c r="IFM24" s="629"/>
      <c r="IFN24" s="629"/>
      <c r="IFO24" s="629"/>
      <c r="IFP24" s="629"/>
      <c r="IFQ24" s="629"/>
      <c r="IFR24" s="629"/>
      <c r="IFS24" s="629"/>
      <c r="IFT24" s="629"/>
      <c r="IFU24" s="629"/>
      <c r="IFV24" s="629"/>
      <c r="IFW24" s="629"/>
      <c r="IFX24" s="629"/>
      <c r="IFY24" s="629"/>
      <c r="IFZ24" s="629"/>
      <c r="IGA24" s="629"/>
      <c r="IGB24" s="629"/>
      <c r="IGC24" s="629"/>
      <c r="IGD24" s="629"/>
      <c r="IGE24" s="629"/>
      <c r="IGF24" s="629"/>
      <c r="IGG24" s="629"/>
      <c r="IGH24" s="629"/>
      <c r="IGI24" s="629"/>
      <c r="IGJ24" s="629"/>
      <c r="IGK24" s="629"/>
      <c r="IGL24" s="629"/>
      <c r="IGM24" s="629"/>
      <c r="IGN24" s="629"/>
      <c r="IGO24" s="629"/>
      <c r="IGP24" s="629"/>
      <c r="IGQ24" s="629"/>
      <c r="IGR24" s="629"/>
      <c r="IGS24" s="629"/>
      <c r="IGT24" s="629"/>
      <c r="IGU24" s="629"/>
      <c r="IGV24" s="629"/>
      <c r="IGW24" s="629"/>
      <c r="IGX24" s="629"/>
      <c r="IGY24" s="629"/>
      <c r="IGZ24" s="629"/>
      <c r="IHA24" s="629"/>
      <c r="IHB24" s="629"/>
      <c r="IHC24" s="629"/>
      <c r="IHD24" s="629"/>
      <c r="IHE24" s="629"/>
      <c r="IHF24" s="629"/>
      <c r="IHG24" s="629"/>
      <c r="IHH24" s="629"/>
      <c r="IHI24" s="629"/>
      <c r="IHJ24" s="629"/>
      <c r="IHK24" s="629"/>
      <c r="IHL24" s="629"/>
      <c r="IHM24" s="629"/>
      <c r="IHN24" s="629"/>
      <c r="IHO24" s="629"/>
      <c r="IHP24" s="629"/>
      <c r="IHQ24" s="629"/>
      <c r="IHR24" s="629"/>
      <c r="IHS24" s="629"/>
      <c r="IHT24" s="629"/>
      <c r="IHU24" s="629"/>
      <c r="IHV24" s="629"/>
      <c r="IHW24" s="629"/>
      <c r="IHX24" s="629"/>
      <c r="IHY24" s="629"/>
      <c r="IHZ24" s="629"/>
      <c r="IIA24" s="629"/>
      <c r="IIB24" s="629"/>
      <c r="IIC24" s="629"/>
      <c r="IID24" s="629"/>
      <c r="IIE24" s="629"/>
      <c r="IIF24" s="629"/>
      <c r="IIG24" s="629"/>
      <c r="IIH24" s="629"/>
      <c r="III24" s="629"/>
      <c r="IIJ24" s="629"/>
      <c r="IIK24" s="629"/>
      <c r="IIL24" s="629"/>
      <c r="IIM24" s="629"/>
      <c r="IIN24" s="629"/>
      <c r="IIO24" s="629"/>
      <c r="IIP24" s="629"/>
      <c r="IIQ24" s="629"/>
      <c r="IIR24" s="629"/>
      <c r="IIS24" s="629"/>
      <c r="IIT24" s="629"/>
      <c r="IIU24" s="629"/>
      <c r="IIV24" s="629"/>
      <c r="IIW24" s="629"/>
      <c r="IIX24" s="629"/>
      <c r="IIY24" s="629"/>
      <c r="IIZ24" s="629"/>
      <c r="IJA24" s="629"/>
      <c r="IJB24" s="629"/>
      <c r="IJC24" s="629"/>
      <c r="IJD24" s="629"/>
      <c r="IJE24" s="629"/>
      <c r="IJF24" s="629"/>
      <c r="IJG24" s="629"/>
      <c r="IJH24" s="629"/>
      <c r="IJI24" s="629"/>
      <c r="IJJ24" s="629"/>
      <c r="IJK24" s="629"/>
      <c r="IJL24" s="629"/>
      <c r="IJM24" s="629"/>
      <c r="IJN24" s="629"/>
      <c r="IJO24" s="629"/>
      <c r="IJP24" s="629"/>
      <c r="IJQ24" s="629"/>
      <c r="IJR24" s="629"/>
      <c r="IJS24" s="629"/>
      <c r="IJT24" s="629"/>
      <c r="IJU24" s="629"/>
      <c r="IJV24" s="629"/>
      <c r="IJW24" s="629"/>
      <c r="IJX24" s="629"/>
      <c r="IJY24" s="629"/>
      <c r="IJZ24" s="629"/>
      <c r="IKA24" s="629"/>
      <c r="IKB24" s="629"/>
      <c r="IKC24" s="629"/>
      <c r="IKD24" s="629"/>
      <c r="IKE24" s="629"/>
      <c r="IKF24" s="629"/>
      <c r="IKG24" s="629"/>
      <c r="IKH24" s="629"/>
      <c r="IKI24" s="629"/>
      <c r="IKJ24" s="629"/>
      <c r="IKK24" s="629"/>
      <c r="IKL24" s="629"/>
      <c r="IKM24" s="629"/>
      <c r="IKN24" s="629"/>
      <c r="IKO24" s="629"/>
      <c r="IKP24" s="629"/>
      <c r="IKQ24" s="629"/>
      <c r="IKR24" s="629"/>
      <c r="IKS24" s="629"/>
      <c r="IKT24" s="629"/>
      <c r="IKU24" s="629"/>
      <c r="IKV24" s="629"/>
      <c r="IKW24" s="629"/>
      <c r="IKX24" s="629"/>
      <c r="IKY24" s="629"/>
      <c r="IKZ24" s="629"/>
      <c r="ILA24" s="629"/>
      <c r="ILB24" s="629"/>
      <c r="ILC24" s="629"/>
      <c r="ILD24" s="629"/>
      <c r="ILE24" s="629"/>
      <c r="ILF24" s="629"/>
      <c r="ILG24" s="629"/>
      <c r="ILH24" s="629"/>
      <c r="ILI24" s="629"/>
      <c r="ILJ24" s="629"/>
      <c r="ILK24" s="629"/>
      <c r="ILL24" s="629"/>
      <c r="ILM24" s="629"/>
      <c r="ILN24" s="629"/>
      <c r="ILO24" s="629"/>
      <c r="ILP24" s="629"/>
      <c r="ILQ24" s="629"/>
      <c r="ILR24" s="629"/>
      <c r="ILS24" s="629"/>
      <c r="ILT24" s="629"/>
      <c r="ILU24" s="629"/>
      <c r="ILV24" s="629"/>
      <c r="ILW24" s="629"/>
      <c r="ILX24" s="629"/>
      <c r="ILY24" s="629"/>
      <c r="ILZ24" s="629"/>
      <c r="IMA24" s="629"/>
      <c r="IMB24" s="629"/>
      <c r="IMC24" s="629"/>
      <c r="IMD24" s="629"/>
      <c r="IME24" s="629"/>
      <c r="IMF24" s="629"/>
      <c r="IMG24" s="629"/>
      <c r="IMH24" s="629"/>
      <c r="IMI24" s="629"/>
      <c r="IMJ24" s="629"/>
      <c r="IMK24" s="629"/>
      <c r="IML24" s="629"/>
      <c r="IMM24" s="629"/>
      <c r="IMN24" s="629"/>
      <c r="IMO24" s="629"/>
      <c r="IMP24" s="629"/>
      <c r="IMQ24" s="629"/>
      <c r="IMR24" s="629"/>
      <c r="IMS24" s="629"/>
      <c r="IMT24" s="629"/>
      <c r="IMU24" s="629"/>
      <c r="IMV24" s="629"/>
      <c r="IMW24" s="629"/>
      <c r="IMX24" s="629"/>
      <c r="IMY24" s="629"/>
      <c r="IMZ24" s="629"/>
      <c r="INA24" s="629"/>
      <c r="INB24" s="629"/>
      <c r="INC24" s="629"/>
      <c r="IND24" s="629"/>
      <c r="INE24" s="629"/>
      <c r="INF24" s="629"/>
      <c r="ING24" s="629"/>
      <c r="INH24" s="629"/>
      <c r="INI24" s="629"/>
      <c r="INJ24" s="629"/>
      <c r="INK24" s="629"/>
      <c r="INL24" s="629"/>
      <c r="INM24" s="629"/>
      <c r="INN24" s="629"/>
      <c r="INO24" s="629"/>
      <c r="INP24" s="629"/>
      <c r="INQ24" s="629"/>
      <c r="INR24" s="629"/>
      <c r="INS24" s="629"/>
      <c r="INT24" s="629"/>
      <c r="INU24" s="629"/>
      <c r="INV24" s="629"/>
      <c r="INW24" s="629"/>
      <c r="INX24" s="629"/>
      <c r="INY24" s="629"/>
      <c r="INZ24" s="629"/>
      <c r="IOA24" s="629"/>
      <c r="IOB24" s="629"/>
      <c r="IOC24" s="629"/>
      <c r="IOD24" s="629"/>
      <c r="IOE24" s="629"/>
      <c r="IOF24" s="629"/>
      <c r="IOG24" s="629"/>
      <c r="IOH24" s="629"/>
      <c r="IOI24" s="629"/>
      <c r="IOJ24" s="629"/>
      <c r="IOK24" s="629"/>
      <c r="IOL24" s="629"/>
      <c r="IOM24" s="629"/>
      <c r="ION24" s="629"/>
      <c r="IOO24" s="629"/>
      <c r="IOP24" s="629"/>
      <c r="IOQ24" s="629"/>
      <c r="IOR24" s="629"/>
      <c r="IOS24" s="629"/>
      <c r="IOT24" s="629"/>
      <c r="IOU24" s="629"/>
      <c r="IOV24" s="629"/>
      <c r="IOW24" s="629"/>
      <c r="IOX24" s="629"/>
      <c r="IOY24" s="629"/>
      <c r="IOZ24" s="629"/>
      <c r="IPA24" s="629"/>
      <c r="IPB24" s="629"/>
      <c r="IPC24" s="629"/>
      <c r="IPD24" s="629"/>
      <c r="IPE24" s="629"/>
      <c r="IPF24" s="629"/>
      <c r="IPG24" s="629"/>
      <c r="IPH24" s="629"/>
      <c r="IPI24" s="629"/>
      <c r="IPJ24" s="629"/>
      <c r="IPK24" s="629"/>
      <c r="IPL24" s="629"/>
      <c r="IPM24" s="629"/>
      <c r="IPN24" s="629"/>
      <c r="IPO24" s="629"/>
      <c r="IPP24" s="629"/>
      <c r="IPQ24" s="629"/>
      <c r="IPR24" s="629"/>
      <c r="IPS24" s="629"/>
      <c r="IPT24" s="629"/>
      <c r="IPU24" s="629"/>
      <c r="IPV24" s="629"/>
      <c r="IPW24" s="629"/>
      <c r="IPX24" s="629"/>
      <c r="IPY24" s="629"/>
      <c r="IPZ24" s="629"/>
      <c r="IQA24" s="629"/>
      <c r="IQB24" s="629"/>
      <c r="IQC24" s="629"/>
      <c r="IQD24" s="629"/>
      <c r="IQE24" s="629"/>
      <c r="IQF24" s="629"/>
      <c r="IQG24" s="629"/>
      <c r="IQH24" s="629"/>
      <c r="IQI24" s="629"/>
      <c r="IQJ24" s="629"/>
      <c r="IQK24" s="629"/>
      <c r="IQL24" s="629"/>
      <c r="IQM24" s="629"/>
      <c r="IQN24" s="629"/>
      <c r="IQO24" s="629"/>
      <c r="IQP24" s="629"/>
      <c r="IQQ24" s="629"/>
      <c r="IQR24" s="629"/>
      <c r="IQS24" s="629"/>
      <c r="IQT24" s="629"/>
      <c r="IQU24" s="629"/>
      <c r="IQV24" s="629"/>
      <c r="IQW24" s="629"/>
      <c r="IQX24" s="629"/>
      <c r="IQY24" s="629"/>
      <c r="IQZ24" s="629"/>
      <c r="IRA24" s="629"/>
      <c r="IRB24" s="629"/>
      <c r="IRC24" s="629"/>
      <c r="IRD24" s="629"/>
      <c r="IRE24" s="629"/>
      <c r="IRF24" s="629"/>
      <c r="IRG24" s="629"/>
      <c r="IRH24" s="629"/>
      <c r="IRI24" s="629"/>
      <c r="IRJ24" s="629"/>
      <c r="IRK24" s="629"/>
      <c r="IRL24" s="629"/>
      <c r="IRM24" s="629"/>
      <c r="IRN24" s="629"/>
      <c r="IRO24" s="629"/>
      <c r="IRP24" s="629"/>
      <c r="IRQ24" s="629"/>
      <c r="IRR24" s="629"/>
      <c r="IRS24" s="629"/>
      <c r="IRT24" s="629"/>
      <c r="IRU24" s="629"/>
      <c r="IRV24" s="629"/>
      <c r="IRW24" s="629"/>
      <c r="IRX24" s="629"/>
      <c r="IRY24" s="629"/>
      <c r="IRZ24" s="629"/>
      <c r="ISA24" s="629"/>
      <c r="ISB24" s="629"/>
      <c r="ISC24" s="629"/>
      <c r="ISD24" s="629"/>
      <c r="ISE24" s="629"/>
      <c r="ISF24" s="629"/>
      <c r="ISG24" s="629"/>
      <c r="ISH24" s="629"/>
      <c r="ISI24" s="629"/>
      <c r="ISJ24" s="629"/>
      <c r="ISK24" s="629"/>
      <c r="ISL24" s="629"/>
      <c r="ISM24" s="629"/>
      <c r="ISN24" s="629"/>
      <c r="ISO24" s="629"/>
      <c r="ISP24" s="629"/>
      <c r="ISQ24" s="629"/>
      <c r="ISR24" s="629"/>
      <c r="ISS24" s="629"/>
      <c r="IST24" s="629"/>
      <c r="ISU24" s="629"/>
      <c r="ISV24" s="629"/>
      <c r="ISW24" s="629"/>
      <c r="ISX24" s="629"/>
      <c r="ISY24" s="629"/>
      <c r="ISZ24" s="629"/>
      <c r="ITA24" s="629"/>
      <c r="ITB24" s="629"/>
      <c r="ITC24" s="629"/>
      <c r="ITD24" s="629"/>
      <c r="ITE24" s="629"/>
      <c r="ITF24" s="629"/>
      <c r="ITG24" s="629"/>
      <c r="ITH24" s="629"/>
      <c r="ITI24" s="629"/>
      <c r="ITJ24" s="629"/>
      <c r="ITK24" s="629"/>
      <c r="ITL24" s="629"/>
      <c r="ITM24" s="629"/>
      <c r="ITN24" s="629"/>
      <c r="ITO24" s="629"/>
      <c r="ITP24" s="629"/>
      <c r="ITQ24" s="629"/>
      <c r="ITR24" s="629"/>
      <c r="ITS24" s="629"/>
      <c r="ITT24" s="629"/>
      <c r="ITU24" s="629"/>
      <c r="ITV24" s="629"/>
      <c r="ITW24" s="629"/>
      <c r="ITX24" s="629"/>
      <c r="ITY24" s="629"/>
      <c r="ITZ24" s="629"/>
      <c r="IUA24" s="629"/>
      <c r="IUB24" s="629"/>
      <c r="IUC24" s="629"/>
      <c r="IUD24" s="629"/>
      <c r="IUE24" s="629"/>
      <c r="IUF24" s="629"/>
      <c r="IUG24" s="629"/>
      <c r="IUH24" s="629"/>
      <c r="IUI24" s="629"/>
      <c r="IUJ24" s="629"/>
      <c r="IUK24" s="629"/>
      <c r="IUL24" s="629"/>
      <c r="IUM24" s="629"/>
      <c r="IUN24" s="629"/>
      <c r="IUO24" s="629"/>
      <c r="IUP24" s="629"/>
      <c r="IUQ24" s="629"/>
      <c r="IUR24" s="629"/>
      <c r="IUS24" s="629"/>
      <c r="IUT24" s="629"/>
      <c r="IUU24" s="629"/>
      <c r="IUV24" s="629"/>
      <c r="IUW24" s="629"/>
      <c r="IUX24" s="629"/>
      <c r="IUY24" s="629"/>
      <c r="IUZ24" s="629"/>
      <c r="IVA24" s="629"/>
      <c r="IVB24" s="629"/>
      <c r="IVC24" s="629"/>
      <c r="IVD24" s="629"/>
      <c r="IVE24" s="629"/>
      <c r="IVF24" s="629"/>
      <c r="IVG24" s="629"/>
      <c r="IVH24" s="629"/>
      <c r="IVI24" s="629"/>
      <c r="IVJ24" s="629"/>
      <c r="IVK24" s="629"/>
      <c r="IVL24" s="629"/>
      <c r="IVM24" s="629"/>
      <c r="IVN24" s="629"/>
      <c r="IVO24" s="629"/>
      <c r="IVP24" s="629"/>
      <c r="IVQ24" s="629"/>
      <c r="IVR24" s="629"/>
      <c r="IVS24" s="629"/>
      <c r="IVT24" s="629"/>
      <c r="IVU24" s="629"/>
      <c r="IVV24" s="629"/>
      <c r="IVW24" s="629"/>
      <c r="IVX24" s="629"/>
      <c r="IVY24" s="629"/>
      <c r="IVZ24" s="629"/>
      <c r="IWA24" s="629"/>
      <c r="IWB24" s="629"/>
      <c r="IWC24" s="629"/>
      <c r="IWD24" s="629"/>
      <c r="IWE24" s="629"/>
      <c r="IWF24" s="629"/>
      <c r="IWG24" s="629"/>
      <c r="IWH24" s="629"/>
      <c r="IWI24" s="629"/>
      <c r="IWJ24" s="629"/>
      <c r="IWK24" s="629"/>
      <c r="IWL24" s="629"/>
      <c r="IWM24" s="629"/>
      <c r="IWN24" s="629"/>
      <c r="IWO24" s="629"/>
      <c r="IWP24" s="629"/>
      <c r="IWQ24" s="629"/>
      <c r="IWR24" s="629"/>
      <c r="IWS24" s="629"/>
      <c r="IWT24" s="629"/>
      <c r="IWU24" s="629"/>
      <c r="IWV24" s="629"/>
      <c r="IWW24" s="629"/>
      <c r="IWX24" s="629"/>
      <c r="IWY24" s="629"/>
      <c r="IWZ24" s="629"/>
      <c r="IXA24" s="629"/>
      <c r="IXB24" s="629"/>
      <c r="IXC24" s="629"/>
      <c r="IXD24" s="629"/>
      <c r="IXE24" s="629"/>
      <c r="IXF24" s="629"/>
      <c r="IXG24" s="629"/>
      <c r="IXH24" s="629"/>
      <c r="IXI24" s="629"/>
      <c r="IXJ24" s="629"/>
      <c r="IXK24" s="629"/>
      <c r="IXL24" s="629"/>
      <c r="IXM24" s="629"/>
      <c r="IXN24" s="629"/>
      <c r="IXO24" s="629"/>
      <c r="IXP24" s="629"/>
      <c r="IXQ24" s="629"/>
      <c r="IXR24" s="629"/>
      <c r="IXS24" s="629"/>
      <c r="IXT24" s="629"/>
      <c r="IXU24" s="629"/>
      <c r="IXV24" s="629"/>
      <c r="IXW24" s="629"/>
      <c r="IXX24" s="629"/>
      <c r="IXY24" s="629"/>
      <c r="IXZ24" s="629"/>
      <c r="IYA24" s="629"/>
      <c r="IYB24" s="629"/>
      <c r="IYC24" s="629"/>
      <c r="IYD24" s="629"/>
      <c r="IYE24" s="629"/>
      <c r="IYF24" s="629"/>
      <c r="IYG24" s="629"/>
      <c r="IYH24" s="629"/>
      <c r="IYI24" s="629"/>
      <c r="IYJ24" s="629"/>
      <c r="IYK24" s="629"/>
      <c r="IYL24" s="629"/>
      <c r="IYM24" s="629"/>
      <c r="IYN24" s="629"/>
      <c r="IYO24" s="629"/>
      <c r="IYP24" s="629"/>
      <c r="IYQ24" s="629"/>
      <c r="IYR24" s="629"/>
      <c r="IYS24" s="629"/>
      <c r="IYT24" s="629"/>
      <c r="IYU24" s="629"/>
      <c r="IYV24" s="629"/>
      <c r="IYW24" s="629"/>
      <c r="IYX24" s="629"/>
      <c r="IYY24" s="629"/>
      <c r="IYZ24" s="629"/>
      <c r="IZA24" s="629"/>
      <c r="IZB24" s="629"/>
      <c r="IZC24" s="629"/>
      <c r="IZD24" s="629"/>
      <c r="IZE24" s="629"/>
      <c r="IZF24" s="629"/>
      <c r="IZG24" s="629"/>
      <c r="IZH24" s="629"/>
      <c r="IZI24" s="629"/>
      <c r="IZJ24" s="629"/>
      <c r="IZK24" s="629"/>
      <c r="IZL24" s="629"/>
      <c r="IZM24" s="629"/>
      <c r="IZN24" s="629"/>
      <c r="IZO24" s="629"/>
      <c r="IZP24" s="629"/>
      <c r="IZQ24" s="629"/>
      <c r="IZR24" s="629"/>
      <c r="IZS24" s="629"/>
      <c r="IZT24" s="629"/>
      <c r="IZU24" s="629"/>
      <c r="IZV24" s="629"/>
      <c r="IZW24" s="629"/>
      <c r="IZX24" s="629"/>
      <c r="IZY24" s="629"/>
      <c r="IZZ24" s="629"/>
      <c r="JAA24" s="629"/>
      <c r="JAB24" s="629"/>
      <c r="JAC24" s="629"/>
      <c r="JAD24" s="629"/>
      <c r="JAE24" s="629"/>
      <c r="JAF24" s="629"/>
      <c r="JAG24" s="629"/>
      <c r="JAH24" s="629"/>
      <c r="JAI24" s="629"/>
      <c r="JAJ24" s="629"/>
      <c r="JAK24" s="629"/>
      <c r="JAL24" s="629"/>
      <c r="JAM24" s="629"/>
      <c r="JAN24" s="629"/>
      <c r="JAO24" s="629"/>
      <c r="JAP24" s="629"/>
      <c r="JAQ24" s="629"/>
      <c r="JAR24" s="629"/>
      <c r="JAS24" s="629"/>
      <c r="JAT24" s="629"/>
      <c r="JAU24" s="629"/>
      <c r="JAV24" s="629"/>
      <c r="JAW24" s="629"/>
      <c r="JAX24" s="629"/>
      <c r="JAY24" s="629"/>
      <c r="JAZ24" s="629"/>
      <c r="JBA24" s="629"/>
      <c r="JBB24" s="629"/>
      <c r="JBC24" s="629"/>
      <c r="JBD24" s="629"/>
      <c r="JBE24" s="629"/>
      <c r="JBF24" s="629"/>
      <c r="JBG24" s="629"/>
      <c r="JBH24" s="629"/>
      <c r="JBI24" s="629"/>
      <c r="JBJ24" s="629"/>
      <c r="JBK24" s="629"/>
      <c r="JBL24" s="629"/>
      <c r="JBM24" s="629"/>
      <c r="JBN24" s="629"/>
      <c r="JBO24" s="629"/>
      <c r="JBP24" s="629"/>
      <c r="JBQ24" s="629"/>
      <c r="JBR24" s="629"/>
      <c r="JBS24" s="629"/>
      <c r="JBT24" s="629"/>
      <c r="JBU24" s="629"/>
      <c r="JBV24" s="629"/>
      <c r="JBW24" s="629"/>
      <c r="JBX24" s="629"/>
      <c r="JBY24" s="629"/>
      <c r="JBZ24" s="629"/>
      <c r="JCA24" s="629"/>
      <c r="JCB24" s="629"/>
      <c r="JCC24" s="629"/>
      <c r="JCD24" s="629"/>
      <c r="JCE24" s="629"/>
      <c r="JCF24" s="629"/>
      <c r="JCG24" s="629"/>
      <c r="JCH24" s="629"/>
      <c r="JCI24" s="629"/>
      <c r="JCJ24" s="629"/>
      <c r="JCK24" s="629"/>
      <c r="JCL24" s="629"/>
      <c r="JCM24" s="629"/>
      <c r="JCN24" s="629"/>
      <c r="JCO24" s="629"/>
      <c r="JCP24" s="629"/>
      <c r="JCQ24" s="629"/>
      <c r="JCR24" s="629"/>
      <c r="JCS24" s="629"/>
      <c r="JCT24" s="629"/>
      <c r="JCU24" s="629"/>
      <c r="JCV24" s="629"/>
      <c r="JCW24" s="629"/>
      <c r="JCX24" s="629"/>
      <c r="JCY24" s="629"/>
      <c r="JCZ24" s="629"/>
      <c r="JDA24" s="629"/>
      <c r="JDB24" s="629"/>
      <c r="JDC24" s="629"/>
      <c r="JDD24" s="629"/>
      <c r="JDE24" s="629"/>
      <c r="JDF24" s="629"/>
      <c r="JDG24" s="629"/>
      <c r="JDH24" s="629"/>
      <c r="JDI24" s="629"/>
      <c r="JDJ24" s="629"/>
      <c r="JDK24" s="629"/>
      <c r="JDL24" s="629"/>
      <c r="JDM24" s="629"/>
      <c r="JDN24" s="629"/>
      <c r="JDO24" s="629"/>
      <c r="JDP24" s="629"/>
      <c r="JDQ24" s="629"/>
      <c r="JDR24" s="629"/>
      <c r="JDS24" s="629"/>
      <c r="JDT24" s="629"/>
      <c r="JDU24" s="629"/>
      <c r="JDV24" s="629"/>
      <c r="JDW24" s="629"/>
      <c r="JDX24" s="629"/>
      <c r="JDY24" s="629"/>
      <c r="JDZ24" s="629"/>
      <c r="JEA24" s="629"/>
      <c r="JEB24" s="629"/>
      <c r="JEC24" s="629"/>
      <c r="JED24" s="629"/>
      <c r="JEE24" s="629"/>
      <c r="JEF24" s="629"/>
      <c r="JEG24" s="629"/>
      <c r="JEH24" s="629"/>
      <c r="JEI24" s="629"/>
      <c r="JEJ24" s="629"/>
      <c r="JEK24" s="629"/>
      <c r="JEL24" s="629"/>
      <c r="JEM24" s="629"/>
      <c r="JEN24" s="629"/>
      <c r="JEO24" s="629"/>
      <c r="JEP24" s="629"/>
      <c r="JEQ24" s="629"/>
      <c r="JER24" s="629"/>
      <c r="JES24" s="629"/>
      <c r="JET24" s="629"/>
      <c r="JEU24" s="629"/>
      <c r="JEV24" s="629"/>
      <c r="JEW24" s="629"/>
      <c r="JEX24" s="629"/>
      <c r="JEY24" s="629"/>
      <c r="JEZ24" s="629"/>
      <c r="JFA24" s="629"/>
      <c r="JFB24" s="629"/>
      <c r="JFC24" s="629"/>
      <c r="JFD24" s="629"/>
      <c r="JFE24" s="629"/>
      <c r="JFF24" s="629"/>
      <c r="JFG24" s="629"/>
      <c r="JFH24" s="629"/>
      <c r="JFI24" s="629"/>
      <c r="JFJ24" s="629"/>
      <c r="JFK24" s="629"/>
      <c r="JFL24" s="629"/>
      <c r="JFM24" s="629"/>
      <c r="JFN24" s="629"/>
      <c r="JFO24" s="629"/>
      <c r="JFP24" s="629"/>
      <c r="JFQ24" s="629"/>
      <c r="JFR24" s="629"/>
      <c r="JFS24" s="629"/>
      <c r="JFT24" s="629"/>
      <c r="JFU24" s="629"/>
      <c r="JFV24" s="629"/>
      <c r="JFW24" s="629"/>
      <c r="JFX24" s="629"/>
      <c r="JFY24" s="629"/>
      <c r="JFZ24" s="629"/>
      <c r="JGA24" s="629"/>
      <c r="JGB24" s="629"/>
      <c r="JGC24" s="629"/>
      <c r="JGD24" s="629"/>
      <c r="JGE24" s="629"/>
      <c r="JGF24" s="629"/>
      <c r="JGG24" s="629"/>
      <c r="JGH24" s="629"/>
      <c r="JGI24" s="629"/>
      <c r="JGJ24" s="629"/>
      <c r="JGK24" s="629"/>
      <c r="JGL24" s="629"/>
      <c r="JGM24" s="629"/>
      <c r="JGN24" s="629"/>
      <c r="JGO24" s="629"/>
      <c r="JGP24" s="629"/>
      <c r="JGQ24" s="629"/>
      <c r="JGR24" s="629"/>
      <c r="JGS24" s="629"/>
      <c r="JGT24" s="629"/>
      <c r="JGU24" s="629"/>
      <c r="JGV24" s="629"/>
      <c r="JGW24" s="629"/>
      <c r="JGX24" s="629"/>
      <c r="JGY24" s="629"/>
      <c r="JGZ24" s="629"/>
      <c r="JHA24" s="629"/>
      <c r="JHB24" s="629"/>
      <c r="JHC24" s="629"/>
      <c r="JHD24" s="629"/>
      <c r="JHE24" s="629"/>
      <c r="JHF24" s="629"/>
      <c r="JHG24" s="629"/>
      <c r="JHH24" s="629"/>
      <c r="JHI24" s="629"/>
      <c r="JHJ24" s="629"/>
      <c r="JHK24" s="629"/>
      <c r="JHL24" s="629"/>
      <c r="JHM24" s="629"/>
      <c r="JHN24" s="629"/>
      <c r="JHO24" s="629"/>
      <c r="JHP24" s="629"/>
      <c r="JHQ24" s="629"/>
      <c r="JHR24" s="629"/>
      <c r="JHS24" s="629"/>
      <c r="JHT24" s="629"/>
      <c r="JHU24" s="629"/>
      <c r="JHV24" s="629"/>
      <c r="JHW24" s="629"/>
      <c r="JHX24" s="629"/>
      <c r="JHY24" s="629"/>
      <c r="JHZ24" s="629"/>
      <c r="JIA24" s="629"/>
      <c r="JIB24" s="629"/>
      <c r="JIC24" s="629"/>
      <c r="JID24" s="629"/>
      <c r="JIE24" s="629"/>
      <c r="JIF24" s="629"/>
      <c r="JIG24" s="629"/>
      <c r="JIH24" s="629"/>
      <c r="JII24" s="629"/>
      <c r="JIJ24" s="629"/>
      <c r="JIK24" s="629"/>
      <c r="JIL24" s="629"/>
      <c r="JIM24" s="629"/>
      <c r="JIN24" s="629"/>
      <c r="JIO24" s="629"/>
      <c r="JIP24" s="629"/>
      <c r="JIQ24" s="629"/>
      <c r="JIR24" s="629"/>
      <c r="JIS24" s="629"/>
      <c r="JIT24" s="629"/>
      <c r="JIU24" s="629"/>
      <c r="JIV24" s="629"/>
      <c r="JIW24" s="629"/>
      <c r="JIX24" s="629"/>
      <c r="JIY24" s="629"/>
      <c r="JIZ24" s="629"/>
      <c r="JJA24" s="629"/>
      <c r="JJB24" s="629"/>
      <c r="JJC24" s="629"/>
      <c r="JJD24" s="629"/>
      <c r="JJE24" s="629"/>
      <c r="JJF24" s="629"/>
      <c r="JJG24" s="629"/>
      <c r="JJH24" s="629"/>
      <c r="JJI24" s="629"/>
      <c r="JJJ24" s="629"/>
      <c r="JJK24" s="629"/>
      <c r="JJL24" s="629"/>
      <c r="JJM24" s="629"/>
      <c r="JJN24" s="629"/>
      <c r="JJO24" s="629"/>
      <c r="JJP24" s="629"/>
      <c r="JJQ24" s="629"/>
      <c r="JJR24" s="629"/>
      <c r="JJS24" s="629"/>
      <c r="JJT24" s="629"/>
      <c r="JJU24" s="629"/>
      <c r="JJV24" s="629"/>
      <c r="JJW24" s="629"/>
      <c r="JJX24" s="629"/>
      <c r="JJY24" s="629"/>
      <c r="JJZ24" s="629"/>
      <c r="JKA24" s="629"/>
      <c r="JKB24" s="629"/>
      <c r="JKC24" s="629"/>
      <c r="JKD24" s="629"/>
      <c r="JKE24" s="629"/>
      <c r="JKF24" s="629"/>
      <c r="JKG24" s="629"/>
      <c r="JKH24" s="629"/>
      <c r="JKI24" s="629"/>
      <c r="JKJ24" s="629"/>
      <c r="JKK24" s="629"/>
      <c r="JKL24" s="629"/>
      <c r="JKM24" s="629"/>
      <c r="JKN24" s="629"/>
      <c r="JKO24" s="629"/>
      <c r="JKP24" s="629"/>
      <c r="JKQ24" s="629"/>
      <c r="JKR24" s="629"/>
      <c r="JKS24" s="629"/>
      <c r="JKT24" s="629"/>
      <c r="JKU24" s="629"/>
      <c r="JKV24" s="629"/>
      <c r="JKW24" s="629"/>
      <c r="JKX24" s="629"/>
      <c r="JKY24" s="629"/>
      <c r="JKZ24" s="629"/>
      <c r="JLA24" s="629"/>
      <c r="JLB24" s="629"/>
      <c r="JLC24" s="629"/>
      <c r="JLD24" s="629"/>
      <c r="JLE24" s="629"/>
      <c r="JLF24" s="629"/>
      <c r="JLG24" s="629"/>
      <c r="JLH24" s="629"/>
      <c r="JLI24" s="629"/>
      <c r="JLJ24" s="629"/>
      <c r="JLK24" s="629"/>
      <c r="JLL24" s="629"/>
      <c r="JLM24" s="629"/>
      <c r="JLN24" s="629"/>
      <c r="JLO24" s="629"/>
      <c r="JLP24" s="629"/>
      <c r="JLQ24" s="629"/>
      <c r="JLR24" s="629"/>
      <c r="JLS24" s="629"/>
      <c r="JLT24" s="629"/>
      <c r="JLU24" s="629"/>
      <c r="JLV24" s="629"/>
      <c r="JLW24" s="629"/>
      <c r="JLX24" s="629"/>
      <c r="JLY24" s="629"/>
      <c r="JLZ24" s="629"/>
      <c r="JMA24" s="629"/>
      <c r="JMB24" s="629"/>
      <c r="JMC24" s="629"/>
      <c r="JMD24" s="629"/>
      <c r="JME24" s="629"/>
      <c r="JMF24" s="629"/>
      <c r="JMG24" s="629"/>
      <c r="JMH24" s="629"/>
      <c r="JMI24" s="629"/>
      <c r="JMJ24" s="629"/>
      <c r="JMK24" s="629"/>
      <c r="JML24" s="629"/>
      <c r="JMM24" s="629"/>
      <c r="JMN24" s="629"/>
      <c r="JMO24" s="629"/>
      <c r="JMP24" s="629"/>
      <c r="JMQ24" s="629"/>
      <c r="JMR24" s="629"/>
      <c r="JMS24" s="629"/>
      <c r="JMT24" s="629"/>
      <c r="JMU24" s="629"/>
      <c r="JMV24" s="629"/>
      <c r="JMW24" s="629"/>
      <c r="JMX24" s="629"/>
      <c r="JMY24" s="629"/>
      <c r="JMZ24" s="629"/>
      <c r="JNA24" s="629"/>
      <c r="JNB24" s="629"/>
      <c r="JNC24" s="629"/>
      <c r="JND24" s="629"/>
      <c r="JNE24" s="629"/>
      <c r="JNF24" s="629"/>
      <c r="JNG24" s="629"/>
      <c r="JNH24" s="629"/>
      <c r="JNI24" s="629"/>
      <c r="JNJ24" s="629"/>
      <c r="JNK24" s="629"/>
      <c r="JNL24" s="629"/>
      <c r="JNM24" s="629"/>
      <c r="JNN24" s="629"/>
      <c r="JNO24" s="629"/>
      <c r="JNP24" s="629"/>
      <c r="JNQ24" s="629"/>
      <c r="JNR24" s="629"/>
      <c r="JNS24" s="629"/>
      <c r="JNT24" s="629"/>
      <c r="JNU24" s="629"/>
      <c r="JNV24" s="629"/>
      <c r="JNW24" s="629"/>
      <c r="JNX24" s="629"/>
      <c r="JNY24" s="629"/>
      <c r="JNZ24" s="629"/>
      <c r="JOA24" s="629"/>
      <c r="JOB24" s="629"/>
      <c r="JOC24" s="629"/>
      <c r="JOD24" s="629"/>
      <c r="JOE24" s="629"/>
      <c r="JOF24" s="629"/>
      <c r="JOG24" s="629"/>
      <c r="JOH24" s="629"/>
      <c r="JOI24" s="629"/>
      <c r="JOJ24" s="629"/>
      <c r="JOK24" s="629"/>
      <c r="JOL24" s="629"/>
      <c r="JOM24" s="629"/>
      <c r="JON24" s="629"/>
      <c r="JOO24" s="629"/>
      <c r="JOP24" s="629"/>
      <c r="JOQ24" s="629"/>
      <c r="JOR24" s="629"/>
      <c r="JOS24" s="629"/>
      <c r="JOT24" s="629"/>
      <c r="JOU24" s="629"/>
      <c r="JOV24" s="629"/>
      <c r="JOW24" s="629"/>
      <c r="JOX24" s="629"/>
      <c r="JOY24" s="629"/>
      <c r="JOZ24" s="629"/>
      <c r="JPA24" s="629"/>
      <c r="JPB24" s="629"/>
      <c r="JPC24" s="629"/>
      <c r="JPD24" s="629"/>
      <c r="JPE24" s="629"/>
      <c r="JPF24" s="629"/>
      <c r="JPG24" s="629"/>
      <c r="JPH24" s="629"/>
      <c r="JPI24" s="629"/>
      <c r="JPJ24" s="629"/>
      <c r="JPK24" s="629"/>
      <c r="JPL24" s="629"/>
      <c r="JPM24" s="629"/>
      <c r="JPN24" s="629"/>
      <c r="JPO24" s="629"/>
      <c r="JPP24" s="629"/>
      <c r="JPQ24" s="629"/>
      <c r="JPR24" s="629"/>
      <c r="JPS24" s="629"/>
      <c r="JPT24" s="629"/>
      <c r="JPU24" s="629"/>
      <c r="JPV24" s="629"/>
      <c r="JPW24" s="629"/>
      <c r="JPX24" s="629"/>
      <c r="JPY24" s="629"/>
      <c r="JPZ24" s="629"/>
      <c r="JQA24" s="629"/>
      <c r="JQB24" s="629"/>
      <c r="JQC24" s="629"/>
      <c r="JQD24" s="629"/>
      <c r="JQE24" s="629"/>
      <c r="JQF24" s="629"/>
      <c r="JQG24" s="629"/>
      <c r="JQH24" s="629"/>
      <c r="JQI24" s="629"/>
      <c r="JQJ24" s="629"/>
      <c r="JQK24" s="629"/>
      <c r="JQL24" s="629"/>
      <c r="JQM24" s="629"/>
      <c r="JQN24" s="629"/>
      <c r="JQO24" s="629"/>
      <c r="JQP24" s="629"/>
      <c r="JQQ24" s="629"/>
      <c r="JQR24" s="629"/>
      <c r="JQS24" s="629"/>
      <c r="JQT24" s="629"/>
      <c r="JQU24" s="629"/>
      <c r="JQV24" s="629"/>
      <c r="JQW24" s="629"/>
      <c r="JQX24" s="629"/>
      <c r="JQY24" s="629"/>
      <c r="JQZ24" s="629"/>
      <c r="JRA24" s="629"/>
      <c r="JRB24" s="629"/>
      <c r="JRC24" s="629"/>
      <c r="JRD24" s="629"/>
      <c r="JRE24" s="629"/>
      <c r="JRF24" s="629"/>
      <c r="JRG24" s="629"/>
      <c r="JRH24" s="629"/>
      <c r="JRI24" s="629"/>
      <c r="JRJ24" s="629"/>
      <c r="JRK24" s="629"/>
      <c r="JRL24" s="629"/>
      <c r="JRM24" s="629"/>
      <c r="JRN24" s="629"/>
      <c r="JRO24" s="629"/>
      <c r="JRP24" s="629"/>
      <c r="JRQ24" s="629"/>
      <c r="JRR24" s="629"/>
      <c r="JRS24" s="629"/>
      <c r="JRT24" s="629"/>
      <c r="JRU24" s="629"/>
      <c r="JRV24" s="629"/>
      <c r="JRW24" s="629"/>
      <c r="JRX24" s="629"/>
      <c r="JRY24" s="629"/>
      <c r="JRZ24" s="629"/>
      <c r="JSA24" s="629"/>
      <c r="JSB24" s="629"/>
      <c r="JSC24" s="629"/>
      <c r="JSD24" s="629"/>
      <c r="JSE24" s="629"/>
      <c r="JSF24" s="629"/>
      <c r="JSG24" s="629"/>
      <c r="JSH24" s="629"/>
      <c r="JSI24" s="629"/>
      <c r="JSJ24" s="629"/>
      <c r="JSK24" s="629"/>
      <c r="JSL24" s="629"/>
      <c r="JSM24" s="629"/>
      <c r="JSN24" s="629"/>
      <c r="JSO24" s="629"/>
      <c r="JSP24" s="629"/>
      <c r="JSQ24" s="629"/>
      <c r="JSR24" s="629"/>
      <c r="JSS24" s="629"/>
      <c r="JST24" s="629"/>
      <c r="JSU24" s="629"/>
      <c r="JSV24" s="629"/>
      <c r="JSW24" s="629"/>
      <c r="JSX24" s="629"/>
      <c r="JSY24" s="629"/>
      <c r="JSZ24" s="629"/>
      <c r="JTA24" s="629"/>
      <c r="JTB24" s="629"/>
      <c r="JTC24" s="629"/>
      <c r="JTD24" s="629"/>
      <c r="JTE24" s="629"/>
      <c r="JTF24" s="629"/>
      <c r="JTG24" s="629"/>
      <c r="JTH24" s="629"/>
      <c r="JTI24" s="629"/>
      <c r="JTJ24" s="629"/>
      <c r="JTK24" s="629"/>
      <c r="JTL24" s="629"/>
      <c r="JTM24" s="629"/>
      <c r="JTN24" s="629"/>
      <c r="JTO24" s="629"/>
      <c r="JTP24" s="629"/>
      <c r="JTQ24" s="629"/>
      <c r="JTR24" s="629"/>
      <c r="JTS24" s="629"/>
      <c r="JTT24" s="629"/>
      <c r="JTU24" s="629"/>
      <c r="JTV24" s="629"/>
      <c r="JTW24" s="629"/>
      <c r="JTX24" s="629"/>
      <c r="JTY24" s="629"/>
      <c r="JTZ24" s="629"/>
      <c r="JUA24" s="629"/>
      <c r="JUB24" s="629"/>
      <c r="JUC24" s="629"/>
      <c r="JUD24" s="629"/>
      <c r="JUE24" s="629"/>
      <c r="JUF24" s="629"/>
      <c r="JUG24" s="629"/>
      <c r="JUH24" s="629"/>
      <c r="JUI24" s="629"/>
      <c r="JUJ24" s="629"/>
      <c r="JUK24" s="629"/>
      <c r="JUL24" s="629"/>
      <c r="JUM24" s="629"/>
      <c r="JUN24" s="629"/>
      <c r="JUO24" s="629"/>
      <c r="JUP24" s="629"/>
      <c r="JUQ24" s="629"/>
      <c r="JUR24" s="629"/>
      <c r="JUS24" s="629"/>
      <c r="JUT24" s="629"/>
      <c r="JUU24" s="629"/>
      <c r="JUV24" s="629"/>
      <c r="JUW24" s="629"/>
      <c r="JUX24" s="629"/>
      <c r="JUY24" s="629"/>
      <c r="JUZ24" s="629"/>
      <c r="JVA24" s="629"/>
      <c r="JVB24" s="629"/>
      <c r="JVC24" s="629"/>
      <c r="JVD24" s="629"/>
      <c r="JVE24" s="629"/>
      <c r="JVF24" s="629"/>
      <c r="JVG24" s="629"/>
      <c r="JVH24" s="629"/>
      <c r="JVI24" s="629"/>
      <c r="JVJ24" s="629"/>
      <c r="JVK24" s="629"/>
      <c r="JVL24" s="629"/>
      <c r="JVM24" s="629"/>
      <c r="JVN24" s="629"/>
      <c r="JVO24" s="629"/>
      <c r="JVP24" s="629"/>
      <c r="JVQ24" s="629"/>
      <c r="JVR24" s="629"/>
      <c r="JVS24" s="629"/>
      <c r="JVT24" s="629"/>
      <c r="JVU24" s="629"/>
      <c r="JVV24" s="629"/>
      <c r="JVW24" s="629"/>
      <c r="JVX24" s="629"/>
      <c r="JVY24" s="629"/>
      <c r="JVZ24" s="629"/>
      <c r="JWA24" s="629"/>
      <c r="JWB24" s="629"/>
      <c r="JWC24" s="629"/>
      <c r="JWD24" s="629"/>
      <c r="JWE24" s="629"/>
      <c r="JWF24" s="629"/>
      <c r="JWG24" s="629"/>
      <c r="JWH24" s="629"/>
      <c r="JWI24" s="629"/>
      <c r="JWJ24" s="629"/>
      <c r="JWK24" s="629"/>
      <c r="JWL24" s="629"/>
      <c r="JWM24" s="629"/>
      <c r="JWN24" s="629"/>
      <c r="JWO24" s="629"/>
      <c r="JWP24" s="629"/>
      <c r="JWQ24" s="629"/>
      <c r="JWR24" s="629"/>
      <c r="JWS24" s="629"/>
      <c r="JWT24" s="629"/>
      <c r="JWU24" s="629"/>
      <c r="JWV24" s="629"/>
      <c r="JWW24" s="629"/>
      <c r="JWX24" s="629"/>
      <c r="JWY24" s="629"/>
      <c r="JWZ24" s="629"/>
      <c r="JXA24" s="629"/>
      <c r="JXB24" s="629"/>
      <c r="JXC24" s="629"/>
      <c r="JXD24" s="629"/>
      <c r="JXE24" s="629"/>
      <c r="JXF24" s="629"/>
      <c r="JXG24" s="629"/>
      <c r="JXH24" s="629"/>
      <c r="JXI24" s="629"/>
      <c r="JXJ24" s="629"/>
      <c r="JXK24" s="629"/>
      <c r="JXL24" s="629"/>
      <c r="JXM24" s="629"/>
      <c r="JXN24" s="629"/>
      <c r="JXO24" s="629"/>
      <c r="JXP24" s="629"/>
      <c r="JXQ24" s="629"/>
      <c r="JXR24" s="629"/>
      <c r="JXS24" s="629"/>
      <c r="JXT24" s="629"/>
      <c r="JXU24" s="629"/>
      <c r="JXV24" s="629"/>
      <c r="JXW24" s="629"/>
      <c r="JXX24" s="629"/>
      <c r="JXY24" s="629"/>
      <c r="JXZ24" s="629"/>
      <c r="JYA24" s="629"/>
      <c r="JYB24" s="629"/>
      <c r="JYC24" s="629"/>
      <c r="JYD24" s="629"/>
      <c r="JYE24" s="629"/>
      <c r="JYF24" s="629"/>
      <c r="JYG24" s="629"/>
      <c r="JYH24" s="629"/>
      <c r="JYI24" s="629"/>
      <c r="JYJ24" s="629"/>
      <c r="JYK24" s="629"/>
      <c r="JYL24" s="629"/>
      <c r="JYM24" s="629"/>
      <c r="JYN24" s="629"/>
      <c r="JYO24" s="629"/>
      <c r="JYP24" s="629"/>
      <c r="JYQ24" s="629"/>
      <c r="JYR24" s="629"/>
      <c r="JYS24" s="629"/>
      <c r="JYT24" s="629"/>
      <c r="JYU24" s="629"/>
      <c r="JYV24" s="629"/>
      <c r="JYW24" s="629"/>
      <c r="JYX24" s="629"/>
      <c r="JYY24" s="629"/>
      <c r="JYZ24" s="629"/>
      <c r="JZA24" s="629"/>
      <c r="JZB24" s="629"/>
      <c r="JZC24" s="629"/>
      <c r="JZD24" s="629"/>
      <c r="JZE24" s="629"/>
      <c r="JZF24" s="629"/>
      <c r="JZG24" s="629"/>
      <c r="JZH24" s="629"/>
      <c r="JZI24" s="629"/>
      <c r="JZJ24" s="629"/>
      <c r="JZK24" s="629"/>
      <c r="JZL24" s="629"/>
      <c r="JZM24" s="629"/>
      <c r="JZN24" s="629"/>
      <c r="JZO24" s="629"/>
      <c r="JZP24" s="629"/>
      <c r="JZQ24" s="629"/>
      <c r="JZR24" s="629"/>
      <c r="JZS24" s="629"/>
      <c r="JZT24" s="629"/>
      <c r="JZU24" s="629"/>
      <c r="JZV24" s="629"/>
      <c r="JZW24" s="629"/>
      <c r="JZX24" s="629"/>
      <c r="JZY24" s="629"/>
      <c r="JZZ24" s="629"/>
      <c r="KAA24" s="629"/>
      <c r="KAB24" s="629"/>
      <c r="KAC24" s="629"/>
      <c r="KAD24" s="629"/>
      <c r="KAE24" s="629"/>
      <c r="KAF24" s="629"/>
      <c r="KAG24" s="629"/>
      <c r="KAH24" s="629"/>
      <c r="KAI24" s="629"/>
      <c r="KAJ24" s="629"/>
      <c r="KAK24" s="629"/>
      <c r="KAL24" s="629"/>
      <c r="KAM24" s="629"/>
      <c r="KAN24" s="629"/>
      <c r="KAO24" s="629"/>
      <c r="KAP24" s="629"/>
      <c r="KAQ24" s="629"/>
      <c r="KAR24" s="629"/>
      <c r="KAS24" s="629"/>
      <c r="KAT24" s="629"/>
      <c r="KAU24" s="629"/>
      <c r="KAV24" s="629"/>
      <c r="KAW24" s="629"/>
      <c r="KAX24" s="629"/>
      <c r="KAY24" s="629"/>
      <c r="KAZ24" s="629"/>
      <c r="KBA24" s="629"/>
      <c r="KBB24" s="629"/>
      <c r="KBC24" s="629"/>
      <c r="KBD24" s="629"/>
      <c r="KBE24" s="629"/>
      <c r="KBF24" s="629"/>
      <c r="KBG24" s="629"/>
      <c r="KBH24" s="629"/>
      <c r="KBI24" s="629"/>
      <c r="KBJ24" s="629"/>
      <c r="KBK24" s="629"/>
      <c r="KBL24" s="629"/>
      <c r="KBM24" s="629"/>
      <c r="KBN24" s="629"/>
      <c r="KBO24" s="629"/>
      <c r="KBP24" s="629"/>
      <c r="KBQ24" s="629"/>
      <c r="KBR24" s="629"/>
      <c r="KBS24" s="629"/>
      <c r="KBT24" s="629"/>
      <c r="KBU24" s="629"/>
      <c r="KBV24" s="629"/>
      <c r="KBW24" s="629"/>
      <c r="KBX24" s="629"/>
      <c r="KBY24" s="629"/>
      <c r="KBZ24" s="629"/>
      <c r="KCA24" s="629"/>
      <c r="KCB24" s="629"/>
      <c r="KCC24" s="629"/>
      <c r="KCD24" s="629"/>
      <c r="KCE24" s="629"/>
      <c r="KCF24" s="629"/>
      <c r="KCG24" s="629"/>
      <c r="KCH24" s="629"/>
      <c r="KCI24" s="629"/>
      <c r="KCJ24" s="629"/>
      <c r="KCK24" s="629"/>
      <c r="KCL24" s="629"/>
      <c r="KCM24" s="629"/>
      <c r="KCN24" s="629"/>
      <c r="KCO24" s="629"/>
      <c r="KCP24" s="629"/>
      <c r="KCQ24" s="629"/>
      <c r="KCR24" s="629"/>
      <c r="KCS24" s="629"/>
      <c r="KCT24" s="629"/>
      <c r="KCU24" s="629"/>
      <c r="KCV24" s="629"/>
      <c r="KCW24" s="629"/>
      <c r="KCX24" s="629"/>
      <c r="KCY24" s="629"/>
      <c r="KCZ24" s="629"/>
      <c r="KDA24" s="629"/>
      <c r="KDB24" s="629"/>
      <c r="KDC24" s="629"/>
      <c r="KDD24" s="629"/>
      <c r="KDE24" s="629"/>
      <c r="KDF24" s="629"/>
      <c r="KDG24" s="629"/>
      <c r="KDH24" s="629"/>
      <c r="KDI24" s="629"/>
      <c r="KDJ24" s="629"/>
      <c r="KDK24" s="629"/>
      <c r="KDL24" s="629"/>
      <c r="KDM24" s="629"/>
      <c r="KDN24" s="629"/>
      <c r="KDO24" s="629"/>
      <c r="KDP24" s="629"/>
      <c r="KDQ24" s="629"/>
      <c r="KDR24" s="629"/>
      <c r="KDS24" s="629"/>
      <c r="KDT24" s="629"/>
      <c r="KDU24" s="629"/>
      <c r="KDV24" s="629"/>
      <c r="KDW24" s="629"/>
      <c r="KDX24" s="629"/>
      <c r="KDY24" s="629"/>
      <c r="KDZ24" s="629"/>
      <c r="KEA24" s="629"/>
      <c r="KEB24" s="629"/>
      <c r="KEC24" s="629"/>
      <c r="KED24" s="629"/>
      <c r="KEE24" s="629"/>
      <c r="KEF24" s="629"/>
      <c r="KEG24" s="629"/>
      <c r="KEH24" s="629"/>
      <c r="KEI24" s="629"/>
      <c r="KEJ24" s="629"/>
      <c r="KEK24" s="629"/>
      <c r="KEL24" s="629"/>
      <c r="KEM24" s="629"/>
      <c r="KEN24" s="629"/>
      <c r="KEO24" s="629"/>
      <c r="KEP24" s="629"/>
      <c r="KEQ24" s="629"/>
      <c r="KER24" s="629"/>
      <c r="KES24" s="629"/>
      <c r="KET24" s="629"/>
      <c r="KEU24" s="629"/>
      <c r="KEV24" s="629"/>
      <c r="KEW24" s="629"/>
      <c r="KEX24" s="629"/>
      <c r="KEY24" s="629"/>
      <c r="KEZ24" s="629"/>
      <c r="KFA24" s="629"/>
      <c r="KFB24" s="629"/>
      <c r="KFC24" s="629"/>
      <c r="KFD24" s="629"/>
      <c r="KFE24" s="629"/>
      <c r="KFF24" s="629"/>
      <c r="KFG24" s="629"/>
      <c r="KFH24" s="629"/>
      <c r="KFI24" s="629"/>
      <c r="KFJ24" s="629"/>
      <c r="KFK24" s="629"/>
      <c r="KFL24" s="629"/>
      <c r="KFM24" s="629"/>
      <c r="KFN24" s="629"/>
      <c r="KFO24" s="629"/>
      <c r="KFP24" s="629"/>
      <c r="KFQ24" s="629"/>
      <c r="KFR24" s="629"/>
      <c r="KFS24" s="629"/>
      <c r="KFT24" s="629"/>
      <c r="KFU24" s="629"/>
      <c r="KFV24" s="629"/>
      <c r="KFW24" s="629"/>
      <c r="KFX24" s="629"/>
      <c r="KFY24" s="629"/>
      <c r="KFZ24" s="629"/>
      <c r="KGA24" s="629"/>
      <c r="KGB24" s="629"/>
      <c r="KGC24" s="629"/>
      <c r="KGD24" s="629"/>
      <c r="KGE24" s="629"/>
      <c r="KGF24" s="629"/>
      <c r="KGG24" s="629"/>
      <c r="KGH24" s="629"/>
      <c r="KGI24" s="629"/>
      <c r="KGJ24" s="629"/>
      <c r="KGK24" s="629"/>
      <c r="KGL24" s="629"/>
      <c r="KGM24" s="629"/>
      <c r="KGN24" s="629"/>
      <c r="KGO24" s="629"/>
      <c r="KGP24" s="629"/>
      <c r="KGQ24" s="629"/>
      <c r="KGR24" s="629"/>
      <c r="KGS24" s="629"/>
      <c r="KGT24" s="629"/>
      <c r="KGU24" s="629"/>
      <c r="KGV24" s="629"/>
      <c r="KGW24" s="629"/>
      <c r="KGX24" s="629"/>
      <c r="KGY24" s="629"/>
      <c r="KGZ24" s="629"/>
      <c r="KHA24" s="629"/>
      <c r="KHB24" s="629"/>
      <c r="KHC24" s="629"/>
      <c r="KHD24" s="629"/>
      <c r="KHE24" s="629"/>
      <c r="KHF24" s="629"/>
      <c r="KHG24" s="629"/>
      <c r="KHH24" s="629"/>
      <c r="KHI24" s="629"/>
      <c r="KHJ24" s="629"/>
      <c r="KHK24" s="629"/>
      <c r="KHL24" s="629"/>
      <c r="KHM24" s="629"/>
      <c r="KHN24" s="629"/>
      <c r="KHO24" s="629"/>
      <c r="KHP24" s="629"/>
      <c r="KHQ24" s="629"/>
      <c r="KHR24" s="629"/>
      <c r="KHS24" s="629"/>
      <c r="KHT24" s="629"/>
      <c r="KHU24" s="629"/>
      <c r="KHV24" s="629"/>
      <c r="KHW24" s="629"/>
      <c r="KHX24" s="629"/>
      <c r="KHY24" s="629"/>
      <c r="KHZ24" s="629"/>
      <c r="KIA24" s="629"/>
      <c r="KIB24" s="629"/>
      <c r="KIC24" s="629"/>
      <c r="KID24" s="629"/>
      <c r="KIE24" s="629"/>
      <c r="KIF24" s="629"/>
      <c r="KIG24" s="629"/>
      <c r="KIH24" s="629"/>
      <c r="KII24" s="629"/>
      <c r="KIJ24" s="629"/>
      <c r="KIK24" s="629"/>
      <c r="KIL24" s="629"/>
      <c r="KIM24" s="629"/>
      <c r="KIN24" s="629"/>
      <c r="KIO24" s="629"/>
      <c r="KIP24" s="629"/>
      <c r="KIQ24" s="629"/>
      <c r="KIR24" s="629"/>
      <c r="KIS24" s="629"/>
      <c r="KIT24" s="629"/>
      <c r="KIU24" s="629"/>
      <c r="KIV24" s="629"/>
      <c r="KIW24" s="629"/>
      <c r="KIX24" s="629"/>
      <c r="KIY24" s="629"/>
      <c r="KIZ24" s="629"/>
      <c r="KJA24" s="629"/>
      <c r="KJB24" s="629"/>
      <c r="KJC24" s="629"/>
      <c r="KJD24" s="629"/>
      <c r="KJE24" s="629"/>
      <c r="KJF24" s="629"/>
      <c r="KJG24" s="629"/>
      <c r="KJH24" s="629"/>
      <c r="KJI24" s="629"/>
      <c r="KJJ24" s="629"/>
      <c r="KJK24" s="629"/>
      <c r="KJL24" s="629"/>
      <c r="KJM24" s="629"/>
      <c r="KJN24" s="629"/>
      <c r="KJO24" s="629"/>
      <c r="KJP24" s="629"/>
      <c r="KJQ24" s="629"/>
      <c r="KJR24" s="629"/>
      <c r="KJS24" s="629"/>
      <c r="KJT24" s="629"/>
      <c r="KJU24" s="629"/>
      <c r="KJV24" s="629"/>
      <c r="KJW24" s="629"/>
      <c r="KJX24" s="629"/>
      <c r="KJY24" s="629"/>
      <c r="KJZ24" s="629"/>
      <c r="KKA24" s="629"/>
      <c r="KKB24" s="629"/>
      <c r="KKC24" s="629"/>
      <c r="KKD24" s="629"/>
      <c r="KKE24" s="629"/>
      <c r="KKF24" s="629"/>
      <c r="KKG24" s="629"/>
      <c r="KKH24" s="629"/>
      <c r="KKI24" s="629"/>
      <c r="KKJ24" s="629"/>
      <c r="KKK24" s="629"/>
      <c r="KKL24" s="629"/>
      <c r="KKM24" s="629"/>
      <c r="KKN24" s="629"/>
      <c r="KKO24" s="629"/>
      <c r="KKP24" s="629"/>
      <c r="KKQ24" s="629"/>
      <c r="KKR24" s="629"/>
      <c r="KKS24" s="629"/>
      <c r="KKT24" s="629"/>
      <c r="KKU24" s="629"/>
      <c r="KKV24" s="629"/>
      <c r="KKW24" s="629"/>
      <c r="KKX24" s="629"/>
      <c r="KKY24" s="629"/>
      <c r="KKZ24" s="629"/>
      <c r="KLA24" s="629"/>
      <c r="KLB24" s="629"/>
      <c r="KLC24" s="629"/>
      <c r="KLD24" s="629"/>
      <c r="KLE24" s="629"/>
      <c r="KLF24" s="629"/>
      <c r="KLG24" s="629"/>
      <c r="KLH24" s="629"/>
      <c r="KLI24" s="629"/>
      <c r="KLJ24" s="629"/>
      <c r="KLK24" s="629"/>
      <c r="KLL24" s="629"/>
      <c r="KLM24" s="629"/>
      <c r="KLN24" s="629"/>
      <c r="KLO24" s="629"/>
      <c r="KLP24" s="629"/>
      <c r="KLQ24" s="629"/>
      <c r="KLR24" s="629"/>
      <c r="KLS24" s="629"/>
      <c r="KLT24" s="629"/>
      <c r="KLU24" s="629"/>
      <c r="KLV24" s="629"/>
      <c r="KLW24" s="629"/>
      <c r="KLX24" s="629"/>
      <c r="KLY24" s="629"/>
      <c r="KLZ24" s="629"/>
      <c r="KMA24" s="629"/>
      <c r="KMB24" s="629"/>
      <c r="KMC24" s="629"/>
      <c r="KMD24" s="629"/>
      <c r="KME24" s="629"/>
      <c r="KMF24" s="629"/>
      <c r="KMG24" s="629"/>
      <c r="KMH24" s="629"/>
      <c r="KMI24" s="629"/>
      <c r="KMJ24" s="629"/>
      <c r="KMK24" s="629"/>
      <c r="KML24" s="629"/>
      <c r="KMM24" s="629"/>
      <c r="KMN24" s="629"/>
      <c r="KMO24" s="629"/>
      <c r="KMP24" s="629"/>
      <c r="KMQ24" s="629"/>
      <c r="KMR24" s="629"/>
      <c r="KMS24" s="629"/>
      <c r="KMT24" s="629"/>
      <c r="KMU24" s="629"/>
      <c r="KMV24" s="629"/>
      <c r="KMW24" s="629"/>
      <c r="KMX24" s="629"/>
      <c r="KMY24" s="629"/>
      <c r="KMZ24" s="629"/>
      <c r="KNA24" s="629"/>
      <c r="KNB24" s="629"/>
      <c r="KNC24" s="629"/>
      <c r="KND24" s="629"/>
      <c r="KNE24" s="629"/>
      <c r="KNF24" s="629"/>
      <c r="KNG24" s="629"/>
      <c r="KNH24" s="629"/>
      <c r="KNI24" s="629"/>
      <c r="KNJ24" s="629"/>
      <c r="KNK24" s="629"/>
      <c r="KNL24" s="629"/>
      <c r="KNM24" s="629"/>
      <c r="KNN24" s="629"/>
      <c r="KNO24" s="629"/>
      <c r="KNP24" s="629"/>
      <c r="KNQ24" s="629"/>
      <c r="KNR24" s="629"/>
      <c r="KNS24" s="629"/>
      <c r="KNT24" s="629"/>
      <c r="KNU24" s="629"/>
      <c r="KNV24" s="629"/>
      <c r="KNW24" s="629"/>
      <c r="KNX24" s="629"/>
      <c r="KNY24" s="629"/>
      <c r="KNZ24" s="629"/>
      <c r="KOA24" s="629"/>
      <c r="KOB24" s="629"/>
      <c r="KOC24" s="629"/>
      <c r="KOD24" s="629"/>
      <c r="KOE24" s="629"/>
      <c r="KOF24" s="629"/>
      <c r="KOG24" s="629"/>
      <c r="KOH24" s="629"/>
      <c r="KOI24" s="629"/>
      <c r="KOJ24" s="629"/>
      <c r="KOK24" s="629"/>
      <c r="KOL24" s="629"/>
      <c r="KOM24" s="629"/>
      <c r="KON24" s="629"/>
      <c r="KOO24" s="629"/>
      <c r="KOP24" s="629"/>
      <c r="KOQ24" s="629"/>
      <c r="KOR24" s="629"/>
      <c r="KOS24" s="629"/>
      <c r="KOT24" s="629"/>
      <c r="KOU24" s="629"/>
      <c r="KOV24" s="629"/>
      <c r="KOW24" s="629"/>
      <c r="KOX24" s="629"/>
      <c r="KOY24" s="629"/>
      <c r="KOZ24" s="629"/>
      <c r="KPA24" s="629"/>
      <c r="KPB24" s="629"/>
      <c r="KPC24" s="629"/>
      <c r="KPD24" s="629"/>
      <c r="KPE24" s="629"/>
      <c r="KPF24" s="629"/>
      <c r="KPG24" s="629"/>
      <c r="KPH24" s="629"/>
      <c r="KPI24" s="629"/>
      <c r="KPJ24" s="629"/>
      <c r="KPK24" s="629"/>
      <c r="KPL24" s="629"/>
      <c r="KPM24" s="629"/>
      <c r="KPN24" s="629"/>
      <c r="KPO24" s="629"/>
      <c r="KPP24" s="629"/>
      <c r="KPQ24" s="629"/>
      <c r="KPR24" s="629"/>
      <c r="KPS24" s="629"/>
      <c r="KPT24" s="629"/>
      <c r="KPU24" s="629"/>
      <c r="KPV24" s="629"/>
      <c r="KPW24" s="629"/>
      <c r="KPX24" s="629"/>
      <c r="KPY24" s="629"/>
      <c r="KPZ24" s="629"/>
      <c r="KQA24" s="629"/>
      <c r="KQB24" s="629"/>
      <c r="KQC24" s="629"/>
      <c r="KQD24" s="629"/>
      <c r="KQE24" s="629"/>
      <c r="KQF24" s="629"/>
      <c r="KQG24" s="629"/>
      <c r="KQH24" s="629"/>
      <c r="KQI24" s="629"/>
      <c r="KQJ24" s="629"/>
      <c r="KQK24" s="629"/>
      <c r="KQL24" s="629"/>
      <c r="KQM24" s="629"/>
      <c r="KQN24" s="629"/>
      <c r="KQO24" s="629"/>
      <c r="KQP24" s="629"/>
      <c r="KQQ24" s="629"/>
      <c r="KQR24" s="629"/>
      <c r="KQS24" s="629"/>
      <c r="KQT24" s="629"/>
      <c r="KQU24" s="629"/>
      <c r="KQV24" s="629"/>
      <c r="KQW24" s="629"/>
      <c r="KQX24" s="629"/>
      <c r="KQY24" s="629"/>
      <c r="KQZ24" s="629"/>
      <c r="KRA24" s="629"/>
      <c r="KRB24" s="629"/>
      <c r="KRC24" s="629"/>
      <c r="KRD24" s="629"/>
      <c r="KRE24" s="629"/>
      <c r="KRF24" s="629"/>
      <c r="KRG24" s="629"/>
      <c r="KRH24" s="629"/>
      <c r="KRI24" s="629"/>
      <c r="KRJ24" s="629"/>
      <c r="KRK24" s="629"/>
      <c r="KRL24" s="629"/>
      <c r="KRM24" s="629"/>
      <c r="KRN24" s="629"/>
      <c r="KRO24" s="629"/>
      <c r="KRP24" s="629"/>
      <c r="KRQ24" s="629"/>
      <c r="KRR24" s="629"/>
      <c r="KRS24" s="629"/>
      <c r="KRT24" s="629"/>
      <c r="KRU24" s="629"/>
      <c r="KRV24" s="629"/>
      <c r="KRW24" s="629"/>
      <c r="KRX24" s="629"/>
      <c r="KRY24" s="629"/>
      <c r="KRZ24" s="629"/>
      <c r="KSA24" s="629"/>
      <c r="KSB24" s="629"/>
      <c r="KSC24" s="629"/>
      <c r="KSD24" s="629"/>
      <c r="KSE24" s="629"/>
      <c r="KSF24" s="629"/>
      <c r="KSG24" s="629"/>
      <c r="KSH24" s="629"/>
      <c r="KSI24" s="629"/>
      <c r="KSJ24" s="629"/>
      <c r="KSK24" s="629"/>
      <c r="KSL24" s="629"/>
      <c r="KSM24" s="629"/>
      <c r="KSN24" s="629"/>
      <c r="KSO24" s="629"/>
      <c r="KSP24" s="629"/>
      <c r="KSQ24" s="629"/>
      <c r="KSR24" s="629"/>
      <c r="KSS24" s="629"/>
      <c r="KST24" s="629"/>
      <c r="KSU24" s="629"/>
      <c r="KSV24" s="629"/>
      <c r="KSW24" s="629"/>
      <c r="KSX24" s="629"/>
      <c r="KSY24" s="629"/>
      <c r="KSZ24" s="629"/>
      <c r="KTA24" s="629"/>
      <c r="KTB24" s="629"/>
      <c r="KTC24" s="629"/>
      <c r="KTD24" s="629"/>
      <c r="KTE24" s="629"/>
      <c r="KTF24" s="629"/>
      <c r="KTG24" s="629"/>
      <c r="KTH24" s="629"/>
      <c r="KTI24" s="629"/>
      <c r="KTJ24" s="629"/>
      <c r="KTK24" s="629"/>
      <c r="KTL24" s="629"/>
      <c r="KTM24" s="629"/>
      <c r="KTN24" s="629"/>
      <c r="KTO24" s="629"/>
      <c r="KTP24" s="629"/>
      <c r="KTQ24" s="629"/>
      <c r="KTR24" s="629"/>
      <c r="KTS24" s="629"/>
      <c r="KTT24" s="629"/>
      <c r="KTU24" s="629"/>
      <c r="KTV24" s="629"/>
      <c r="KTW24" s="629"/>
      <c r="KTX24" s="629"/>
      <c r="KTY24" s="629"/>
      <c r="KTZ24" s="629"/>
      <c r="KUA24" s="629"/>
      <c r="KUB24" s="629"/>
      <c r="KUC24" s="629"/>
      <c r="KUD24" s="629"/>
      <c r="KUE24" s="629"/>
      <c r="KUF24" s="629"/>
      <c r="KUG24" s="629"/>
      <c r="KUH24" s="629"/>
      <c r="KUI24" s="629"/>
      <c r="KUJ24" s="629"/>
      <c r="KUK24" s="629"/>
      <c r="KUL24" s="629"/>
      <c r="KUM24" s="629"/>
      <c r="KUN24" s="629"/>
      <c r="KUO24" s="629"/>
      <c r="KUP24" s="629"/>
      <c r="KUQ24" s="629"/>
      <c r="KUR24" s="629"/>
      <c r="KUS24" s="629"/>
      <c r="KUT24" s="629"/>
      <c r="KUU24" s="629"/>
      <c r="KUV24" s="629"/>
      <c r="KUW24" s="629"/>
      <c r="KUX24" s="629"/>
      <c r="KUY24" s="629"/>
      <c r="KUZ24" s="629"/>
      <c r="KVA24" s="629"/>
      <c r="KVB24" s="629"/>
      <c r="KVC24" s="629"/>
      <c r="KVD24" s="629"/>
      <c r="KVE24" s="629"/>
      <c r="KVF24" s="629"/>
      <c r="KVG24" s="629"/>
      <c r="KVH24" s="629"/>
      <c r="KVI24" s="629"/>
      <c r="KVJ24" s="629"/>
      <c r="KVK24" s="629"/>
      <c r="KVL24" s="629"/>
      <c r="KVM24" s="629"/>
      <c r="KVN24" s="629"/>
      <c r="KVO24" s="629"/>
      <c r="KVP24" s="629"/>
      <c r="KVQ24" s="629"/>
      <c r="KVR24" s="629"/>
      <c r="KVS24" s="629"/>
      <c r="KVT24" s="629"/>
      <c r="KVU24" s="629"/>
      <c r="KVV24" s="629"/>
      <c r="KVW24" s="629"/>
      <c r="KVX24" s="629"/>
      <c r="KVY24" s="629"/>
      <c r="KVZ24" s="629"/>
      <c r="KWA24" s="629"/>
      <c r="KWB24" s="629"/>
      <c r="KWC24" s="629"/>
      <c r="KWD24" s="629"/>
      <c r="KWE24" s="629"/>
      <c r="KWF24" s="629"/>
      <c r="KWG24" s="629"/>
      <c r="KWH24" s="629"/>
      <c r="KWI24" s="629"/>
      <c r="KWJ24" s="629"/>
      <c r="KWK24" s="629"/>
      <c r="KWL24" s="629"/>
      <c r="KWM24" s="629"/>
      <c r="KWN24" s="629"/>
      <c r="KWO24" s="629"/>
      <c r="KWP24" s="629"/>
      <c r="KWQ24" s="629"/>
      <c r="KWR24" s="629"/>
      <c r="KWS24" s="629"/>
      <c r="KWT24" s="629"/>
      <c r="KWU24" s="629"/>
      <c r="KWV24" s="629"/>
      <c r="KWW24" s="629"/>
      <c r="KWX24" s="629"/>
      <c r="KWY24" s="629"/>
      <c r="KWZ24" s="629"/>
      <c r="KXA24" s="629"/>
      <c r="KXB24" s="629"/>
      <c r="KXC24" s="629"/>
      <c r="KXD24" s="629"/>
      <c r="KXE24" s="629"/>
      <c r="KXF24" s="629"/>
      <c r="KXG24" s="629"/>
      <c r="KXH24" s="629"/>
      <c r="KXI24" s="629"/>
      <c r="KXJ24" s="629"/>
      <c r="KXK24" s="629"/>
      <c r="KXL24" s="629"/>
      <c r="KXM24" s="629"/>
      <c r="KXN24" s="629"/>
      <c r="KXO24" s="629"/>
      <c r="KXP24" s="629"/>
      <c r="KXQ24" s="629"/>
      <c r="KXR24" s="629"/>
      <c r="KXS24" s="629"/>
      <c r="KXT24" s="629"/>
      <c r="KXU24" s="629"/>
      <c r="KXV24" s="629"/>
      <c r="KXW24" s="629"/>
      <c r="KXX24" s="629"/>
      <c r="KXY24" s="629"/>
      <c r="KXZ24" s="629"/>
      <c r="KYA24" s="629"/>
      <c r="KYB24" s="629"/>
      <c r="KYC24" s="629"/>
      <c r="KYD24" s="629"/>
      <c r="KYE24" s="629"/>
      <c r="KYF24" s="629"/>
      <c r="KYG24" s="629"/>
      <c r="KYH24" s="629"/>
      <c r="KYI24" s="629"/>
      <c r="KYJ24" s="629"/>
      <c r="KYK24" s="629"/>
      <c r="KYL24" s="629"/>
      <c r="KYM24" s="629"/>
      <c r="KYN24" s="629"/>
      <c r="KYO24" s="629"/>
      <c r="KYP24" s="629"/>
      <c r="KYQ24" s="629"/>
      <c r="KYR24" s="629"/>
      <c r="KYS24" s="629"/>
      <c r="KYT24" s="629"/>
      <c r="KYU24" s="629"/>
      <c r="KYV24" s="629"/>
      <c r="KYW24" s="629"/>
      <c r="KYX24" s="629"/>
      <c r="KYY24" s="629"/>
      <c r="KYZ24" s="629"/>
      <c r="KZA24" s="629"/>
      <c r="KZB24" s="629"/>
      <c r="KZC24" s="629"/>
      <c r="KZD24" s="629"/>
      <c r="KZE24" s="629"/>
      <c r="KZF24" s="629"/>
      <c r="KZG24" s="629"/>
      <c r="KZH24" s="629"/>
      <c r="KZI24" s="629"/>
      <c r="KZJ24" s="629"/>
      <c r="KZK24" s="629"/>
      <c r="KZL24" s="629"/>
      <c r="KZM24" s="629"/>
      <c r="KZN24" s="629"/>
      <c r="KZO24" s="629"/>
      <c r="KZP24" s="629"/>
      <c r="KZQ24" s="629"/>
      <c r="KZR24" s="629"/>
      <c r="KZS24" s="629"/>
      <c r="KZT24" s="629"/>
      <c r="KZU24" s="629"/>
      <c r="KZV24" s="629"/>
      <c r="KZW24" s="629"/>
      <c r="KZX24" s="629"/>
      <c r="KZY24" s="629"/>
      <c r="KZZ24" s="629"/>
      <c r="LAA24" s="629"/>
      <c r="LAB24" s="629"/>
      <c r="LAC24" s="629"/>
      <c r="LAD24" s="629"/>
      <c r="LAE24" s="629"/>
      <c r="LAF24" s="629"/>
      <c r="LAG24" s="629"/>
      <c r="LAH24" s="629"/>
      <c r="LAI24" s="629"/>
      <c r="LAJ24" s="629"/>
      <c r="LAK24" s="629"/>
      <c r="LAL24" s="629"/>
      <c r="LAM24" s="629"/>
      <c r="LAN24" s="629"/>
      <c r="LAO24" s="629"/>
      <c r="LAP24" s="629"/>
      <c r="LAQ24" s="629"/>
      <c r="LAR24" s="629"/>
      <c r="LAS24" s="629"/>
      <c r="LAT24" s="629"/>
      <c r="LAU24" s="629"/>
      <c r="LAV24" s="629"/>
      <c r="LAW24" s="629"/>
      <c r="LAX24" s="629"/>
      <c r="LAY24" s="629"/>
      <c r="LAZ24" s="629"/>
      <c r="LBA24" s="629"/>
      <c r="LBB24" s="629"/>
      <c r="LBC24" s="629"/>
      <c r="LBD24" s="629"/>
      <c r="LBE24" s="629"/>
      <c r="LBF24" s="629"/>
      <c r="LBG24" s="629"/>
      <c r="LBH24" s="629"/>
      <c r="LBI24" s="629"/>
      <c r="LBJ24" s="629"/>
      <c r="LBK24" s="629"/>
      <c r="LBL24" s="629"/>
      <c r="LBM24" s="629"/>
      <c r="LBN24" s="629"/>
      <c r="LBO24" s="629"/>
      <c r="LBP24" s="629"/>
      <c r="LBQ24" s="629"/>
      <c r="LBR24" s="629"/>
      <c r="LBS24" s="629"/>
      <c r="LBT24" s="629"/>
      <c r="LBU24" s="629"/>
      <c r="LBV24" s="629"/>
      <c r="LBW24" s="629"/>
      <c r="LBX24" s="629"/>
      <c r="LBY24" s="629"/>
      <c r="LBZ24" s="629"/>
      <c r="LCA24" s="629"/>
      <c r="LCB24" s="629"/>
      <c r="LCC24" s="629"/>
      <c r="LCD24" s="629"/>
      <c r="LCE24" s="629"/>
      <c r="LCF24" s="629"/>
      <c r="LCG24" s="629"/>
      <c r="LCH24" s="629"/>
      <c r="LCI24" s="629"/>
      <c r="LCJ24" s="629"/>
      <c r="LCK24" s="629"/>
      <c r="LCL24" s="629"/>
      <c r="LCM24" s="629"/>
      <c r="LCN24" s="629"/>
      <c r="LCO24" s="629"/>
      <c r="LCP24" s="629"/>
      <c r="LCQ24" s="629"/>
      <c r="LCR24" s="629"/>
      <c r="LCS24" s="629"/>
      <c r="LCT24" s="629"/>
      <c r="LCU24" s="629"/>
      <c r="LCV24" s="629"/>
      <c r="LCW24" s="629"/>
      <c r="LCX24" s="629"/>
      <c r="LCY24" s="629"/>
      <c r="LCZ24" s="629"/>
      <c r="LDA24" s="629"/>
      <c r="LDB24" s="629"/>
      <c r="LDC24" s="629"/>
      <c r="LDD24" s="629"/>
      <c r="LDE24" s="629"/>
      <c r="LDF24" s="629"/>
      <c r="LDG24" s="629"/>
      <c r="LDH24" s="629"/>
      <c r="LDI24" s="629"/>
      <c r="LDJ24" s="629"/>
      <c r="LDK24" s="629"/>
      <c r="LDL24" s="629"/>
      <c r="LDM24" s="629"/>
      <c r="LDN24" s="629"/>
      <c r="LDO24" s="629"/>
      <c r="LDP24" s="629"/>
      <c r="LDQ24" s="629"/>
      <c r="LDR24" s="629"/>
      <c r="LDS24" s="629"/>
      <c r="LDT24" s="629"/>
      <c r="LDU24" s="629"/>
      <c r="LDV24" s="629"/>
      <c r="LDW24" s="629"/>
      <c r="LDX24" s="629"/>
      <c r="LDY24" s="629"/>
      <c r="LDZ24" s="629"/>
      <c r="LEA24" s="629"/>
      <c r="LEB24" s="629"/>
      <c r="LEC24" s="629"/>
      <c r="LED24" s="629"/>
      <c r="LEE24" s="629"/>
      <c r="LEF24" s="629"/>
      <c r="LEG24" s="629"/>
      <c r="LEH24" s="629"/>
      <c r="LEI24" s="629"/>
      <c r="LEJ24" s="629"/>
      <c r="LEK24" s="629"/>
      <c r="LEL24" s="629"/>
      <c r="LEM24" s="629"/>
      <c r="LEN24" s="629"/>
      <c r="LEO24" s="629"/>
      <c r="LEP24" s="629"/>
      <c r="LEQ24" s="629"/>
      <c r="LER24" s="629"/>
      <c r="LES24" s="629"/>
      <c r="LET24" s="629"/>
      <c r="LEU24" s="629"/>
      <c r="LEV24" s="629"/>
      <c r="LEW24" s="629"/>
      <c r="LEX24" s="629"/>
      <c r="LEY24" s="629"/>
      <c r="LEZ24" s="629"/>
      <c r="LFA24" s="629"/>
      <c r="LFB24" s="629"/>
      <c r="LFC24" s="629"/>
      <c r="LFD24" s="629"/>
      <c r="LFE24" s="629"/>
      <c r="LFF24" s="629"/>
      <c r="LFG24" s="629"/>
      <c r="LFH24" s="629"/>
      <c r="LFI24" s="629"/>
      <c r="LFJ24" s="629"/>
      <c r="LFK24" s="629"/>
      <c r="LFL24" s="629"/>
      <c r="LFM24" s="629"/>
      <c r="LFN24" s="629"/>
      <c r="LFO24" s="629"/>
      <c r="LFP24" s="629"/>
      <c r="LFQ24" s="629"/>
      <c r="LFR24" s="629"/>
      <c r="LFS24" s="629"/>
      <c r="LFT24" s="629"/>
      <c r="LFU24" s="629"/>
      <c r="LFV24" s="629"/>
      <c r="LFW24" s="629"/>
      <c r="LFX24" s="629"/>
      <c r="LFY24" s="629"/>
      <c r="LFZ24" s="629"/>
      <c r="LGA24" s="629"/>
      <c r="LGB24" s="629"/>
      <c r="LGC24" s="629"/>
      <c r="LGD24" s="629"/>
      <c r="LGE24" s="629"/>
      <c r="LGF24" s="629"/>
      <c r="LGG24" s="629"/>
      <c r="LGH24" s="629"/>
      <c r="LGI24" s="629"/>
      <c r="LGJ24" s="629"/>
      <c r="LGK24" s="629"/>
      <c r="LGL24" s="629"/>
      <c r="LGM24" s="629"/>
      <c r="LGN24" s="629"/>
      <c r="LGO24" s="629"/>
      <c r="LGP24" s="629"/>
      <c r="LGQ24" s="629"/>
      <c r="LGR24" s="629"/>
      <c r="LGS24" s="629"/>
      <c r="LGT24" s="629"/>
      <c r="LGU24" s="629"/>
      <c r="LGV24" s="629"/>
      <c r="LGW24" s="629"/>
      <c r="LGX24" s="629"/>
      <c r="LGY24" s="629"/>
      <c r="LGZ24" s="629"/>
      <c r="LHA24" s="629"/>
      <c r="LHB24" s="629"/>
      <c r="LHC24" s="629"/>
      <c r="LHD24" s="629"/>
      <c r="LHE24" s="629"/>
      <c r="LHF24" s="629"/>
      <c r="LHG24" s="629"/>
      <c r="LHH24" s="629"/>
      <c r="LHI24" s="629"/>
      <c r="LHJ24" s="629"/>
      <c r="LHK24" s="629"/>
      <c r="LHL24" s="629"/>
      <c r="LHM24" s="629"/>
      <c r="LHN24" s="629"/>
      <c r="LHO24" s="629"/>
      <c r="LHP24" s="629"/>
      <c r="LHQ24" s="629"/>
      <c r="LHR24" s="629"/>
      <c r="LHS24" s="629"/>
      <c r="LHT24" s="629"/>
      <c r="LHU24" s="629"/>
      <c r="LHV24" s="629"/>
      <c r="LHW24" s="629"/>
      <c r="LHX24" s="629"/>
      <c r="LHY24" s="629"/>
      <c r="LHZ24" s="629"/>
      <c r="LIA24" s="629"/>
      <c r="LIB24" s="629"/>
      <c r="LIC24" s="629"/>
      <c r="LID24" s="629"/>
      <c r="LIE24" s="629"/>
      <c r="LIF24" s="629"/>
      <c r="LIG24" s="629"/>
      <c r="LIH24" s="629"/>
      <c r="LII24" s="629"/>
      <c r="LIJ24" s="629"/>
      <c r="LIK24" s="629"/>
      <c r="LIL24" s="629"/>
      <c r="LIM24" s="629"/>
      <c r="LIN24" s="629"/>
      <c r="LIO24" s="629"/>
      <c r="LIP24" s="629"/>
      <c r="LIQ24" s="629"/>
      <c r="LIR24" s="629"/>
      <c r="LIS24" s="629"/>
      <c r="LIT24" s="629"/>
      <c r="LIU24" s="629"/>
      <c r="LIV24" s="629"/>
      <c r="LIW24" s="629"/>
      <c r="LIX24" s="629"/>
      <c r="LIY24" s="629"/>
      <c r="LIZ24" s="629"/>
      <c r="LJA24" s="629"/>
      <c r="LJB24" s="629"/>
      <c r="LJC24" s="629"/>
      <c r="LJD24" s="629"/>
      <c r="LJE24" s="629"/>
      <c r="LJF24" s="629"/>
      <c r="LJG24" s="629"/>
      <c r="LJH24" s="629"/>
      <c r="LJI24" s="629"/>
      <c r="LJJ24" s="629"/>
      <c r="LJK24" s="629"/>
      <c r="LJL24" s="629"/>
      <c r="LJM24" s="629"/>
      <c r="LJN24" s="629"/>
      <c r="LJO24" s="629"/>
      <c r="LJP24" s="629"/>
      <c r="LJQ24" s="629"/>
      <c r="LJR24" s="629"/>
      <c r="LJS24" s="629"/>
      <c r="LJT24" s="629"/>
      <c r="LJU24" s="629"/>
      <c r="LJV24" s="629"/>
      <c r="LJW24" s="629"/>
      <c r="LJX24" s="629"/>
      <c r="LJY24" s="629"/>
      <c r="LJZ24" s="629"/>
      <c r="LKA24" s="629"/>
      <c r="LKB24" s="629"/>
      <c r="LKC24" s="629"/>
      <c r="LKD24" s="629"/>
      <c r="LKE24" s="629"/>
      <c r="LKF24" s="629"/>
      <c r="LKG24" s="629"/>
      <c r="LKH24" s="629"/>
      <c r="LKI24" s="629"/>
      <c r="LKJ24" s="629"/>
      <c r="LKK24" s="629"/>
      <c r="LKL24" s="629"/>
      <c r="LKM24" s="629"/>
      <c r="LKN24" s="629"/>
      <c r="LKO24" s="629"/>
      <c r="LKP24" s="629"/>
      <c r="LKQ24" s="629"/>
      <c r="LKR24" s="629"/>
      <c r="LKS24" s="629"/>
      <c r="LKT24" s="629"/>
      <c r="LKU24" s="629"/>
      <c r="LKV24" s="629"/>
      <c r="LKW24" s="629"/>
      <c r="LKX24" s="629"/>
      <c r="LKY24" s="629"/>
      <c r="LKZ24" s="629"/>
      <c r="LLA24" s="629"/>
      <c r="LLB24" s="629"/>
      <c r="LLC24" s="629"/>
      <c r="LLD24" s="629"/>
      <c r="LLE24" s="629"/>
      <c r="LLF24" s="629"/>
      <c r="LLG24" s="629"/>
      <c r="LLH24" s="629"/>
      <c r="LLI24" s="629"/>
      <c r="LLJ24" s="629"/>
      <c r="LLK24" s="629"/>
      <c r="LLL24" s="629"/>
      <c r="LLM24" s="629"/>
      <c r="LLN24" s="629"/>
      <c r="LLO24" s="629"/>
      <c r="LLP24" s="629"/>
      <c r="LLQ24" s="629"/>
      <c r="LLR24" s="629"/>
      <c r="LLS24" s="629"/>
      <c r="LLT24" s="629"/>
      <c r="LLU24" s="629"/>
      <c r="LLV24" s="629"/>
      <c r="LLW24" s="629"/>
      <c r="LLX24" s="629"/>
      <c r="LLY24" s="629"/>
      <c r="LLZ24" s="629"/>
      <c r="LMA24" s="629"/>
      <c r="LMB24" s="629"/>
      <c r="LMC24" s="629"/>
      <c r="LMD24" s="629"/>
      <c r="LME24" s="629"/>
      <c r="LMF24" s="629"/>
      <c r="LMG24" s="629"/>
      <c r="LMH24" s="629"/>
      <c r="LMI24" s="629"/>
      <c r="LMJ24" s="629"/>
      <c r="LMK24" s="629"/>
      <c r="LML24" s="629"/>
      <c r="LMM24" s="629"/>
      <c r="LMN24" s="629"/>
      <c r="LMO24" s="629"/>
      <c r="LMP24" s="629"/>
      <c r="LMQ24" s="629"/>
      <c r="LMR24" s="629"/>
      <c r="LMS24" s="629"/>
      <c r="LMT24" s="629"/>
      <c r="LMU24" s="629"/>
      <c r="LMV24" s="629"/>
      <c r="LMW24" s="629"/>
      <c r="LMX24" s="629"/>
      <c r="LMY24" s="629"/>
      <c r="LMZ24" s="629"/>
      <c r="LNA24" s="629"/>
      <c r="LNB24" s="629"/>
      <c r="LNC24" s="629"/>
      <c r="LND24" s="629"/>
      <c r="LNE24" s="629"/>
      <c r="LNF24" s="629"/>
      <c r="LNG24" s="629"/>
      <c r="LNH24" s="629"/>
      <c r="LNI24" s="629"/>
      <c r="LNJ24" s="629"/>
      <c r="LNK24" s="629"/>
      <c r="LNL24" s="629"/>
      <c r="LNM24" s="629"/>
      <c r="LNN24" s="629"/>
      <c r="LNO24" s="629"/>
      <c r="LNP24" s="629"/>
      <c r="LNQ24" s="629"/>
      <c r="LNR24" s="629"/>
      <c r="LNS24" s="629"/>
      <c r="LNT24" s="629"/>
      <c r="LNU24" s="629"/>
      <c r="LNV24" s="629"/>
      <c r="LNW24" s="629"/>
      <c r="LNX24" s="629"/>
      <c r="LNY24" s="629"/>
      <c r="LNZ24" s="629"/>
      <c r="LOA24" s="629"/>
      <c r="LOB24" s="629"/>
      <c r="LOC24" s="629"/>
      <c r="LOD24" s="629"/>
      <c r="LOE24" s="629"/>
      <c r="LOF24" s="629"/>
      <c r="LOG24" s="629"/>
      <c r="LOH24" s="629"/>
      <c r="LOI24" s="629"/>
      <c r="LOJ24" s="629"/>
      <c r="LOK24" s="629"/>
      <c r="LOL24" s="629"/>
      <c r="LOM24" s="629"/>
      <c r="LON24" s="629"/>
      <c r="LOO24" s="629"/>
      <c r="LOP24" s="629"/>
      <c r="LOQ24" s="629"/>
      <c r="LOR24" s="629"/>
      <c r="LOS24" s="629"/>
      <c r="LOT24" s="629"/>
      <c r="LOU24" s="629"/>
      <c r="LOV24" s="629"/>
      <c r="LOW24" s="629"/>
      <c r="LOX24" s="629"/>
      <c r="LOY24" s="629"/>
      <c r="LOZ24" s="629"/>
      <c r="LPA24" s="629"/>
      <c r="LPB24" s="629"/>
      <c r="LPC24" s="629"/>
      <c r="LPD24" s="629"/>
      <c r="LPE24" s="629"/>
      <c r="LPF24" s="629"/>
      <c r="LPG24" s="629"/>
      <c r="LPH24" s="629"/>
      <c r="LPI24" s="629"/>
      <c r="LPJ24" s="629"/>
      <c r="LPK24" s="629"/>
      <c r="LPL24" s="629"/>
      <c r="LPM24" s="629"/>
      <c r="LPN24" s="629"/>
      <c r="LPO24" s="629"/>
      <c r="LPP24" s="629"/>
      <c r="LPQ24" s="629"/>
      <c r="LPR24" s="629"/>
      <c r="LPS24" s="629"/>
      <c r="LPT24" s="629"/>
      <c r="LPU24" s="629"/>
      <c r="LPV24" s="629"/>
      <c r="LPW24" s="629"/>
      <c r="LPX24" s="629"/>
      <c r="LPY24" s="629"/>
      <c r="LPZ24" s="629"/>
      <c r="LQA24" s="629"/>
      <c r="LQB24" s="629"/>
      <c r="LQC24" s="629"/>
      <c r="LQD24" s="629"/>
      <c r="LQE24" s="629"/>
      <c r="LQF24" s="629"/>
      <c r="LQG24" s="629"/>
      <c r="LQH24" s="629"/>
      <c r="LQI24" s="629"/>
      <c r="LQJ24" s="629"/>
      <c r="LQK24" s="629"/>
      <c r="LQL24" s="629"/>
      <c r="LQM24" s="629"/>
      <c r="LQN24" s="629"/>
      <c r="LQO24" s="629"/>
      <c r="LQP24" s="629"/>
      <c r="LQQ24" s="629"/>
      <c r="LQR24" s="629"/>
      <c r="LQS24" s="629"/>
      <c r="LQT24" s="629"/>
      <c r="LQU24" s="629"/>
      <c r="LQV24" s="629"/>
      <c r="LQW24" s="629"/>
      <c r="LQX24" s="629"/>
      <c r="LQY24" s="629"/>
      <c r="LQZ24" s="629"/>
      <c r="LRA24" s="629"/>
      <c r="LRB24" s="629"/>
      <c r="LRC24" s="629"/>
      <c r="LRD24" s="629"/>
      <c r="LRE24" s="629"/>
      <c r="LRF24" s="629"/>
      <c r="LRG24" s="629"/>
      <c r="LRH24" s="629"/>
      <c r="LRI24" s="629"/>
      <c r="LRJ24" s="629"/>
      <c r="LRK24" s="629"/>
      <c r="LRL24" s="629"/>
      <c r="LRM24" s="629"/>
      <c r="LRN24" s="629"/>
      <c r="LRO24" s="629"/>
      <c r="LRP24" s="629"/>
      <c r="LRQ24" s="629"/>
      <c r="LRR24" s="629"/>
      <c r="LRS24" s="629"/>
      <c r="LRT24" s="629"/>
      <c r="LRU24" s="629"/>
      <c r="LRV24" s="629"/>
      <c r="LRW24" s="629"/>
      <c r="LRX24" s="629"/>
      <c r="LRY24" s="629"/>
      <c r="LRZ24" s="629"/>
      <c r="LSA24" s="629"/>
      <c r="LSB24" s="629"/>
      <c r="LSC24" s="629"/>
      <c r="LSD24" s="629"/>
      <c r="LSE24" s="629"/>
      <c r="LSF24" s="629"/>
      <c r="LSG24" s="629"/>
      <c r="LSH24" s="629"/>
      <c r="LSI24" s="629"/>
      <c r="LSJ24" s="629"/>
      <c r="LSK24" s="629"/>
      <c r="LSL24" s="629"/>
      <c r="LSM24" s="629"/>
      <c r="LSN24" s="629"/>
      <c r="LSO24" s="629"/>
      <c r="LSP24" s="629"/>
      <c r="LSQ24" s="629"/>
      <c r="LSR24" s="629"/>
      <c r="LSS24" s="629"/>
      <c r="LST24" s="629"/>
      <c r="LSU24" s="629"/>
      <c r="LSV24" s="629"/>
      <c r="LSW24" s="629"/>
      <c r="LSX24" s="629"/>
      <c r="LSY24" s="629"/>
      <c r="LSZ24" s="629"/>
      <c r="LTA24" s="629"/>
      <c r="LTB24" s="629"/>
      <c r="LTC24" s="629"/>
      <c r="LTD24" s="629"/>
      <c r="LTE24" s="629"/>
      <c r="LTF24" s="629"/>
      <c r="LTG24" s="629"/>
      <c r="LTH24" s="629"/>
      <c r="LTI24" s="629"/>
      <c r="LTJ24" s="629"/>
      <c r="LTK24" s="629"/>
      <c r="LTL24" s="629"/>
      <c r="LTM24" s="629"/>
      <c r="LTN24" s="629"/>
      <c r="LTO24" s="629"/>
      <c r="LTP24" s="629"/>
      <c r="LTQ24" s="629"/>
      <c r="LTR24" s="629"/>
      <c r="LTS24" s="629"/>
      <c r="LTT24" s="629"/>
      <c r="LTU24" s="629"/>
      <c r="LTV24" s="629"/>
      <c r="LTW24" s="629"/>
      <c r="LTX24" s="629"/>
      <c r="LTY24" s="629"/>
      <c r="LTZ24" s="629"/>
      <c r="LUA24" s="629"/>
      <c r="LUB24" s="629"/>
      <c r="LUC24" s="629"/>
      <c r="LUD24" s="629"/>
      <c r="LUE24" s="629"/>
      <c r="LUF24" s="629"/>
      <c r="LUG24" s="629"/>
      <c r="LUH24" s="629"/>
      <c r="LUI24" s="629"/>
      <c r="LUJ24" s="629"/>
      <c r="LUK24" s="629"/>
      <c r="LUL24" s="629"/>
      <c r="LUM24" s="629"/>
      <c r="LUN24" s="629"/>
      <c r="LUO24" s="629"/>
      <c r="LUP24" s="629"/>
      <c r="LUQ24" s="629"/>
      <c r="LUR24" s="629"/>
      <c r="LUS24" s="629"/>
      <c r="LUT24" s="629"/>
      <c r="LUU24" s="629"/>
      <c r="LUV24" s="629"/>
      <c r="LUW24" s="629"/>
      <c r="LUX24" s="629"/>
      <c r="LUY24" s="629"/>
      <c r="LUZ24" s="629"/>
      <c r="LVA24" s="629"/>
      <c r="LVB24" s="629"/>
      <c r="LVC24" s="629"/>
      <c r="LVD24" s="629"/>
      <c r="LVE24" s="629"/>
      <c r="LVF24" s="629"/>
      <c r="LVG24" s="629"/>
      <c r="LVH24" s="629"/>
      <c r="LVI24" s="629"/>
      <c r="LVJ24" s="629"/>
      <c r="LVK24" s="629"/>
      <c r="LVL24" s="629"/>
      <c r="LVM24" s="629"/>
      <c r="LVN24" s="629"/>
      <c r="LVO24" s="629"/>
      <c r="LVP24" s="629"/>
      <c r="LVQ24" s="629"/>
      <c r="LVR24" s="629"/>
      <c r="LVS24" s="629"/>
      <c r="LVT24" s="629"/>
      <c r="LVU24" s="629"/>
      <c r="LVV24" s="629"/>
      <c r="LVW24" s="629"/>
      <c r="LVX24" s="629"/>
      <c r="LVY24" s="629"/>
      <c r="LVZ24" s="629"/>
      <c r="LWA24" s="629"/>
      <c r="LWB24" s="629"/>
      <c r="LWC24" s="629"/>
      <c r="LWD24" s="629"/>
      <c r="LWE24" s="629"/>
      <c r="LWF24" s="629"/>
      <c r="LWG24" s="629"/>
      <c r="LWH24" s="629"/>
      <c r="LWI24" s="629"/>
      <c r="LWJ24" s="629"/>
      <c r="LWK24" s="629"/>
      <c r="LWL24" s="629"/>
      <c r="LWM24" s="629"/>
      <c r="LWN24" s="629"/>
      <c r="LWO24" s="629"/>
      <c r="LWP24" s="629"/>
      <c r="LWQ24" s="629"/>
      <c r="LWR24" s="629"/>
      <c r="LWS24" s="629"/>
      <c r="LWT24" s="629"/>
      <c r="LWU24" s="629"/>
      <c r="LWV24" s="629"/>
      <c r="LWW24" s="629"/>
      <c r="LWX24" s="629"/>
      <c r="LWY24" s="629"/>
      <c r="LWZ24" s="629"/>
      <c r="LXA24" s="629"/>
      <c r="LXB24" s="629"/>
      <c r="LXC24" s="629"/>
      <c r="LXD24" s="629"/>
      <c r="LXE24" s="629"/>
      <c r="LXF24" s="629"/>
      <c r="LXG24" s="629"/>
      <c r="LXH24" s="629"/>
      <c r="LXI24" s="629"/>
      <c r="LXJ24" s="629"/>
      <c r="LXK24" s="629"/>
      <c r="LXL24" s="629"/>
      <c r="LXM24" s="629"/>
      <c r="LXN24" s="629"/>
      <c r="LXO24" s="629"/>
      <c r="LXP24" s="629"/>
      <c r="LXQ24" s="629"/>
      <c r="LXR24" s="629"/>
      <c r="LXS24" s="629"/>
      <c r="LXT24" s="629"/>
      <c r="LXU24" s="629"/>
      <c r="LXV24" s="629"/>
      <c r="LXW24" s="629"/>
      <c r="LXX24" s="629"/>
      <c r="LXY24" s="629"/>
      <c r="LXZ24" s="629"/>
      <c r="LYA24" s="629"/>
      <c r="LYB24" s="629"/>
      <c r="LYC24" s="629"/>
      <c r="LYD24" s="629"/>
      <c r="LYE24" s="629"/>
      <c r="LYF24" s="629"/>
      <c r="LYG24" s="629"/>
      <c r="LYH24" s="629"/>
      <c r="LYI24" s="629"/>
      <c r="LYJ24" s="629"/>
      <c r="LYK24" s="629"/>
      <c r="LYL24" s="629"/>
      <c r="LYM24" s="629"/>
      <c r="LYN24" s="629"/>
      <c r="LYO24" s="629"/>
      <c r="LYP24" s="629"/>
      <c r="LYQ24" s="629"/>
      <c r="LYR24" s="629"/>
      <c r="LYS24" s="629"/>
      <c r="LYT24" s="629"/>
      <c r="LYU24" s="629"/>
      <c r="LYV24" s="629"/>
      <c r="LYW24" s="629"/>
      <c r="LYX24" s="629"/>
      <c r="LYY24" s="629"/>
      <c r="LYZ24" s="629"/>
      <c r="LZA24" s="629"/>
      <c r="LZB24" s="629"/>
      <c r="LZC24" s="629"/>
      <c r="LZD24" s="629"/>
      <c r="LZE24" s="629"/>
      <c r="LZF24" s="629"/>
      <c r="LZG24" s="629"/>
      <c r="LZH24" s="629"/>
      <c r="LZI24" s="629"/>
      <c r="LZJ24" s="629"/>
      <c r="LZK24" s="629"/>
      <c r="LZL24" s="629"/>
      <c r="LZM24" s="629"/>
      <c r="LZN24" s="629"/>
      <c r="LZO24" s="629"/>
      <c r="LZP24" s="629"/>
      <c r="LZQ24" s="629"/>
      <c r="LZR24" s="629"/>
      <c r="LZS24" s="629"/>
      <c r="LZT24" s="629"/>
      <c r="LZU24" s="629"/>
      <c r="LZV24" s="629"/>
      <c r="LZW24" s="629"/>
      <c r="LZX24" s="629"/>
      <c r="LZY24" s="629"/>
      <c r="LZZ24" s="629"/>
      <c r="MAA24" s="629"/>
      <c r="MAB24" s="629"/>
      <c r="MAC24" s="629"/>
      <c r="MAD24" s="629"/>
      <c r="MAE24" s="629"/>
      <c r="MAF24" s="629"/>
      <c r="MAG24" s="629"/>
      <c r="MAH24" s="629"/>
      <c r="MAI24" s="629"/>
      <c r="MAJ24" s="629"/>
      <c r="MAK24" s="629"/>
      <c r="MAL24" s="629"/>
      <c r="MAM24" s="629"/>
      <c r="MAN24" s="629"/>
      <c r="MAO24" s="629"/>
      <c r="MAP24" s="629"/>
      <c r="MAQ24" s="629"/>
      <c r="MAR24" s="629"/>
      <c r="MAS24" s="629"/>
      <c r="MAT24" s="629"/>
      <c r="MAU24" s="629"/>
      <c r="MAV24" s="629"/>
      <c r="MAW24" s="629"/>
      <c r="MAX24" s="629"/>
      <c r="MAY24" s="629"/>
      <c r="MAZ24" s="629"/>
      <c r="MBA24" s="629"/>
      <c r="MBB24" s="629"/>
      <c r="MBC24" s="629"/>
      <c r="MBD24" s="629"/>
      <c r="MBE24" s="629"/>
      <c r="MBF24" s="629"/>
      <c r="MBG24" s="629"/>
      <c r="MBH24" s="629"/>
      <c r="MBI24" s="629"/>
      <c r="MBJ24" s="629"/>
      <c r="MBK24" s="629"/>
      <c r="MBL24" s="629"/>
      <c r="MBM24" s="629"/>
      <c r="MBN24" s="629"/>
      <c r="MBO24" s="629"/>
      <c r="MBP24" s="629"/>
      <c r="MBQ24" s="629"/>
      <c r="MBR24" s="629"/>
      <c r="MBS24" s="629"/>
      <c r="MBT24" s="629"/>
      <c r="MBU24" s="629"/>
      <c r="MBV24" s="629"/>
      <c r="MBW24" s="629"/>
      <c r="MBX24" s="629"/>
      <c r="MBY24" s="629"/>
      <c r="MBZ24" s="629"/>
      <c r="MCA24" s="629"/>
      <c r="MCB24" s="629"/>
      <c r="MCC24" s="629"/>
      <c r="MCD24" s="629"/>
      <c r="MCE24" s="629"/>
      <c r="MCF24" s="629"/>
      <c r="MCG24" s="629"/>
      <c r="MCH24" s="629"/>
      <c r="MCI24" s="629"/>
      <c r="MCJ24" s="629"/>
      <c r="MCK24" s="629"/>
      <c r="MCL24" s="629"/>
      <c r="MCM24" s="629"/>
      <c r="MCN24" s="629"/>
      <c r="MCO24" s="629"/>
      <c r="MCP24" s="629"/>
      <c r="MCQ24" s="629"/>
      <c r="MCR24" s="629"/>
      <c r="MCS24" s="629"/>
      <c r="MCT24" s="629"/>
      <c r="MCU24" s="629"/>
      <c r="MCV24" s="629"/>
      <c r="MCW24" s="629"/>
      <c r="MCX24" s="629"/>
      <c r="MCY24" s="629"/>
      <c r="MCZ24" s="629"/>
      <c r="MDA24" s="629"/>
      <c r="MDB24" s="629"/>
      <c r="MDC24" s="629"/>
      <c r="MDD24" s="629"/>
      <c r="MDE24" s="629"/>
      <c r="MDF24" s="629"/>
      <c r="MDG24" s="629"/>
      <c r="MDH24" s="629"/>
      <c r="MDI24" s="629"/>
      <c r="MDJ24" s="629"/>
      <c r="MDK24" s="629"/>
      <c r="MDL24" s="629"/>
      <c r="MDM24" s="629"/>
      <c r="MDN24" s="629"/>
      <c r="MDO24" s="629"/>
      <c r="MDP24" s="629"/>
      <c r="MDQ24" s="629"/>
      <c r="MDR24" s="629"/>
      <c r="MDS24" s="629"/>
      <c r="MDT24" s="629"/>
      <c r="MDU24" s="629"/>
      <c r="MDV24" s="629"/>
      <c r="MDW24" s="629"/>
      <c r="MDX24" s="629"/>
      <c r="MDY24" s="629"/>
      <c r="MDZ24" s="629"/>
      <c r="MEA24" s="629"/>
      <c r="MEB24" s="629"/>
      <c r="MEC24" s="629"/>
      <c r="MED24" s="629"/>
      <c r="MEE24" s="629"/>
      <c r="MEF24" s="629"/>
      <c r="MEG24" s="629"/>
      <c r="MEH24" s="629"/>
      <c r="MEI24" s="629"/>
      <c r="MEJ24" s="629"/>
      <c r="MEK24" s="629"/>
      <c r="MEL24" s="629"/>
      <c r="MEM24" s="629"/>
      <c r="MEN24" s="629"/>
      <c r="MEO24" s="629"/>
      <c r="MEP24" s="629"/>
      <c r="MEQ24" s="629"/>
      <c r="MER24" s="629"/>
      <c r="MES24" s="629"/>
      <c r="MET24" s="629"/>
      <c r="MEU24" s="629"/>
      <c r="MEV24" s="629"/>
      <c r="MEW24" s="629"/>
      <c r="MEX24" s="629"/>
      <c r="MEY24" s="629"/>
      <c r="MEZ24" s="629"/>
      <c r="MFA24" s="629"/>
      <c r="MFB24" s="629"/>
      <c r="MFC24" s="629"/>
      <c r="MFD24" s="629"/>
      <c r="MFE24" s="629"/>
      <c r="MFF24" s="629"/>
      <c r="MFG24" s="629"/>
      <c r="MFH24" s="629"/>
      <c r="MFI24" s="629"/>
      <c r="MFJ24" s="629"/>
      <c r="MFK24" s="629"/>
      <c r="MFL24" s="629"/>
      <c r="MFM24" s="629"/>
      <c r="MFN24" s="629"/>
      <c r="MFO24" s="629"/>
      <c r="MFP24" s="629"/>
      <c r="MFQ24" s="629"/>
      <c r="MFR24" s="629"/>
      <c r="MFS24" s="629"/>
      <c r="MFT24" s="629"/>
      <c r="MFU24" s="629"/>
      <c r="MFV24" s="629"/>
      <c r="MFW24" s="629"/>
      <c r="MFX24" s="629"/>
      <c r="MFY24" s="629"/>
      <c r="MFZ24" s="629"/>
      <c r="MGA24" s="629"/>
      <c r="MGB24" s="629"/>
      <c r="MGC24" s="629"/>
      <c r="MGD24" s="629"/>
      <c r="MGE24" s="629"/>
      <c r="MGF24" s="629"/>
      <c r="MGG24" s="629"/>
      <c r="MGH24" s="629"/>
      <c r="MGI24" s="629"/>
      <c r="MGJ24" s="629"/>
      <c r="MGK24" s="629"/>
      <c r="MGL24" s="629"/>
      <c r="MGM24" s="629"/>
      <c r="MGN24" s="629"/>
      <c r="MGO24" s="629"/>
      <c r="MGP24" s="629"/>
      <c r="MGQ24" s="629"/>
      <c r="MGR24" s="629"/>
      <c r="MGS24" s="629"/>
      <c r="MGT24" s="629"/>
      <c r="MGU24" s="629"/>
      <c r="MGV24" s="629"/>
      <c r="MGW24" s="629"/>
      <c r="MGX24" s="629"/>
      <c r="MGY24" s="629"/>
      <c r="MGZ24" s="629"/>
      <c r="MHA24" s="629"/>
      <c r="MHB24" s="629"/>
      <c r="MHC24" s="629"/>
      <c r="MHD24" s="629"/>
      <c r="MHE24" s="629"/>
      <c r="MHF24" s="629"/>
      <c r="MHG24" s="629"/>
      <c r="MHH24" s="629"/>
      <c r="MHI24" s="629"/>
      <c r="MHJ24" s="629"/>
      <c r="MHK24" s="629"/>
      <c r="MHL24" s="629"/>
      <c r="MHM24" s="629"/>
      <c r="MHN24" s="629"/>
      <c r="MHO24" s="629"/>
      <c r="MHP24" s="629"/>
      <c r="MHQ24" s="629"/>
      <c r="MHR24" s="629"/>
      <c r="MHS24" s="629"/>
      <c r="MHT24" s="629"/>
      <c r="MHU24" s="629"/>
      <c r="MHV24" s="629"/>
      <c r="MHW24" s="629"/>
      <c r="MHX24" s="629"/>
      <c r="MHY24" s="629"/>
      <c r="MHZ24" s="629"/>
      <c r="MIA24" s="629"/>
      <c r="MIB24" s="629"/>
      <c r="MIC24" s="629"/>
      <c r="MID24" s="629"/>
      <c r="MIE24" s="629"/>
      <c r="MIF24" s="629"/>
      <c r="MIG24" s="629"/>
      <c r="MIH24" s="629"/>
      <c r="MII24" s="629"/>
      <c r="MIJ24" s="629"/>
      <c r="MIK24" s="629"/>
      <c r="MIL24" s="629"/>
      <c r="MIM24" s="629"/>
      <c r="MIN24" s="629"/>
      <c r="MIO24" s="629"/>
      <c r="MIP24" s="629"/>
      <c r="MIQ24" s="629"/>
      <c r="MIR24" s="629"/>
      <c r="MIS24" s="629"/>
      <c r="MIT24" s="629"/>
      <c r="MIU24" s="629"/>
      <c r="MIV24" s="629"/>
      <c r="MIW24" s="629"/>
      <c r="MIX24" s="629"/>
      <c r="MIY24" s="629"/>
      <c r="MIZ24" s="629"/>
      <c r="MJA24" s="629"/>
      <c r="MJB24" s="629"/>
      <c r="MJC24" s="629"/>
      <c r="MJD24" s="629"/>
      <c r="MJE24" s="629"/>
      <c r="MJF24" s="629"/>
      <c r="MJG24" s="629"/>
      <c r="MJH24" s="629"/>
      <c r="MJI24" s="629"/>
      <c r="MJJ24" s="629"/>
      <c r="MJK24" s="629"/>
      <c r="MJL24" s="629"/>
      <c r="MJM24" s="629"/>
      <c r="MJN24" s="629"/>
      <c r="MJO24" s="629"/>
      <c r="MJP24" s="629"/>
      <c r="MJQ24" s="629"/>
      <c r="MJR24" s="629"/>
      <c r="MJS24" s="629"/>
      <c r="MJT24" s="629"/>
      <c r="MJU24" s="629"/>
      <c r="MJV24" s="629"/>
      <c r="MJW24" s="629"/>
      <c r="MJX24" s="629"/>
      <c r="MJY24" s="629"/>
      <c r="MJZ24" s="629"/>
      <c r="MKA24" s="629"/>
      <c r="MKB24" s="629"/>
      <c r="MKC24" s="629"/>
      <c r="MKD24" s="629"/>
      <c r="MKE24" s="629"/>
      <c r="MKF24" s="629"/>
      <c r="MKG24" s="629"/>
      <c r="MKH24" s="629"/>
      <c r="MKI24" s="629"/>
      <c r="MKJ24" s="629"/>
      <c r="MKK24" s="629"/>
      <c r="MKL24" s="629"/>
      <c r="MKM24" s="629"/>
      <c r="MKN24" s="629"/>
      <c r="MKO24" s="629"/>
      <c r="MKP24" s="629"/>
      <c r="MKQ24" s="629"/>
      <c r="MKR24" s="629"/>
      <c r="MKS24" s="629"/>
      <c r="MKT24" s="629"/>
      <c r="MKU24" s="629"/>
      <c r="MKV24" s="629"/>
      <c r="MKW24" s="629"/>
      <c r="MKX24" s="629"/>
      <c r="MKY24" s="629"/>
      <c r="MKZ24" s="629"/>
      <c r="MLA24" s="629"/>
      <c r="MLB24" s="629"/>
      <c r="MLC24" s="629"/>
      <c r="MLD24" s="629"/>
      <c r="MLE24" s="629"/>
      <c r="MLF24" s="629"/>
      <c r="MLG24" s="629"/>
      <c r="MLH24" s="629"/>
      <c r="MLI24" s="629"/>
      <c r="MLJ24" s="629"/>
      <c r="MLK24" s="629"/>
      <c r="MLL24" s="629"/>
      <c r="MLM24" s="629"/>
      <c r="MLN24" s="629"/>
      <c r="MLO24" s="629"/>
      <c r="MLP24" s="629"/>
      <c r="MLQ24" s="629"/>
      <c r="MLR24" s="629"/>
      <c r="MLS24" s="629"/>
      <c r="MLT24" s="629"/>
      <c r="MLU24" s="629"/>
      <c r="MLV24" s="629"/>
      <c r="MLW24" s="629"/>
      <c r="MLX24" s="629"/>
      <c r="MLY24" s="629"/>
      <c r="MLZ24" s="629"/>
      <c r="MMA24" s="629"/>
      <c r="MMB24" s="629"/>
      <c r="MMC24" s="629"/>
      <c r="MMD24" s="629"/>
      <c r="MME24" s="629"/>
      <c r="MMF24" s="629"/>
      <c r="MMG24" s="629"/>
      <c r="MMH24" s="629"/>
      <c r="MMI24" s="629"/>
      <c r="MMJ24" s="629"/>
      <c r="MMK24" s="629"/>
      <c r="MML24" s="629"/>
      <c r="MMM24" s="629"/>
      <c r="MMN24" s="629"/>
      <c r="MMO24" s="629"/>
      <c r="MMP24" s="629"/>
      <c r="MMQ24" s="629"/>
      <c r="MMR24" s="629"/>
      <c r="MMS24" s="629"/>
      <c r="MMT24" s="629"/>
      <c r="MMU24" s="629"/>
      <c r="MMV24" s="629"/>
      <c r="MMW24" s="629"/>
      <c r="MMX24" s="629"/>
      <c r="MMY24" s="629"/>
      <c r="MMZ24" s="629"/>
      <c r="MNA24" s="629"/>
      <c r="MNB24" s="629"/>
      <c r="MNC24" s="629"/>
      <c r="MND24" s="629"/>
      <c r="MNE24" s="629"/>
      <c r="MNF24" s="629"/>
      <c r="MNG24" s="629"/>
      <c r="MNH24" s="629"/>
      <c r="MNI24" s="629"/>
      <c r="MNJ24" s="629"/>
      <c r="MNK24" s="629"/>
      <c r="MNL24" s="629"/>
      <c r="MNM24" s="629"/>
      <c r="MNN24" s="629"/>
      <c r="MNO24" s="629"/>
      <c r="MNP24" s="629"/>
      <c r="MNQ24" s="629"/>
      <c r="MNR24" s="629"/>
      <c r="MNS24" s="629"/>
      <c r="MNT24" s="629"/>
      <c r="MNU24" s="629"/>
      <c r="MNV24" s="629"/>
      <c r="MNW24" s="629"/>
      <c r="MNX24" s="629"/>
      <c r="MNY24" s="629"/>
      <c r="MNZ24" s="629"/>
      <c r="MOA24" s="629"/>
      <c r="MOB24" s="629"/>
      <c r="MOC24" s="629"/>
      <c r="MOD24" s="629"/>
      <c r="MOE24" s="629"/>
      <c r="MOF24" s="629"/>
      <c r="MOG24" s="629"/>
      <c r="MOH24" s="629"/>
      <c r="MOI24" s="629"/>
      <c r="MOJ24" s="629"/>
      <c r="MOK24" s="629"/>
      <c r="MOL24" s="629"/>
      <c r="MOM24" s="629"/>
      <c r="MON24" s="629"/>
      <c r="MOO24" s="629"/>
      <c r="MOP24" s="629"/>
      <c r="MOQ24" s="629"/>
      <c r="MOR24" s="629"/>
      <c r="MOS24" s="629"/>
      <c r="MOT24" s="629"/>
      <c r="MOU24" s="629"/>
      <c r="MOV24" s="629"/>
      <c r="MOW24" s="629"/>
      <c r="MOX24" s="629"/>
      <c r="MOY24" s="629"/>
      <c r="MOZ24" s="629"/>
      <c r="MPA24" s="629"/>
      <c r="MPB24" s="629"/>
      <c r="MPC24" s="629"/>
      <c r="MPD24" s="629"/>
      <c r="MPE24" s="629"/>
      <c r="MPF24" s="629"/>
      <c r="MPG24" s="629"/>
      <c r="MPH24" s="629"/>
      <c r="MPI24" s="629"/>
      <c r="MPJ24" s="629"/>
      <c r="MPK24" s="629"/>
      <c r="MPL24" s="629"/>
      <c r="MPM24" s="629"/>
      <c r="MPN24" s="629"/>
      <c r="MPO24" s="629"/>
      <c r="MPP24" s="629"/>
      <c r="MPQ24" s="629"/>
      <c r="MPR24" s="629"/>
      <c r="MPS24" s="629"/>
      <c r="MPT24" s="629"/>
      <c r="MPU24" s="629"/>
      <c r="MPV24" s="629"/>
      <c r="MPW24" s="629"/>
      <c r="MPX24" s="629"/>
      <c r="MPY24" s="629"/>
      <c r="MPZ24" s="629"/>
      <c r="MQA24" s="629"/>
      <c r="MQB24" s="629"/>
      <c r="MQC24" s="629"/>
      <c r="MQD24" s="629"/>
      <c r="MQE24" s="629"/>
      <c r="MQF24" s="629"/>
      <c r="MQG24" s="629"/>
      <c r="MQH24" s="629"/>
      <c r="MQI24" s="629"/>
      <c r="MQJ24" s="629"/>
      <c r="MQK24" s="629"/>
      <c r="MQL24" s="629"/>
      <c r="MQM24" s="629"/>
      <c r="MQN24" s="629"/>
      <c r="MQO24" s="629"/>
      <c r="MQP24" s="629"/>
      <c r="MQQ24" s="629"/>
      <c r="MQR24" s="629"/>
      <c r="MQS24" s="629"/>
      <c r="MQT24" s="629"/>
      <c r="MQU24" s="629"/>
      <c r="MQV24" s="629"/>
      <c r="MQW24" s="629"/>
      <c r="MQX24" s="629"/>
      <c r="MQY24" s="629"/>
      <c r="MQZ24" s="629"/>
      <c r="MRA24" s="629"/>
      <c r="MRB24" s="629"/>
      <c r="MRC24" s="629"/>
      <c r="MRD24" s="629"/>
      <c r="MRE24" s="629"/>
      <c r="MRF24" s="629"/>
      <c r="MRG24" s="629"/>
      <c r="MRH24" s="629"/>
      <c r="MRI24" s="629"/>
      <c r="MRJ24" s="629"/>
      <c r="MRK24" s="629"/>
      <c r="MRL24" s="629"/>
      <c r="MRM24" s="629"/>
      <c r="MRN24" s="629"/>
      <c r="MRO24" s="629"/>
      <c r="MRP24" s="629"/>
      <c r="MRQ24" s="629"/>
      <c r="MRR24" s="629"/>
      <c r="MRS24" s="629"/>
      <c r="MRT24" s="629"/>
      <c r="MRU24" s="629"/>
      <c r="MRV24" s="629"/>
      <c r="MRW24" s="629"/>
      <c r="MRX24" s="629"/>
      <c r="MRY24" s="629"/>
      <c r="MRZ24" s="629"/>
      <c r="MSA24" s="629"/>
      <c r="MSB24" s="629"/>
      <c r="MSC24" s="629"/>
      <c r="MSD24" s="629"/>
      <c r="MSE24" s="629"/>
      <c r="MSF24" s="629"/>
      <c r="MSG24" s="629"/>
      <c r="MSH24" s="629"/>
      <c r="MSI24" s="629"/>
      <c r="MSJ24" s="629"/>
      <c r="MSK24" s="629"/>
      <c r="MSL24" s="629"/>
      <c r="MSM24" s="629"/>
      <c r="MSN24" s="629"/>
      <c r="MSO24" s="629"/>
      <c r="MSP24" s="629"/>
      <c r="MSQ24" s="629"/>
      <c r="MSR24" s="629"/>
      <c r="MSS24" s="629"/>
      <c r="MST24" s="629"/>
      <c r="MSU24" s="629"/>
      <c r="MSV24" s="629"/>
      <c r="MSW24" s="629"/>
      <c r="MSX24" s="629"/>
      <c r="MSY24" s="629"/>
      <c r="MSZ24" s="629"/>
      <c r="MTA24" s="629"/>
      <c r="MTB24" s="629"/>
      <c r="MTC24" s="629"/>
      <c r="MTD24" s="629"/>
      <c r="MTE24" s="629"/>
      <c r="MTF24" s="629"/>
      <c r="MTG24" s="629"/>
      <c r="MTH24" s="629"/>
      <c r="MTI24" s="629"/>
      <c r="MTJ24" s="629"/>
      <c r="MTK24" s="629"/>
      <c r="MTL24" s="629"/>
      <c r="MTM24" s="629"/>
      <c r="MTN24" s="629"/>
      <c r="MTO24" s="629"/>
      <c r="MTP24" s="629"/>
      <c r="MTQ24" s="629"/>
      <c r="MTR24" s="629"/>
      <c r="MTS24" s="629"/>
      <c r="MTT24" s="629"/>
      <c r="MTU24" s="629"/>
      <c r="MTV24" s="629"/>
      <c r="MTW24" s="629"/>
      <c r="MTX24" s="629"/>
      <c r="MTY24" s="629"/>
      <c r="MTZ24" s="629"/>
      <c r="MUA24" s="629"/>
      <c r="MUB24" s="629"/>
      <c r="MUC24" s="629"/>
      <c r="MUD24" s="629"/>
      <c r="MUE24" s="629"/>
      <c r="MUF24" s="629"/>
      <c r="MUG24" s="629"/>
      <c r="MUH24" s="629"/>
      <c r="MUI24" s="629"/>
      <c r="MUJ24" s="629"/>
      <c r="MUK24" s="629"/>
      <c r="MUL24" s="629"/>
      <c r="MUM24" s="629"/>
      <c r="MUN24" s="629"/>
      <c r="MUO24" s="629"/>
      <c r="MUP24" s="629"/>
      <c r="MUQ24" s="629"/>
      <c r="MUR24" s="629"/>
      <c r="MUS24" s="629"/>
      <c r="MUT24" s="629"/>
      <c r="MUU24" s="629"/>
      <c r="MUV24" s="629"/>
      <c r="MUW24" s="629"/>
      <c r="MUX24" s="629"/>
      <c r="MUY24" s="629"/>
      <c r="MUZ24" s="629"/>
      <c r="MVA24" s="629"/>
      <c r="MVB24" s="629"/>
      <c r="MVC24" s="629"/>
      <c r="MVD24" s="629"/>
      <c r="MVE24" s="629"/>
      <c r="MVF24" s="629"/>
      <c r="MVG24" s="629"/>
      <c r="MVH24" s="629"/>
      <c r="MVI24" s="629"/>
      <c r="MVJ24" s="629"/>
      <c r="MVK24" s="629"/>
      <c r="MVL24" s="629"/>
      <c r="MVM24" s="629"/>
      <c r="MVN24" s="629"/>
      <c r="MVO24" s="629"/>
      <c r="MVP24" s="629"/>
      <c r="MVQ24" s="629"/>
      <c r="MVR24" s="629"/>
      <c r="MVS24" s="629"/>
      <c r="MVT24" s="629"/>
      <c r="MVU24" s="629"/>
      <c r="MVV24" s="629"/>
      <c r="MVW24" s="629"/>
      <c r="MVX24" s="629"/>
      <c r="MVY24" s="629"/>
      <c r="MVZ24" s="629"/>
      <c r="MWA24" s="629"/>
      <c r="MWB24" s="629"/>
      <c r="MWC24" s="629"/>
      <c r="MWD24" s="629"/>
      <c r="MWE24" s="629"/>
      <c r="MWF24" s="629"/>
      <c r="MWG24" s="629"/>
      <c r="MWH24" s="629"/>
      <c r="MWI24" s="629"/>
      <c r="MWJ24" s="629"/>
      <c r="MWK24" s="629"/>
      <c r="MWL24" s="629"/>
      <c r="MWM24" s="629"/>
      <c r="MWN24" s="629"/>
      <c r="MWO24" s="629"/>
      <c r="MWP24" s="629"/>
      <c r="MWQ24" s="629"/>
      <c r="MWR24" s="629"/>
      <c r="MWS24" s="629"/>
      <c r="MWT24" s="629"/>
      <c r="MWU24" s="629"/>
      <c r="MWV24" s="629"/>
      <c r="MWW24" s="629"/>
      <c r="MWX24" s="629"/>
      <c r="MWY24" s="629"/>
      <c r="MWZ24" s="629"/>
      <c r="MXA24" s="629"/>
      <c r="MXB24" s="629"/>
      <c r="MXC24" s="629"/>
      <c r="MXD24" s="629"/>
      <c r="MXE24" s="629"/>
      <c r="MXF24" s="629"/>
      <c r="MXG24" s="629"/>
      <c r="MXH24" s="629"/>
      <c r="MXI24" s="629"/>
      <c r="MXJ24" s="629"/>
      <c r="MXK24" s="629"/>
      <c r="MXL24" s="629"/>
      <c r="MXM24" s="629"/>
      <c r="MXN24" s="629"/>
      <c r="MXO24" s="629"/>
      <c r="MXP24" s="629"/>
      <c r="MXQ24" s="629"/>
      <c r="MXR24" s="629"/>
      <c r="MXS24" s="629"/>
      <c r="MXT24" s="629"/>
      <c r="MXU24" s="629"/>
      <c r="MXV24" s="629"/>
      <c r="MXW24" s="629"/>
      <c r="MXX24" s="629"/>
      <c r="MXY24" s="629"/>
      <c r="MXZ24" s="629"/>
      <c r="MYA24" s="629"/>
      <c r="MYB24" s="629"/>
      <c r="MYC24" s="629"/>
      <c r="MYD24" s="629"/>
      <c r="MYE24" s="629"/>
      <c r="MYF24" s="629"/>
      <c r="MYG24" s="629"/>
      <c r="MYH24" s="629"/>
      <c r="MYI24" s="629"/>
      <c r="MYJ24" s="629"/>
      <c r="MYK24" s="629"/>
      <c r="MYL24" s="629"/>
      <c r="MYM24" s="629"/>
      <c r="MYN24" s="629"/>
      <c r="MYO24" s="629"/>
      <c r="MYP24" s="629"/>
      <c r="MYQ24" s="629"/>
      <c r="MYR24" s="629"/>
      <c r="MYS24" s="629"/>
      <c r="MYT24" s="629"/>
      <c r="MYU24" s="629"/>
      <c r="MYV24" s="629"/>
      <c r="MYW24" s="629"/>
      <c r="MYX24" s="629"/>
      <c r="MYY24" s="629"/>
      <c r="MYZ24" s="629"/>
      <c r="MZA24" s="629"/>
      <c r="MZB24" s="629"/>
      <c r="MZC24" s="629"/>
      <c r="MZD24" s="629"/>
      <c r="MZE24" s="629"/>
      <c r="MZF24" s="629"/>
      <c r="MZG24" s="629"/>
      <c r="MZH24" s="629"/>
      <c r="MZI24" s="629"/>
      <c r="MZJ24" s="629"/>
      <c r="MZK24" s="629"/>
      <c r="MZL24" s="629"/>
      <c r="MZM24" s="629"/>
      <c r="MZN24" s="629"/>
      <c r="MZO24" s="629"/>
      <c r="MZP24" s="629"/>
      <c r="MZQ24" s="629"/>
      <c r="MZR24" s="629"/>
      <c r="MZS24" s="629"/>
      <c r="MZT24" s="629"/>
      <c r="MZU24" s="629"/>
      <c r="MZV24" s="629"/>
      <c r="MZW24" s="629"/>
      <c r="MZX24" s="629"/>
      <c r="MZY24" s="629"/>
      <c r="MZZ24" s="629"/>
      <c r="NAA24" s="629"/>
      <c r="NAB24" s="629"/>
      <c r="NAC24" s="629"/>
      <c r="NAD24" s="629"/>
      <c r="NAE24" s="629"/>
      <c r="NAF24" s="629"/>
      <c r="NAG24" s="629"/>
      <c r="NAH24" s="629"/>
      <c r="NAI24" s="629"/>
      <c r="NAJ24" s="629"/>
      <c r="NAK24" s="629"/>
      <c r="NAL24" s="629"/>
      <c r="NAM24" s="629"/>
      <c r="NAN24" s="629"/>
      <c r="NAO24" s="629"/>
      <c r="NAP24" s="629"/>
      <c r="NAQ24" s="629"/>
      <c r="NAR24" s="629"/>
      <c r="NAS24" s="629"/>
      <c r="NAT24" s="629"/>
      <c r="NAU24" s="629"/>
      <c r="NAV24" s="629"/>
      <c r="NAW24" s="629"/>
      <c r="NAX24" s="629"/>
      <c r="NAY24" s="629"/>
      <c r="NAZ24" s="629"/>
      <c r="NBA24" s="629"/>
      <c r="NBB24" s="629"/>
      <c r="NBC24" s="629"/>
      <c r="NBD24" s="629"/>
      <c r="NBE24" s="629"/>
      <c r="NBF24" s="629"/>
      <c r="NBG24" s="629"/>
      <c r="NBH24" s="629"/>
      <c r="NBI24" s="629"/>
      <c r="NBJ24" s="629"/>
      <c r="NBK24" s="629"/>
      <c r="NBL24" s="629"/>
      <c r="NBM24" s="629"/>
      <c r="NBN24" s="629"/>
      <c r="NBO24" s="629"/>
      <c r="NBP24" s="629"/>
      <c r="NBQ24" s="629"/>
      <c r="NBR24" s="629"/>
      <c r="NBS24" s="629"/>
      <c r="NBT24" s="629"/>
      <c r="NBU24" s="629"/>
      <c r="NBV24" s="629"/>
      <c r="NBW24" s="629"/>
      <c r="NBX24" s="629"/>
      <c r="NBY24" s="629"/>
      <c r="NBZ24" s="629"/>
      <c r="NCA24" s="629"/>
      <c r="NCB24" s="629"/>
      <c r="NCC24" s="629"/>
      <c r="NCD24" s="629"/>
      <c r="NCE24" s="629"/>
      <c r="NCF24" s="629"/>
      <c r="NCG24" s="629"/>
      <c r="NCH24" s="629"/>
      <c r="NCI24" s="629"/>
      <c r="NCJ24" s="629"/>
      <c r="NCK24" s="629"/>
      <c r="NCL24" s="629"/>
      <c r="NCM24" s="629"/>
      <c r="NCN24" s="629"/>
      <c r="NCO24" s="629"/>
      <c r="NCP24" s="629"/>
      <c r="NCQ24" s="629"/>
      <c r="NCR24" s="629"/>
      <c r="NCS24" s="629"/>
      <c r="NCT24" s="629"/>
      <c r="NCU24" s="629"/>
      <c r="NCV24" s="629"/>
      <c r="NCW24" s="629"/>
      <c r="NCX24" s="629"/>
      <c r="NCY24" s="629"/>
      <c r="NCZ24" s="629"/>
      <c r="NDA24" s="629"/>
      <c r="NDB24" s="629"/>
      <c r="NDC24" s="629"/>
      <c r="NDD24" s="629"/>
      <c r="NDE24" s="629"/>
      <c r="NDF24" s="629"/>
      <c r="NDG24" s="629"/>
      <c r="NDH24" s="629"/>
      <c r="NDI24" s="629"/>
      <c r="NDJ24" s="629"/>
      <c r="NDK24" s="629"/>
      <c r="NDL24" s="629"/>
      <c r="NDM24" s="629"/>
      <c r="NDN24" s="629"/>
      <c r="NDO24" s="629"/>
      <c r="NDP24" s="629"/>
      <c r="NDQ24" s="629"/>
      <c r="NDR24" s="629"/>
      <c r="NDS24" s="629"/>
      <c r="NDT24" s="629"/>
      <c r="NDU24" s="629"/>
      <c r="NDV24" s="629"/>
      <c r="NDW24" s="629"/>
      <c r="NDX24" s="629"/>
      <c r="NDY24" s="629"/>
      <c r="NDZ24" s="629"/>
      <c r="NEA24" s="629"/>
      <c r="NEB24" s="629"/>
      <c r="NEC24" s="629"/>
      <c r="NED24" s="629"/>
      <c r="NEE24" s="629"/>
      <c r="NEF24" s="629"/>
      <c r="NEG24" s="629"/>
      <c r="NEH24" s="629"/>
      <c r="NEI24" s="629"/>
      <c r="NEJ24" s="629"/>
      <c r="NEK24" s="629"/>
      <c r="NEL24" s="629"/>
      <c r="NEM24" s="629"/>
      <c r="NEN24" s="629"/>
      <c r="NEO24" s="629"/>
      <c r="NEP24" s="629"/>
      <c r="NEQ24" s="629"/>
      <c r="NER24" s="629"/>
      <c r="NES24" s="629"/>
      <c r="NET24" s="629"/>
      <c r="NEU24" s="629"/>
      <c r="NEV24" s="629"/>
      <c r="NEW24" s="629"/>
      <c r="NEX24" s="629"/>
      <c r="NEY24" s="629"/>
      <c r="NEZ24" s="629"/>
      <c r="NFA24" s="629"/>
      <c r="NFB24" s="629"/>
      <c r="NFC24" s="629"/>
      <c r="NFD24" s="629"/>
      <c r="NFE24" s="629"/>
      <c r="NFF24" s="629"/>
      <c r="NFG24" s="629"/>
      <c r="NFH24" s="629"/>
      <c r="NFI24" s="629"/>
      <c r="NFJ24" s="629"/>
      <c r="NFK24" s="629"/>
      <c r="NFL24" s="629"/>
      <c r="NFM24" s="629"/>
      <c r="NFN24" s="629"/>
      <c r="NFO24" s="629"/>
      <c r="NFP24" s="629"/>
      <c r="NFQ24" s="629"/>
      <c r="NFR24" s="629"/>
      <c r="NFS24" s="629"/>
      <c r="NFT24" s="629"/>
      <c r="NFU24" s="629"/>
      <c r="NFV24" s="629"/>
      <c r="NFW24" s="629"/>
      <c r="NFX24" s="629"/>
      <c r="NFY24" s="629"/>
      <c r="NFZ24" s="629"/>
      <c r="NGA24" s="629"/>
      <c r="NGB24" s="629"/>
      <c r="NGC24" s="629"/>
      <c r="NGD24" s="629"/>
      <c r="NGE24" s="629"/>
      <c r="NGF24" s="629"/>
      <c r="NGG24" s="629"/>
      <c r="NGH24" s="629"/>
      <c r="NGI24" s="629"/>
      <c r="NGJ24" s="629"/>
      <c r="NGK24" s="629"/>
      <c r="NGL24" s="629"/>
      <c r="NGM24" s="629"/>
      <c r="NGN24" s="629"/>
      <c r="NGO24" s="629"/>
      <c r="NGP24" s="629"/>
      <c r="NGQ24" s="629"/>
      <c r="NGR24" s="629"/>
      <c r="NGS24" s="629"/>
      <c r="NGT24" s="629"/>
      <c r="NGU24" s="629"/>
      <c r="NGV24" s="629"/>
      <c r="NGW24" s="629"/>
      <c r="NGX24" s="629"/>
      <c r="NGY24" s="629"/>
      <c r="NGZ24" s="629"/>
      <c r="NHA24" s="629"/>
      <c r="NHB24" s="629"/>
      <c r="NHC24" s="629"/>
      <c r="NHD24" s="629"/>
      <c r="NHE24" s="629"/>
      <c r="NHF24" s="629"/>
      <c r="NHG24" s="629"/>
      <c r="NHH24" s="629"/>
      <c r="NHI24" s="629"/>
      <c r="NHJ24" s="629"/>
      <c r="NHK24" s="629"/>
      <c r="NHL24" s="629"/>
      <c r="NHM24" s="629"/>
      <c r="NHN24" s="629"/>
      <c r="NHO24" s="629"/>
      <c r="NHP24" s="629"/>
      <c r="NHQ24" s="629"/>
      <c r="NHR24" s="629"/>
      <c r="NHS24" s="629"/>
      <c r="NHT24" s="629"/>
      <c r="NHU24" s="629"/>
      <c r="NHV24" s="629"/>
      <c r="NHW24" s="629"/>
      <c r="NHX24" s="629"/>
      <c r="NHY24" s="629"/>
      <c r="NHZ24" s="629"/>
      <c r="NIA24" s="629"/>
      <c r="NIB24" s="629"/>
      <c r="NIC24" s="629"/>
      <c r="NID24" s="629"/>
      <c r="NIE24" s="629"/>
      <c r="NIF24" s="629"/>
      <c r="NIG24" s="629"/>
      <c r="NIH24" s="629"/>
      <c r="NII24" s="629"/>
      <c r="NIJ24" s="629"/>
      <c r="NIK24" s="629"/>
      <c r="NIL24" s="629"/>
      <c r="NIM24" s="629"/>
      <c r="NIN24" s="629"/>
      <c r="NIO24" s="629"/>
      <c r="NIP24" s="629"/>
      <c r="NIQ24" s="629"/>
      <c r="NIR24" s="629"/>
      <c r="NIS24" s="629"/>
      <c r="NIT24" s="629"/>
      <c r="NIU24" s="629"/>
      <c r="NIV24" s="629"/>
      <c r="NIW24" s="629"/>
      <c r="NIX24" s="629"/>
      <c r="NIY24" s="629"/>
      <c r="NIZ24" s="629"/>
      <c r="NJA24" s="629"/>
      <c r="NJB24" s="629"/>
      <c r="NJC24" s="629"/>
      <c r="NJD24" s="629"/>
      <c r="NJE24" s="629"/>
      <c r="NJF24" s="629"/>
      <c r="NJG24" s="629"/>
      <c r="NJH24" s="629"/>
      <c r="NJI24" s="629"/>
      <c r="NJJ24" s="629"/>
      <c r="NJK24" s="629"/>
      <c r="NJL24" s="629"/>
      <c r="NJM24" s="629"/>
      <c r="NJN24" s="629"/>
      <c r="NJO24" s="629"/>
      <c r="NJP24" s="629"/>
      <c r="NJQ24" s="629"/>
      <c r="NJR24" s="629"/>
      <c r="NJS24" s="629"/>
      <c r="NJT24" s="629"/>
      <c r="NJU24" s="629"/>
      <c r="NJV24" s="629"/>
      <c r="NJW24" s="629"/>
      <c r="NJX24" s="629"/>
      <c r="NJY24" s="629"/>
      <c r="NJZ24" s="629"/>
      <c r="NKA24" s="629"/>
      <c r="NKB24" s="629"/>
      <c r="NKC24" s="629"/>
      <c r="NKD24" s="629"/>
      <c r="NKE24" s="629"/>
      <c r="NKF24" s="629"/>
      <c r="NKG24" s="629"/>
      <c r="NKH24" s="629"/>
      <c r="NKI24" s="629"/>
      <c r="NKJ24" s="629"/>
      <c r="NKK24" s="629"/>
      <c r="NKL24" s="629"/>
      <c r="NKM24" s="629"/>
      <c r="NKN24" s="629"/>
      <c r="NKO24" s="629"/>
      <c r="NKP24" s="629"/>
      <c r="NKQ24" s="629"/>
      <c r="NKR24" s="629"/>
      <c r="NKS24" s="629"/>
      <c r="NKT24" s="629"/>
      <c r="NKU24" s="629"/>
      <c r="NKV24" s="629"/>
      <c r="NKW24" s="629"/>
      <c r="NKX24" s="629"/>
      <c r="NKY24" s="629"/>
      <c r="NKZ24" s="629"/>
      <c r="NLA24" s="629"/>
      <c r="NLB24" s="629"/>
      <c r="NLC24" s="629"/>
      <c r="NLD24" s="629"/>
      <c r="NLE24" s="629"/>
      <c r="NLF24" s="629"/>
      <c r="NLG24" s="629"/>
      <c r="NLH24" s="629"/>
      <c r="NLI24" s="629"/>
      <c r="NLJ24" s="629"/>
      <c r="NLK24" s="629"/>
      <c r="NLL24" s="629"/>
      <c r="NLM24" s="629"/>
      <c r="NLN24" s="629"/>
      <c r="NLO24" s="629"/>
      <c r="NLP24" s="629"/>
      <c r="NLQ24" s="629"/>
      <c r="NLR24" s="629"/>
      <c r="NLS24" s="629"/>
      <c r="NLT24" s="629"/>
      <c r="NLU24" s="629"/>
      <c r="NLV24" s="629"/>
      <c r="NLW24" s="629"/>
      <c r="NLX24" s="629"/>
      <c r="NLY24" s="629"/>
      <c r="NLZ24" s="629"/>
      <c r="NMA24" s="629"/>
      <c r="NMB24" s="629"/>
      <c r="NMC24" s="629"/>
      <c r="NMD24" s="629"/>
      <c r="NME24" s="629"/>
      <c r="NMF24" s="629"/>
      <c r="NMG24" s="629"/>
      <c r="NMH24" s="629"/>
      <c r="NMI24" s="629"/>
      <c r="NMJ24" s="629"/>
      <c r="NMK24" s="629"/>
      <c r="NML24" s="629"/>
      <c r="NMM24" s="629"/>
      <c r="NMN24" s="629"/>
      <c r="NMO24" s="629"/>
      <c r="NMP24" s="629"/>
      <c r="NMQ24" s="629"/>
      <c r="NMR24" s="629"/>
      <c r="NMS24" s="629"/>
      <c r="NMT24" s="629"/>
      <c r="NMU24" s="629"/>
      <c r="NMV24" s="629"/>
      <c r="NMW24" s="629"/>
      <c r="NMX24" s="629"/>
      <c r="NMY24" s="629"/>
      <c r="NMZ24" s="629"/>
      <c r="NNA24" s="629"/>
      <c r="NNB24" s="629"/>
      <c r="NNC24" s="629"/>
      <c r="NND24" s="629"/>
      <c r="NNE24" s="629"/>
      <c r="NNF24" s="629"/>
      <c r="NNG24" s="629"/>
      <c r="NNH24" s="629"/>
      <c r="NNI24" s="629"/>
      <c r="NNJ24" s="629"/>
      <c r="NNK24" s="629"/>
      <c r="NNL24" s="629"/>
      <c r="NNM24" s="629"/>
      <c r="NNN24" s="629"/>
      <c r="NNO24" s="629"/>
      <c r="NNP24" s="629"/>
      <c r="NNQ24" s="629"/>
      <c r="NNR24" s="629"/>
      <c r="NNS24" s="629"/>
      <c r="NNT24" s="629"/>
      <c r="NNU24" s="629"/>
      <c r="NNV24" s="629"/>
      <c r="NNW24" s="629"/>
      <c r="NNX24" s="629"/>
      <c r="NNY24" s="629"/>
      <c r="NNZ24" s="629"/>
      <c r="NOA24" s="629"/>
      <c r="NOB24" s="629"/>
      <c r="NOC24" s="629"/>
      <c r="NOD24" s="629"/>
      <c r="NOE24" s="629"/>
      <c r="NOF24" s="629"/>
      <c r="NOG24" s="629"/>
      <c r="NOH24" s="629"/>
      <c r="NOI24" s="629"/>
      <c r="NOJ24" s="629"/>
      <c r="NOK24" s="629"/>
      <c r="NOL24" s="629"/>
      <c r="NOM24" s="629"/>
      <c r="NON24" s="629"/>
      <c r="NOO24" s="629"/>
      <c r="NOP24" s="629"/>
      <c r="NOQ24" s="629"/>
      <c r="NOR24" s="629"/>
      <c r="NOS24" s="629"/>
      <c r="NOT24" s="629"/>
      <c r="NOU24" s="629"/>
      <c r="NOV24" s="629"/>
      <c r="NOW24" s="629"/>
      <c r="NOX24" s="629"/>
      <c r="NOY24" s="629"/>
      <c r="NOZ24" s="629"/>
      <c r="NPA24" s="629"/>
      <c r="NPB24" s="629"/>
      <c r="NPC24" s="629"/>
      <c r="NPD24" s="629"/>
      <c r="NPE24" s="629"/>
      <c r="NPF24" s="629"/>
      <c r="NPG24" s="629"/>
      <c r="NPH24" s="629"/>
      <c r="NPI24" s="629"/>
      <c r="NPJ24" s="629"/>
      <c r="NPK24" s="629"/>
      <c r="NPL24" s="629"/>
      <c r="NPM24" s="629"/>
      <c r="NPN24" s="629"/>
      <c r="NPO24" s="629"/>
      <c r="NPP24" s="629"/>
      <c r="NPQ24" s="629"/>
      <c r="NPR24" s="629"/>
      <c r="NPS24" s="629"/>
      <c r="NPT24" s="629"/>
      <c r="NPU24" s="629"/>
      <c r="NPV24" s="629"/>
      <c r="NPW24" s="629"/>
      <c r="NPX24" s="629"/>
      <c r="NPY24" s="629"/>
      <c r="NPZ24" s="629"/>
      <c r="NQA24" s="629"/>
      <c r="NQB24" s="629"/>
      <c r="NQC24" s="629"/>
      <c r="NQD24" s="629"/>
      <c r="NQE24" s="629"/>
      <c r="NQF24" s="629"/>
      <c r="NQG24" s="629"/>
      <c r="NQH24" s="629"/>
      <c r="NQI24" s="629"/>
      <c r="NQJ24" s="629"/>
      <c r="NQK24" s="629"/>
      <c r="NQL24" s="629"/>
      <c r="NQM24" s="629"/>
      <c r="NQN24" s="629"/>
      <c r="NQO24" s="629"/>
      <c r="NQP24" s="629"/>
      <c r="NQQ24" s="629"/>
      <c r="NQR24" s="629"/>
      <c r="NQS24" s="629"/>
      <c r="NQT24" s="629"/>
      <c r="NQU24" s="629"/>
      <c r="NQV24" s="629"/>
      <c r="NQW24" s="629"/>
      <c r="NQX24" s="629"/>
      <c r="NQY24" s="629"/>
      <c r="NQZ24" s="629"/>
      <c r="NRA24" s="629"/>
      <c r="NRB24" s="629"/>
      <c r="NRC24" s="629"/>
      <c r="NRD24" s="629"/>
      <c r="NRE24" s="629"/>
      <c r="NRF24" s="629"/>
      <c r="NRG24" s="629"/>
      <c r="NRH24" s="629"/>
      <c r="NRI24" s="629"/>
      <c r="NRJ24" s="629"/>
      <c r="NRK24" s="629"/>
      <c r="NRL24" s="629"/>
      <c r="NRM24" s="629"/>
      <c r="NRN24" s="629"/>
      <c r="NRO24" s="629"/>
      <c r="NRP24" s="629"/>
      <c r="NRQ24" s="629"/>
      <c r="NRR24" s="629"/>
      <c r="NRS24" s="629"/>
      <c r="NRT24" s="629"/>
      <c r="NRU24" s="629"/>
      <c r="NRV24" s="629"/>
      <c r="NRW24" s="629"/>
      <c r="NRX24" s="629"/>
      <c r="NRY24" s="629"/>
      <c r="NRZ24" s="629"/>
      <c r="NSA24" s="629"/>
      <c r="NSB24" s="629"/>
      <c r="NSC24" s="629"/>
      <c r="NSD24" s="629"/>
      <c r="NSE24" s="629"/>
      <c r="NSF24" s="629"/>
      <c r="NSG24" s="629"/>
      <c r="NSH24" s="629"/>
      <c r="NSI24" s="629"/>
      <c r="NSJ24" s="629"/>
      <c r="NSK24" s="629"/>
      <c r="NSL24" s="629"/>
      <c r="NSM24" s="629"/>
      <c r="NSN24" s="629"/>
      <c r="NSO24" s="629"/>
      <c r="NSP24" s="629"/>
      <c r="NSQ24" s="629"/>
      <c r="NSR24" s="629"/>
      <c r="NSS24" s="629"/>
      <c r="NST24" s="629"/>
      <c r="NSU24" s="629"/>
      <c r="NSV24" s="629"/>
      <c r="NSW24" s="629"/>
      <c r="NSX24" s="629"/>
      <c r="NSY24" s="629"/>
      <c r="NSZ24" s="629"/>
      <c r="NTA24" s="629"/>
      <c r="NTB24" s="629"/>
      <c r="NTC24" s="629"/>
      <c r="NTD24" s="629"/>
      <c r="NTE24" s="629"/>
      <c r="NTF24" s="629"/>
      <c r="NTG24" s="629"/>
      <c r="NTH24" s="629"/>
      <c r="NTI24" s="629"/>
      <c r="NTJ24" s="629"/>
      <c r="NTK24" s="629"/>
      <c r="NTL24" s="629"/>
      <c r="NTM24" s="629"/>
      <c r="NTN24" s="629"/>
      <c r="NTO24" s="629"/>
      <c r="NTP24" s="629"/>
      <c r="NTQ24" s="629"/>
      <c r="NTR24" s="629"/>
      <c r="NTS24" s="629"/>
      <c r="NTT24" s="629"/>
      <c r="NTU24" s="629"/>
      <c r="NTV24" s="629"/>
      <c r="NTW24" s="629"/>
      <c r="NTX24" s="629"/>
      <c r="NTY24" s="629"/>
      <c r="NTZ24" s="629"/>
      <c r="NUA24" s="629"/>
      <c r="NUB24" s="629"/>
      <c r="NUC24" s="629"/>
      <c r="NUD24" s="629"/>
      <c r="NUE24" s="629"/>
      <c r="NUF24" s="629"/>
      <c r="NUG24" s="629"/>
      <c r="NUH24" s="629"/>
      <c r="NUI24" s="629"/>
      <c r="NUJ24" s="629"/>
      <c r="NUK24" s="629"/>
      <c r="NUL24" s="629"/>
      <c r="NUM24" s="629"/>
      <c r="NUN24" s="629"/>
      <c r="NUO24" s="629"/>
      <c r="NUP24" s="629"/>
      <c r="NUQ24" s="629"/>
      <c r="NUR24" s="629"/>
      <c r="NUS24" s="629"/>
      <c r="NUT24" s="629"/>
      <c r="NUU24" s="629"/>
      <c r="NUV24" s="629"/>
      <c r="NUW24" s="629"/>
      <c r="NUX24" s="629"/>
      <c r="NUY24" s="629"/>
      <c r="NUZ24" s="629"/>
      <c r="NVA24" s="629"/>
      <c r="NVB24" s="629"/>
      <c r="NVC24" s="629"/>
      <c r="NVD24" s="629"/>
      <c r="NVE24" s="629"/>
      <c r="NVF24" s="629"/>
      <c r="NVG24" s="629"/>
      <c r="NVH24" s="629"/>
      <c r="NVI24" s="629"/>
      <c r="NVJ24" s="629"/>
      <c r="NVK24" s="629"/>
      <c r="NVL24" s="629"/>
      <c r="NVM24" s="629"/>
      <c r="NVN24" s="629"/>
      <c r="NVO24" s="629"/>
      <c r="NVP24" s="629"/>
      <c r="NVQ24" s="629"/>
      <c r="NVR24" s="629"/>
      <c r="NVS24" s="629"/>
      <c r="NVT24" s="629"/>
      <c r="NVU24" s="629"/>
      <c r="NVV24" s="629"/>
      <c r="NVW24" s="629"/>
      <c r="NVX24" s="629"/>
      <c r="NVY24" s="629"/>
      <c r="NVZ24" s="629"/>
      <c r="NWA24" s="629"/>
      <c r="NWB24" s="629"/>
      <c r="NWC24" s="629"/>
      <c r="NWD24" s="629"/>
      <c r="NWE24" s="629"/>
      <c r="NWF24" s="629"/>
      <c r="NWG24" s="629"/>
      <c r="NWH24" s="629"/>
      <c r="NWI24" s="629"/>
      <c r="NWJ24" s="629"/>
      <c r="NWK24" s="629"/>
      <c r="NWL24" s="629"/>
      <c r="NWM24" s="629"/>
      <c r="NWN24" s="629"/>
      <c r="NWO24" s="629"/>
      <c r="NWP24" s="629"/>
      <c r="NWQ24" s="629"/>
      <c r="NWR24" s="629"/>
      <c r="NWS24" s="629"/>
      <c r="NWT24" s="629"/>
      <c r="NWU24" s="629"/>
      <c r="NWV24" s="629"/>
      <c r="NWW24" s="629"/>
      <c r="NWX24" s="629"/>
      <c r="NWY24" s="629"/>
      <c r="NWZ24" s="629"/>
      <c r="NXA24" s="629"/>
      <c r="NXB24" s="629"/>
      <c r="NXC24" s="629"/>
      <c r="NXD24" s="629"/>
      <c r="NXE24" s="629"/>
      <c r="NXF24" s="629"/>
      <c r="NXG24" s="629"/>
      <c r="NXH24" s="629"/>
      <c r="NXI24" s="629"/>
      <c r="NXJ24" s="629"/>
      <c r="NXK24" s="629"/>
      <c r="NXL24" s="629"/>
      <c r="NXM24" s="629"/>
      <c r="NXN24" s="629"/>
      <c r="NXO24" s="629"/>
      <c r="NXP24" s="629"/>
      <c r="NXQ24" s="629"/>
      <c r="NXR24" s="629"/>
      <c r="NXS24" s="629"/>
      <c r="NXT24" s="629"/>
      <c r="NXU24" s="629"/>
      <c r="NXV24" s="629"/>
      <c r="NXW24" s="629"/>
      <c r="NXX24" s="629"/>
      <c r="NXY24" s="629"/>
      <c r="NXZ24" s="629"/>
      <c r="NYA24" s="629"/>
      <c r="NYB24" s="629"/>
      <c r="NYC24" s="629"/>
      <c r="NYD24" s="629"/>
      <c r="NYE24" s="629"/>
      <c r="NYF24" s="629"/>
      <c r="NYG24" s="629"/>
      <c r="NYH24" s="629"/>
      <c r="NYI24" s="629"/>
      <c r="NYJ24" s="629"/>
      <c r="NYK24" s="629"/>
      <c r="NYL24" s="629"/>
      <c r="NYM24" s="629"/>
      <c r="NYN24" s="629"/>
      <c r="NYO24" s="629"/>
      <c r="NYP24" s="629"/>
      <c r="NYQ24" s="629"/>
      <c r="NYR24" s="629"/>
      <c r="NYS24" s="629"/>
      <c r="NYT24" s="629"/>
      <c r="NYU24" s="629"/>
      <c r="NYV24" s="629"/>
      <c r="NYW24" s="629"/>
      <c r="NYX24" s="629"/>
      <c r="NYY24" s="629"/>
      <c r="NYZ24" s="629"/>
      <c r="NZA24" s="629"/>
      <c r="NZB24" s="629"/>
      <c r="NZC24" s="629"/>
      <c r="NZD24" s="629"/>
      <c r="NZE24" s="629"/>
      <c r="NZF24" s="629"/>
      <c r="NZG24" s="629"/>
      <c r="NZH24" s="629"/>
      <c r="NZI24" s="629"/>
      <c r="NZJ24" s="629"/>
      <c r="NZK24" s="629"/>
      <c r="NZL24" s="629"/>
      <c r="NZM24" s="629"/>
      <c r="NZN24" s="629"/>
      <c r="NZO24" s="629"/>
      <c r="NZP24" s="629"/>
      <c r="NZQ24" s="629"/>
      <c r="NZR24" s="629"/>
      <c r="NZS24" s="629"/>
      <c r="NZT24" s="629"/>
      <c r="NZU24" s="629"/>
      <c r="NZV24" s="629"/>
      <c r="NZW24" s="629"/>
      <c r="NZX24" s="629"/>
      <c r="NZY24" s="629"/>
      <c r="NZZ24" s="629"/>
      <c r="OAA24" s="629"/>
      <c r="OAB24" s="629"/>
      <c r="OAC24" s="629"/>
      <c r="OAD24" s="629"/>
      <c r="OAE24" s="629"/>
      <c r="OAF24" s="629"/>
      <c r="OAG24" s="629"/>
      <c r="OAH24" s="629"/>
      <c r="OAI24" s="629"/>
      <c r="OAJ24" s="629"/>
      <c r="OAK24" s="629"/>
      <c r="OAL24" s="629"/>
      <c r="OAM24" s="629"/>
      <c r="OAN24" s="629"/>
      <c r="OAO24" s="629"/>
      <c r="OAP24" s="629"/>
      <c r="OAQ24" s="629"/>
      <c r="OAR24" s="629"/>
      <c r="OAS24" s="629"/>
      <c r="OAT24" s="629"/>
      <c r="OAU24" s="629"/>
      <c r="OAV24" s="629"/>
      <c r="OAW24" s="629"/>
      <c r="OAX24" s="629"/>
      <c r="OAY24" s="629"/>
      <c r="OAZ24" s="629"/>
      <c r="OBA24" s="629"/>
      <c r="OBB24" s="629"/>
      <c r="OBC24" s="629"/>
      <c r="OBD24" s="629"/>
      <c r="OBE24" s="629"/>
      <c r="OBF24" s="629"/>
      <c r="OBG24" s="629"/>
      <c r="OBH24" s="629"/>
      <c r="OBI24" s="629"/>
      <c r="OBJ24" s="629"/>
      <c r="OBK24" s="629"/>
      <c r="OBL24" s="629"/>
      <c r="OBM24" s="629"/>
      <c r="OBN24" s="629"/>
      <c r="OBO24" s="629"/>
      <c r="OBP24" s="629"/>
      <c r="OBQ24" s="629"/>
      <c r="OBR24" s="629"/>
      <c r="OBS24" s="629"/>
      <c r="OBT24" s="629"/>
      <c r="OBU24" s="629"/>
      <c r="OBV24" s="629"/>
      <c r="OBW24" s="629"/>
      <c r="OBX24" s="629"/>
      <c r="OBY24" s="629"/>
      <c r="OBZ24" s="629"/>
      <c r="OCA24" s="629"/>
      <c r="OCB24" s="629"/>
      <c r="OCC24" s="629"/>
      <c r="OCD24" s="629"/>
      <c r="OCE24" s="629"/>
      <c r="OCF24" s="629"/>
      <c r="OCG24" s="629"/>
      <c r="OCH24" s="629"/>
      <c r="OCI24" s="629"/>
      <c r="OCJ24" s="629"/>
      <c r="OCK24" s="629"/>
      <c r="OCL24" s="629"/>
      <c r="OCM24" s="629"/>
      <c r="OCN24" s="629"/>
      <c r="OCO24" s="629"/>
      <c r="OCP24" s="629"/>
      <c r="OCQ24" s="629"/>
      <c r="OCR24" s="629"/>
      <c r="OCS24" s="629"/>
      <c r="OCT24" s="629"/>
      <c r="OCU24" s="629"/>
      <c r="OCV24" s="629"/>
      <c r="OCW24" s="629"/>
      <c r="OCX24" s="629"/>
      <c r="OCY24" s="629"/>
      <c r="OCZ24" s="629"/>
      <c r="ODA24" s="629"/>
      <c r="ODB24" s="629"/>
      <c r="ODC24" s="629"/>
      <c r="ODD24" s="629"/>
      <c r="ODE24" s="629"/>
      <c r="ODF24" s="629"/>
      <c r="ODG24" s="629"/>
      <c r="ODH24" s="629"/>
      <c r="ODI24" s="629"/>
      <c r="ODJ24" s="629"/>
      <c r="ODK24" s="629"/>
      <c r="ODL24" s="629"/>
      <c r="ODM24" s="629"/>
      <c r="ODN24" s="629"/>
      <c r="ODO24" s="629"/>
      <c r="ODP24" s="629"/>
      <c r="ODQ24" s="629"/>
      <c r="ODR24" s="629"/>
      <c r="ODS24" s="629"/>
      <c r="ODT24" s="629"/>
      <c r="ODU24" s="629"/>
      <c r="ODV24" s="629"/>
      <c r="ODW24" s="629"/>
      <c r="ODX24" s="629"/>
      <c r="ODY24" s="629"/>
      <c r="ODZ24" s="629"/>
      <c r="OEA24" s="629"/>
      <c r="OEB24" s="629"/>
      <c r="OEC24" s="629"/>
      <c r="OED24" s="629"/>
      <c r="OEE24" s="629"/>
      <c r="OEF24" s="629"/>
      <c r="OEG24" s="629"/>
      <c r="OEH24" s="629"/>
      <c r="OEI24" s="629"/>
      <c r="OEJ24" s="629"/>
      <c r="OEK24" s="629"/>
      <c r="OEL24" s="629"/>
      <c r="OEM24" s="629"/>
      <c r="OEN24" s="629"/>
      <c r="OEO24" s="629"/>
      <c r="OEP24" s="629"/>
      <c r="OEQ24" s="629"/>
      <c r="OER24" s="629"/>
      <c r="OES24" s="629"/>
      <c r="OET24" s="629"/>
      <c r="OEU24" s="629"/>
      <c r="OEV24" s="629"/>
      <c r="OEW24" s="629"/>
      <c r="OEX24" s="629"/>
      <c r="OEY24" s="629"/>
      <c r="OEZ24" s="629"/>
      <c r="OFA24" s="629"/>
      <c r="OFB24" s="629"/>
      <c r="OFC24" s="629"/>
      <c r="OFD24" s="629"/>
      <c r="OFE24" s="629"/>
      <c r="OFF24" s="629"/>
      <c r="OFG24" s="629"/>
      <c r="OFH24" s="629"/>
      <c r="OFI24" s="629"/>
      <c r="OFJ24" s="629"/>
      <c r="OFK24" s="629"/>
      <c r="OFL24" s="629"/>
      <c r="OFM24" s="629"/>
      <c r="OFN24" s="629"/>
      <c r="OFO24" s="629"/>
      <c r="OFP24" s="629"/>
      <c r="OFQ24" s="629"/>
      <c r="OFR24" s="629"/>
      <c r="OFS24" s="629"/>
      <c r="OFT24" s="629"/>
      <c r="OFU24" s="629"/>
      <c r="OFV24" s="629"/>
      <c r="OFW24" s="629"/>
      <c r="OFX24" s="629"/>
      <c r="OFY24" s="629"/>
      <c r="OFZ24" s="629"/>
      <c r="OGA24" s="629"/>
      <c r="OGB24" s="629"/>
      <c r="OGC24" s="629"/>
      <c r="OGD24" s="629"/>
      <c r="OGE24" s="629"/>
      <c r="OGF24" s="629"/>
      <c r="OGG24" s="629"/>
      <c r="OGH24" s="629"/>
      <c r="OGI24" s="629"/>
      <c r="OGJ24" s="629"/>
      <c r="OGK24" s="629"/>
      <c r="OGL24" s="629"/>
      <c r="OGM24" s="629"/>
      <c r="OGN24" s="629"/>
      <c r="OGO24" s="629"/>
      <c r="OGP24" s="629"/>
      <c r="OGQ24" s="629"/>
      <c r="OGR24" s="629"/>
      <c r="OGS24" s="629"/>
      <c r="OGT24" s="629"/>
      <c r="OGU24" s="629"/>
      <c r="OGV24" s="629"/>
      <c r="OGW24" s="629"/>
      <c r="OGX24" s="629"/>
      <c r="OGY24" s="629"/>
      <c r="OGZ24" s="629"/>
      <c r="OHA24" s="629"/>
      <c r="OHB24" s="629"/>
      <c r="OHC24" s="629"/>
      <c r="OHD24" s="629"/>
      <c r="OHE24" s="629"/>
      <c r="OHF24" s="629"/>
      <c r="OHG24" s="629"/>
      <c r="OHH24" s="629"/>
      <c r="OHI24" s="629"/>
      <c r="OHJ24" s="629"/>
      <c r="OHK24" s="629"/>
      <c r="OHL24" s="629"/>
      <c r="OHM24" s="629"/>
      <c r="OHN24" s="629"/>
      <c r="OHO24" s="629"/>
      <c r="OHP24" s="629"/>
      <c r="OHQ24" s="629"/>
      <c r="OHR24" s="629"/>
      <c r="OHS24" s="629"/>
      <c r="OHT24" s="629"/>
      <c r="OHU24" s="629"/>
      <c r="OHV24" s="629"/>
      <c r="OHW24" s="629"/>
      <c r="OHX24" s="629"/>
      <c r="OHY24" s="629"/>
      <c r="OHZ24" s="629"/>
      <c r="OIA24" s="629"/>
      <c r="OIB24" s="629"/>
      <c r="OIC24" s="629"/>
      <c r="OID24" s="629"/>
      <c r="OIE24" s="629"/>
      <c r="OIF24" s="629"/>
      <c r="OIG24" s="629"/>
      <c r="OIH24" s="629"/>
      <c r="OII24" s="629"/>
      <c r="OIJ24" s="629"/>
      <c r="OIK24" s="629"/>
      <c r="OIL24" s="629"/>
      <c r="OIM24" s="629"/>
      <c r="OIN24" s="629"/>
      <c r="OIO24" s="629"/>
      <c r="OIP24" s="629"/>
      <c r="OIQ24" s="629"/>
      <c r="OIR24" s="629"/>
      <c r="OIS24" s="629"/>
      <c r="OIT24" s="629"/>
      <c r="OIU24" s="629"/>
      <c r="OIV24" s="629"/>
      <c r="OIW24" s="629"/>
      <c r="OIX24" s="629"/>
      <c r="OIY24" s="629"/>
      <c r="OIZ24" s="629"/>
      <c r="OJA24" s="629"/>
      <c r="OJB24" s="629"/>
      <c r="OJC24" s="629"/>
      <c r="OJD24" s="629"/>
      <c r="OJE24" s="629"/>
      <c r="OJF24" s="629"/>
      <c r="OJG24" s="629"/>
      <c r="OJH24" s="629"/>
      <c r="OJI24" s="629"/>
      <c r="OJJ24" s="629"/>
      <c r="OJK24" s="629"/>
      <c r="OJL24" s="629"/>
      <c r="OJM24" s="629"/>
      <c r="OJN24" s="629"/>
      <c r="OJO24" s="629"/>
      <c r="OJP24" s="629"/>
      <c r="OJQ24" s="629"/>
      <c r="OJR24" s="629"/>
      <c r="OJS24" s="629"/>
      <c r="OJT24" s="629"/>
      <c r="OJU24" s="629"/>
      <c r="OJV24" s="629"/>
      <c r="OJW24" s="629"/>
      <c r="OJX24" s="629"/>
      <c r="OJY24" s="629"/>
      <c r="OJZ24" s="629"/>
      <c r="OKA24" s="629"/>
      <c r="OKB24" s="629"/>
      <c r="OKC24" s="629"/>
      <c r="OKD24" s="629"/>
      <c r="OKE24" s="629"/>
      <c r="OKF24" s="629"/>
      <c r="OKG24" s="629"/>
      <c r="OKH24" s="629"/>
      <c r="OKI24" s="629"/>
      <c r="OKJ24" s="629"/>
      <c r="OKK24" s="629"/>
      <c r="OKL24" s="629"/>
      <c r="OKM24" s="629"/>
      <c r="OKN24" s="629"/>
      <c r="OKO24" s="629"/>
      <c r="OKP24" s="629"/>
      <c r="OKQ24" s="629"/>
      <c r="OKR24" s="629"/>
      <c r="OKS24" s="629"/>
      <c r="OKT24" s="629"/>
      <c r="OKU24" s="629"/>
      <c r="OKV24" s="629"/>
      <c r="OKW24" s="629"/>
      <c r="OKX24" s="629"/>
      <c r="OKY24" s="629"/>
      <c r="OKZ24" s="629"/>
      <c r="OLA24" s="629"/>
      <c r="OLB24" s="629"/>
      <c r="OLC24" s="629"/>
      <c r="OLD24" s="629"/>
      <c r="OLE24" s="629"/>
      <c r="OLF24" s="629"/>
      <c r="OLG24" s="629"/>
      <c r="OLH24" s="629"/>
      <c r="OLI24" s="629"/>
      <c r="OLJ24" s="629"/>
      <c r="OLK24" s="629"/>
      <c r="OLL24" s="629"/>
      <c r="OLM24" s="629"/>
      <c r="OLN24" s="629"/>
      <c r="OLO24" s="629"/>
      <c r="OLP24" s="629"/>
      <c r="OLQ24" s="629"/>
      <c r="OLR24" s="629"/>
      <c r="OLS24" s="629"/>
      <c r="OLT24" s="629"/>
      <c r="OLU24" s="629"/>
      <c r="OLV24" s="629"/>
      <c r="OLW24" s="629"/>
      <c r="OLX24" s="629"/>
      <c r="OLY24" s="629"/>
      <c r="OLZ24" s="629"/>
      <c r="OMA24" s="629"/>
      <c r="OMB24" s="629"/>
      <c r="OMC24" s="629"/>
      <c r="OMD24" s="629"/>
      <c r="OME24" s="629"/>
      <c r="OMF24" s="629"/>
      <c r="OMG24" s="629"/>
      <c r="OMH24" s="629"/>
      <c r="OMI24" s="629"/>
      <c r="OMJ24" s="629"/>
      <c r="OMK24" s="629"/>
      <c r="OML24" s="629"/>
      <c r="OMM24" s="629"/>
      <c r="OMN24" s="629"/>
      <c r="OMO24" s="629"/>
      <c r="OMP24" s="629"/>
      <c r="OMQ24" s="629"/>
      <c r="OMR24" s="629"/>
      <c r="OMS24" s="629"/>
      <c r="OMT24" s="629"/>
      <c r="OMU24" s="629"/>
      <c r="OMV24" s="629"/>
      <c r="OMW24" s="629"/>
      <c r="OMX24" s="629"/>
      <c r="OMY24" s="629"/>
      <c r="OMZ24" s="629"/>
      <c r="ONA24" s="629"/>
      <c r="ONB24" s="629"/>
      <c r="ONC24" s="629"/>
      <c r="OND24" s="629"/>
      <c r="ONE24" s="629"/>
      <c r="ONF24" s="629"/>
      <c r="ONG24" s="629"/>
      <c r="ONH24" s="629"/>
      <c r="ONI24" s="629"/>
      <c r="ONJ24" s="629"/>
      <c r="ONK24" s="629"/>
      <c r="ONL24" s="629"/>
      <c r="ONM24" s="629"/>
      <c r="ONN24" s="629"/>
      <c r="ONO24" s="629"/>
      <c r="ONP24" s="629"/>
      <c r="ONQ24" s="629"/>
      <c r="ONR24" s="629"/>
      <c r="ONS24" s="629"/>
      <c r="ONT24" s="629"/>
      <c r="ONU24" s="629"/>
      <c r="ONV24" s="629"/>
      <c r="ONW24" s="629"/>
      <c r="ONX24" s="629"/>
      <c r="ONY24" s="629"/>
      <c r="ONZ24" s="629"/>
      <c r="OOA24" s="629"/>
      <c r="OOB24" s="629"/>
      <c r="OOC24" s="629"/>
      <c r="OOD24" s="629"/>
      <c r="OOE24" s="629"/>
      <c r="OOF24" s="629"/>
      <c r="OOG24" s="629"/>
      <c r="OOH24" s="629"/>
      <c r="OOI24" s="629"/>
      <c r="OOJ24" s="629"/>
      <c r="OOK24" s="629"/>
      <c r="OOL24" s="629"/>
      <c r="OOM24" s="629"/>
      <c r="OON24" s="629"/>
      <c r="OOO24" s="629"/>
      <c r="OOP24" s="629"/>
      <c r="OOQ24" s="629"/>
      <c r="OOR24" s="629"/>
      <c r="OOS24" s="629"/>
      <c r="OOT24" s="629"/>
      <c r="OOU24" s="629"/>
      <c r="OOV24" s="629"/>
      <c r="OOW24" s="629"/>
      <c r="OOX24" s="629"/>
      <c r="OOY24" s="629"/>
      <c r="OOZ24" s="629"/>
      <c r="OPA24" s="629"/>
      <c r="OPB24" s="629"/>
      <c r="OPC24" s="629"/>
      <c r="OPD24" s="629"/>
      <c r="OPE24" s="629"/>
      <c r="OPF24" s="629"/>
      <c r="OPG24" s="629"/>
      <c r="OPH24" s="629"/>
      <c r="OPI24" s="629"/>
      <c r="OPJ24" s="629"/>
      <c r="OPK24" s="629"/>
      <c r="OPL24" s="629"/>
      <c r="OPM24" s="629"/>
      <c r="OPN24" s="629"/>
      <c r="OPO24" s="629"/>
      <c r="OPP24" s="629"/>
      <c r="OPQ24" s="629"/>
      <c r="OPR24" s="629"/>
      <c r="OPS24" s="629"/>
      <c r="OPT24" s="629"/>
      <c r="OPU24" s="629"/>
      <c r="OPV24" s="629"/>
      <c r="OPW24" s="629"/>
      <c r="OPX24" s="629"/>
      <c r="OPY24" s="629"/>
      <c r="OPZ24" s="629"/>
      <c r="OQA24" s="629"/>
      <c r="OQB24" s="629"/>
      <c r="OQC24" s="629"/>
      <c r="OQD24" s="629"/>
      <c r="OQE24" s="629"/>
      <c r="OQF24" s="629"/>
      <c r="OQG24" s="629"/>
      <c r="OQH24" s="629"/>
      <c r="OQI24" s="629"/>
      <c r="OQJ24" s="629"/>
      <c r="OQK24" s="629"/>
      <c r="OQL24" s="629"/>
      <c r="OQM24" s="629"/>
      <c r="OQN24" s="629"/>
      <c r="OQO24" s="629"/>
      <c r="OQP24" s="629"/>
      <c r="OQQ24" s="629"/>
      <c r="OQR24" s="629"/>
      <c r="OQS24" s="629"/>
      <c r="OQT24" s="629"/>
      <c r="OQU24" s="629"/>
      <c r="OQV24" s="629"/>
      <c r="OQW24" s="629"/>
      <c r="OQX24" s="629"/>
      <c r="OQY24" s="629"/>
      <c r="OQZ24" s="629"/>
      <c r="ORA24" s="629"/>
      <c r="ORB24" s="629"/>
      <c r="ORC24" s="629"/>
      <c r="ORD24" s="629"/>
      <c r="ORE24" s="629"/>
      <c r="ORF24" s="629"/>
      <c r="ORG24" s="629"/>
      <c r="ORH24" s="629"/>
      <c r="ORI24" s="629"/>
      <c r="ORJ24" s="629"/>
      <c r="ORK24" s="629"/>
      <c r="ORL24" s="629"/>
      <c r="ORM24" s="629"/>
      <c r="ORN24" s="629"/>
      <c r="ORO24" s="629"/>
      <c r="ORP24" s="629"/>
      <c r="ORQ24" s="629"/>
      <c r="ORR24" s="629"/>
      <c r="ORS24" s="629"/>
      <c r="ORT24" s="629"/>
      <c r="ORU24" s="629"/>
      <c r="ORV24" s="629"/>
      <c r="ORW24" s="629"/>
      <c r="ORX24" s="629"/>
      <c r="ORY24" s="629"/>
      <c r="ORZ24" s="629"/>
      <c r="OSA24" s="629"/>
      <c r="OSB24" s="629"/>
      <c r="OSC24" s="629"/>
      <c r="OSD24" s="629"/>
      <c r="OSE24" s="629"/>
      <c r="OSF24" s="629"/>
      <c r="OSG24" s="629"/>
      <c r="OSH24" s="629"/>
      <c r="OSI24" s="629"/>
      <c r="OSJ24" s="629"/>
      <c r="OSK24" s="629"/>
      <c r="OSL24" s="629"/>
      <c r="OSM24" s="629"/>
      <c r="OSN24" s="629"/>
      <c r="OSO24" s="629"/>
      <c r="OSP24" s="629"/>
      <c r="OSQ24" s="629"/>
      <c r="OSR24" s="629"/>
      <c r="OSS24" s="629"/>
      <c r="OST24" s="629"/>
      <c r="OSU24" s="629"/>
      <c r="OSV24" s="629"/>
      <c r="OSW24" s="629"/>
      <c r="OSX24" s="629"/>
      <c r="OSY24" s="629"/>
      <c r="OSZ24" s="629"/>
      <c r="OTA24" s="629"/>
      <c r="OTB24" s="629"/>
      <c r="OTC24" s="629"/>
      <c r="OTD24" s="629"/>
      <c r="OTE24" s="629"/>
      <c r="OTF24" s="629"/>
      <c r="OTG24" s="629"/>
      <c r="OTH24" s="629"/>
      <c r="OTI24" s="629"/>
      <c r="OTJ24" s="629"/>
      <c r="OTK24" s="629"/>
      <c r="OTL24" s="629"/>
      <c r="OTM24" s="629"/>
      <c r="OTN24" s="629"/>
      <c r="OTO24" s="629"/>
      <c r="OTP24" s="629"/>
      <c r="OTQ24" s="629"/>
      <c r="OTR24" s="629"/>
      <c r="OTS24" s="629"/>
      <c r="OTT24" s="629"/>
      <c r="OTU24" s="629"/>
      <c r="OTV24" s="629"/>
      <c r="OTW24" s="629"/>
      <c r="OTX24" s="629"/>
      <c r="OTY24" s="629"/>
      <c r="OTZ24" s="629"/>
      <c r="OUA24" s="629"/>
      <c r="OUB24" s="629"/>
      <c r="OUC24" s="629"/>
      <c r="OUD24" s="629"/>
      <c r="OUE24" s="629"/>
      <c r="OUF24" s="629"/>
      <c r="OUG24" s="629"/>
      <c r="OUH24" s="629"/>
      <c r="OUI24" s="629"/>
      <c r="OUJ24" s="629"/>
      <c r="OUK24" s="629"/>
      <c r="OUL24" s="629"/>
      <c r="OUM24" s="629"/>
      <c r="OUN24" s="629"/>
      <c r="OUO24" s="629"/>
      <c r="OUP24" s="629"/>
      <c r="OUQ24" s="629"/>
      <c r="OUR24" s="629"/>
      <c r="OUS24" s="629"/>
      <c r="OUT24" s="629"/>
      <c r="OUU24" s="629"/>
      <c r="OUV24" s="629"/>
      <c r="OUW24" s="629"/>
      <c r="OUX24" s="629"/>
      <c r="OUY24" s="629"/>
      <c r="OUZ24" s="629"/>
      <c r="OVA24" s="629"/>
      <c r="OVB24" s="629"/>
      <c r="OVC24" s="629"/>
      <c r="OVD24" s="629"/>
      <c r="OVE24" s="629"/>
      <c r="OVF24" s="629"/>
      <c r="OVG24" s="629"/>
      <c r="OVH24" s="629"/>
      <c r="OVI24" s="629"/>
      <c r="OVJ24" s="629"/>
      <c r="OVK24" s="629"/>
      <c r="OVL24" s="629"/>
      <c r="OVM24" s="629"/>
      <c r="OVN24" s="629"/>
      <c r="OVO24" s="629"/>
      <c r="OVP24" s="629"/>
      <c r="OVQ24" s="629"/>
      <c r="OVR24" s="629"/>
      <c r="OVS24" s="629"/>
      <c r="OVT24" s="629"/>
      <c r="OVU24" s="629"/>
      <c r="OVV24" s="629"/>
      <c r="OVW24" s="629"/>
      <c r="OVX24" s="629"/>
      <c r="OVY24" s="629"/>
      <c r="OVZ24" s="629"/>
      <c r="OWA24" s="629"/>
      <c r="OWB24" s="629"/>
      <c r="OWC24" s="629"/>
      <c r="OWD24" s="629"/>
      <c r="OWE24" s="629"/>
      <c r="OWF24" s="629"/>
      <c r="OWG24" s="629"/>
      <c r="OWH24" s="629"/>
      <c r="OWI24" s="629"/>
      <c r="OWJ24" s="629"/>
      <c r="OWK24" s="629"/>
      <c r="OWL24" s="629"/>
      <c r="OWM24" s="629"/>
      <c r="OWN24" s="629"/>
      <c r="OWO24" s="629"/>
      <c r="OWP24" s="629"/>
      <c r="OWQ24" s="629"/>
      <c r="OWR24" s="629"/>
      <c r="OWS24" s="629"/>
      <c r="OWT24" s="629"/>
      <c r="OWU24" s="629"/>
      <c r="OWV24" s="629"/>
      <c r="OWW24" s="629"/>
      <c r="OWX24" s="629"/>
      <c r="OWY24" s="629"/>
      <c r="OWZ24" s="629"/>
      <c r="OXA24" s="629"/>
      <c r="OXB24" s="629"/>
      <c r="OXC24" s="629"/>
      <c r="OXD24" s="629"/>
      <c r="OXE24" s="629"/>
      <c r="OXF24" s="629"/>
      <c r="OXG24" s="629"/>
      <c r="OXH24" s="629"/>
      <c r="OXI24" s="629"/>
      <c r="OXJ24" s="629"/>
      <c r="OXK24" s="629"/>
      <c r="OXL24" s="629"/>
      <c r="OXM24" s="629"/>
      <c r="OXN24" s="629"/>
      <c r="OXO24" s="629"/>
      <c r="OXP24" s="629"/>
      <c r="OXQ24" s="629"/>
      <c r="OXR24" s="629"/>
      <c r="OXS24" s="629"/>
      <c r="OXT24" s="629"/>
      <c r="OXU24" s="629"/>
      <c r="OXV24" s="629"/>
      <c r="OXW24" s="629"/>
      <c r="OXX24" s="629"/>
      <c r="OXY24" s="629"/>
      <c r="OXZ24" s="629"/>
      <c r="OYA24" s="629"/>
      <c r="OYB24" s="629"/>
      <c r="OYC24" s="629"/>
      <c r="OYD24" s="629"/>
      <c r="OYE24" s="629"/>
      <c r="OYF24" s="629"/>
      <c r="OYG24" s="629"/>
      <c r="OYH24" s="629"/>
      <c r="OYI24" s="629"/>
      <c r="OYJ24" s="629"/>
      <c r="OYK24" s="629"/>
      <c r="OYL24" s="629"/>
      <c r="OYM24" s="629"/>
      <c r="OYN24" s="629"/>
      <c r="OYO24" s="629"/>
      <c r="OYP24" s="629"/>
      <c r="OYQ24" s="629"/>
      <c r="OYR24" s="629"/>
      <c r="OYS24" s="629"/>
      <c r="OYT24" s="629"/>
      <c r="OYU24" s="629"/>
      <c r="OYV24" s="629"/>
      <c r="OYW24" s="629"/>
      <c r="OYX24" s="629"/>
      <c r="OYY24" s="629"/>
      <c r="OYZ24" s="629"/>
      <c r="OZA24" s="629"/>
      <c r="OZB24" s="629"/>
      <c r="OZC24" s="629"/>
      <c r="OZD24" s="629"/>
      <c r="OZE24" s="629"/>
      <c r="OZF24" s="629"/>
      <c r="OZG24" s="629"/>
      <c r="OZH24" s="629"/>
      <c r="OZI24" s="629"/>
      <c r="OZJ24" s="629"/>
      <c r="OZK24" s="629"/>
      <c r="OZL24" s="629"/>
      <c r="OZM24" s="629"/>
      <c r="OZN24" s="629"/>
      <c r="OZO24" s="629"/>
      <c r="OZP24" s="629"/>
      <c r="OZQ24" s="629"/>
      <c r="OZR24" s="629"/>
      <c r="OZS24" s="629"/>
      <c r="OZT24" s="629"/>
      <c r="OZU24" s="629"/>
      <c r="OZV24" s="629"/>
      <c r="OZW24" s="629"/>
      <c r="OZX24" s="629"/>
      <c r="OZY24" s="629"/>
      <c r="OZZ24" s="629"/>
      <c r="PAA24" s="629"/>
      <c r="PAB24" s="629"/>
      <c r="PAC24" s="629"/>
      <c r="PAD24" s="629"/>
      <c r="PAE24" s="629"/>
      <c r="PAF24" s="629"/>
      <c r="PAG24" s="629"/>
      <c r="PAH24" s="629"/>
      <c r="PAI24" s="629"/>
      <c r="PAJ24" s="629"/>
      <c r="PAK24" s="629"/>
      <c r="PAL24" s="629"/>
      <c r="PAM24" s="629"/>
      <c r="PAN24" s="629"/>
      <c r="PAO24" s="629"/>
      <c r="PAP24" s="629"/>
      <c r="PAQ24" s="629"/>
      <c r="PAR24" s="629"/>
      <c r="PAS24" s="629"/>
      <c r="PAT24" s="629"/>
      <c r="PAU24" s="629"/>
      <c r="PAV24" s="629"/>
      <c r="PAW24" s="629"/>
      <c r="PAX24" s="629"/>
      <c r="PAY24" s="629"/>
      <c r="PAZ24" s="629"/>
      <c r="PBA24" s="629"/>
      <c r="PBB24" s="629"/>
      <c r="PBC24" s="629"/>
      <c r="PBD24" s="629"/>
      <c r="PBE24" s="629"/>
      <c r="PBF24" s="629"/>
      <c r="PBG24" s="629"/>
      <c r="PBH24" s="629"/>
      <c r="PBI24" s="629"/>
      <c r="PBJ24" s="629"/>
      <c r="PBK24" s="629"/>
      <c r="PBL24" s="629"/>
      <c r="PBM24" s="629"/>
      <c r="PBN24" s="629"/>
      <c r="PBO24" s="629"/>
      <c r="PBP24" s="629"/>
      <c r="PBQ24" s="629"/>
      <c r="PBR24" s="629"/>
      <c r="PBS24" s="629"/>
      <c r="PBT24" s="629"/>
      <c r="PBU24" s="629"/>
      <c r="PBV24" s="629"/>
      <c r="PBW24" s="629"/>
      <c r="PBX24" s="629"/>
      <c r="PBY24" s="629"/>
      <c r="PBZ24" s="629"/>
      <c r="PCA24" s="629"/>
      <c r="PCB24" s="629"/>
      <c r="PCC24" s="629"/>
      <c r="PCD24" s="629"/>
      <c r="PCE24" s="629"/>
      <c r="PCF24" s="629"/>
      <c r="PCG24" s="629"/>
      <c r="PCH24" s="629"/>
      <c r="PCI24" s="629"/>
      <c r="PCJ24" s="629"/>
      <c r="PCK24" s="629"/>
      <c r="PCL24" s="629"/>
      <c r="PCM24" s="629"/>
      <c r="PCN24" s="629"/>
      <c r="PCO24" s="629"/>
      <c r="PCP24" s="629"/>
      <c r="PCQ24" s="629"/>
      <c r="PCR24" s="629"/>
      <c r="PCS24" s="629"/>
      <c r="PCT24" s="629"/>
      <c r="PCU24" s="629"/>
      <c r="PCV24" s="629"/>
      <c r="PCW24" s="629"/>
      <c r="PCX24" s="629"/>
      <c r="PCY24" s="629"/>
      <c r="PCZ24" s="629"/>
      <c r="PDA24" s="629"/>
      <c r="PDB24" s="629"/>
      <c r="PDC24" s="629"/>
      <c r="PDD24" s="629"/>
      <c r="PDE24" s="629"/>
      <c r="PDF24" s="629"/>
      <c r="PDG24" s="629"/>
      <c r="PDH24" s="629"/>
      <c r="PDI24" s="629"/>
      <c r="PDJ24" s="629"/>
      <c r="PDK24" s="629"/>
      <c r="PDL24" s="629"/>
      <c r="PDM24" s="629"/>
      <c r="PDN24" s="629"/>
      <c r="PDO24" s="629"/>
      <c r="PDP24" s="629"/>
      <c r="PDQ24" s="629"/>
      <c r="PDR24" s="629"/>
      <c r="PDS24" s="629"/>
      <c r="PDT24" s="629"/>
      <c r="PDU24" s="629"/>
      <c r="PDV24" s="629"/>
      <c r="PDW24" s="629"/>
      <c r="PDX24" s="629"/>
      <c r="PDY24" s="629"/>
      <c r="PDZ24" s="629"/>
      <c r="PEA24" s="629"/>
      <c r="PEB24" s="629"/>
      <c r="PEC24" s="629"/>
      <c r="PED24" s="629"/>
      <c r="PEE24" s="629"/>
      <c r="PEF24" s="629"/>
      <c r="PEG24" s="629"/>
      <c r="PEH24" s="629"/>
      <c r="PEI24" s="629"/>
      <c r="PEJ24" s="629"/>
      <c r="PEK24" s="629"/>
      <c r="PEL24" s="629"/>
      <c r="PEM24" s="629"/>
      <c r="PEN24" s="629"/>
      <c r="PEO24" s="629"/>
      <c r="PEP24" s="629"/>
      <c r="PEQ24" s="629"/>
      <c r="PER24" s="629"/>
      <c r="PES24" s="629"/>
      <c r="PET24" s="629"/>
      <c r="PEU24" s="629"/>
      <c r="PEV24" s="629"/>
      <c r="PEW24" s="629"/>
      <c r="PEX24" s="629"/>
      <c r="PEY24" s="629"/>
      <c r="PEZ24" s="629"/>
      <c r="PFA24" s="629"/>
      <c r="PFB24" s="629"/>
      <c r="PFC24" s="629"/>
      <c r="PFD24" s="629"/>
      <c r="PFE24" s="629"/>
      <c r="PFF24" s="629"/>
      <c r="PFG24" s="629"/>
      <c r="PFH24" s="629"/>
      <c r="PFI24" s="629"/>
      <c r="PFJ24" s="629"/>
      <c r="PFK24" s="629"/>
      <c r="PFL24" s="629"/>
      <c r="PFM24" s="629"/>
      <c r="PFN24" s="629"/>
      <c r="PFO24" s="629"/>
      <c r="PFP24" s="629"/>
      <c r="PFQ24" s="629"/>
      <c r="PFR24" s="629"/>
      <c r="PFS24" s="629"/>
      <c r="PFT24" s="629"/>
      <c r="PFU24" s="629"/>
      <c r="PFV24" s="629"/>
      <c r="PFW24" s="629"/>
      <c r="PFX24" s="629"/>
      <c r="PFY24" s="629"/>
      <c r="PFZ24" s="629"/>
      <c r="PGA24" s="629"/>
      <c r="PGB24" s="629"/>
      <c r="PGC24" s="629"/>
      <c r="PGD24" s="629"/>
      <c r="PGE24" s="629"/>
      <c r="PGF24" s="629"/>
      <c r="PGG24" s="629"/>
      <c r="PGH24" s="629"/>
      <c r="PGI24" s="629"/>
      <c r="PGJ24" s="629"/>
      <c r="PGK24" s="629"/>
      <c r="PGL24" s="629"/>
      <c r="PGM24" s="629"/>
      <c r="PGN24" s="629"/>
      <c r="PGO24" s="629"/>
      <c r="PGP24" s="629"/>
      <c r="PGQ24" s="629"/>
      <c r="PGR24" s="629"/>
      <c r="PGS24" s="629"/>
      <c r="PGT24" s="629"/>
      <c r="PGU24" s="629"/>
      <c r="PGV24" s="629"/>
      <c r="PGW24" s="629"/>
      <c r="PGX24" s="629"/>
      <c r="PGY24" s="629"/>
      <c r="PGZ24" s="629"/>
      <c r="PHA24" s="629"/>
      <c r="PHB24" s="629"/>
      <c r="PHC24" s="629"/>
      <c r="PHD24" s="629"/>
      <c r="PHE24" s="629"/>
      <c r="PHF24" s="629"/>
      <c r="PHG24" s="629"/>
      <c r="PHH24" s="629"/>
      <c r="PHI24" s="629"/>
      <c r="PHJ24" s="629"/>
      <c r="PHK24" s="629"/>
      <c r="PHL24" s="629"/>
      <c r="PHM24" s="629"/>
      <c r="PHN24" s="629"/>
      <c r="PHO24" s="629"/>
      <c r="PHP24" s="629"/>
      <c r="PHQ24" s="629"/>
      <c r="PHR24" s="629"/>
      <c r="PHS24" s="629"/>
      <c r="PHT24" s="629"/>
      <c r="PHU24" s="629"/>
      <c r="PHV24" s="629"/>
      <c r="PHW24" s="629"/>
      <c r="PHX24" s="629"/>
      <c r="PHY24" s="629"/>
      <c r="PHZ24" s="629"/>
      <c r="PIA24" s="629"/>
      <c r="PIB24" s="629"/>
      <c r="PIC24" s="629"/>
      <c r="PID24" s="629"/>
      <c r="PIE24" s="629"/>
      <c r="PIF24" s="629"/>
      <c r="PIG24" s="629"/>
      <c r="PIH24" s="629"/>
      <c r="PII24" s="629"/>
      <c r="PIJ24" s="629"/>
      <c r="PIK24" s="629"/>
      <c r="PIL24" s="629"/>
      <c r="PIM24" s="629"/>
      <c r="PIN24" s="629"/>
      <c r="PIO24" s="629"/>
      <c r="PIP24" s="629"/>
      <c r="PIQ24" s="629"/>
      <c r="PIR24" s="629"/>
      <c r="PIS24" s="629"/>
      <c r="PIT24" s="629"/>
      <c r="PIU24" s="629"/>
      <c r="PIV24" s="629"/>
      <c r="PIW24" s="629"/>
      <c r="PIX24" s="629"/>
      <c r="PIY24" s="629"/>
      <c r="PIZ24" s="629"/>
      <c r="PJA24" s="629"/>
      <c r="PJB24" s="629"/>
      <c r="PJC24" s="629"/>
      <c r="PJD24" s="629"/>
      <c r="PJE24" s="629"/>
      <c r="PJF24" s="629"/>
      <c r="PJG24" s="629"/>
      <c r="PJH24" s="629"/>
      <c r="PJI24" s="629"/>
      <c r="PJJ24" s="629"/>
      <c r="PJK24" s="629"/>
      <c r="PJL24" s="629"/>
      <c r="PJM24" s="629"/>
      <c r="PJN24" s="629"/>
      <c r="PJO24" s="629"/>
      <c r="PJP24" s="629"/>
      <c r="PJQ24" s="629"/>
      <c r="PJR24" s="629"/>
      <c r="PJS24" s="629"/>
      <c r="PJT24" s="629"/>
      <c r="PJU24" s="629"/>
      <c r="PJV24" s="629"/>
      <c r="PJW24" s="629"/>
      <c r="PJX24" s="629"/>
      <c r="PJY24" s="629"/>
      <c r="PJZ24" s="629"/>
      <c r="PKA24" s="629"/>
      <c r="PKB24" s="629"/>
      <c r="PKC24" s="629"/>
      <c r="PKD24" s="629"/>
      <c r="PKE24" s="629"/>
      <c r="PKF24" s="629"/>
      <c r="PKG24" s="629"/>
      <c r="PKH24" s="629"/>
      <c r="PKI24" s="629"/>
      <c r="PKJ24" s="629"/>
      <c r="PKK24" s="629"/>
      <c r="PKL24" s="629"/>
      <c r="PKM24" s="629"/>
      <c r="PKN24" s="629"/>
      <c r="PKO24" s="629"/>
      <c r="PKP24" s="629"/>
      <c r="PKQ24" s="629"/>
      <c r="PKR24" s="629"/>
      <c r="PKS24" s="629"/>
      <c r="PKT24" s="629"/>
      <c r="PKU24" s="629"/>
      <c r="PKV24" s="629"/>
      <c r="PKW24" s="629"/>
      <c r="PKX24" s="629"/>
      <c r="PKY24" s="629"/>
      <c r="PKZ24" s="629"/>
      <c r="PLA24" s="629"/>
      <c r="PLB24" s="629"/>
      <c r="PLC24" s="629"/>
      <c r="PLD24" s="629"/>
      <c r="PLE24" s="629"/>
      <c r="PLF24" s="629"/>
      <c r="PLG24" s="629"/>
      <c r="PLH24" s="629"/>
      <c r="PLI24" s="629"/>
      <c r="PLJ24" s="629"/>
      <c r="PLK24" s="629"/>
      <c r="PLL24" s="629"/>
      <c r="PLM24" s="629"/>
      <c r="PLN24" s="629"/>
      <c r="PLO24" s="629"/>
      <c r="PLP24" s="629"/>
      <c r="PLQ24" s="629"/>
      <c r="PLR24" s="629"/>
      <c r="PLS24" s="629"/>
      <c r="PLT24" s="629"/>
      <c r="PLU24" s="629"/>
      <c r="PLV24" s="629"/>
      <c r="PLW24" s="629"/>
      <c r="PLX24" s="629"/>
      <c r="PLY24" s="629"/>
      <c r="PLZ24" s="629"/>
      <c r="PMA24" s="629"/>
      <c r="PMB24" s="629"/>
      <c r="PMC24" s="629"/>
      <c r="PMD24" s="629"/>
      <c r="PME24" s="629"/>
      <c r="PMF24" s="629"/>
      <c r="PMG24" s="629"/>
      <c r="PMH24" s="629"/>
      <c r="PMI24" s="629"/>
      <c r="PMJ24" s="629"/>
      <c r="PMK24" s="629"/>
      <c r="PML24" s="629"/>
      <c r="PMM24" s="629"/>
      <c r="PMN24" s="629"/>
      <c r="PMO24" s="629"/>
      <c r="PMP24" s="629"/>
      <c r="PMQ24" s="629"/>
      <c r="PMR24" s="629"/>
      <c r="PMS24" s="629"/>
      <c r="PMT24" s="629"/>
      <c r="PMU24" s="629"/>
      <c r="PMV24" s="629"/>
      <c r="PMW24" s="629"/>
      <c r="PMX24" s="629"/>
      <c r="PMY24" s="629"/>
      <c r="PMZ24" s="629"/>
      <c r="PNA24" s="629"/>
      <c r="PNB24" s="629"/>
      <c r="PNC24" s="629"/>
      <c r="PND24" s="629"/>
      <c r="PNE24" s="629"/>
      <c r="PNF24" s="629"/>
      <c r="PNG24" s="629"/>
      <c r="PNH24" s="629"/>
      <c r="PNI24" s="629"/>
      <c r="PNJ24" s="629"/>
      <c r="PNK24" s="629"/>
      <c r="PNL24" s="629"/>
      <c r="PNM24" s="629"/>
      <c r="PNN24" s="629"/>
      <c r="PNO24" s="629"/>
      <c r="PNP24" s="629"/>
      <c r="PNQ24" s="629"/>
      <c r="PNR24" s="629"/>
      <c r="PNS24" s="629"/>
      <c r="PNT24" s="629"/>
      <c r="PNU24" s="629"/>
      <c r="PNV24" s="629"/>
      <c r="PNW24" s="629"/>
      <c r="PNX24" s="629"/>
      <c r="PNY24" s="629"/>
      <c r="PNZ24" s="629"/>
      <c r="POA24" s="629"/>
      <c r="POB24" s="629"/>
      <c r="POC24" s="629"/>
      <c r="POD24" s="629"/>
      <c r="POE24" s="629"/>
      <c r="POF24" s="629"/>
      <c r="POG24" s="629"/>
      <c r="POH24" s="629"/>
      <c r="POI24" s="629"/>
      <c r="POJ24" s="629"/>
      <c r="POK24" s="629"/>
      <c r="POL24" s="629"/>
      <c r="POM24" s="629"/>
      <c r="PON24" s="629"/>
      <c r="POO24" s="629"/>
      <c r="POP24" s="629"/>
      <c r="POQ24" s="629"/>
      <c r="POR24" s="629"/>
      <c r="POS24" s="629"/>
      <c r="POT24" s="629"/>
      <c r="POU24" s="629"/>
      <c r="POV24" s="629"/>
      <c r="POW24" s="629"/>
      <c r="POX24" s="629"/>
      <c r="POY24" s="629"/>
      <c r="POZ24" s="629"/>
      <c r="PPA24" s="629"/>
      <c r="PPB24" s="629"/>
      <c r="PPC24" s="629"/>
      <c r="PPD24" s="629"/>
      <c r="PPE24" s="629"/>
      <c r="PPF24" s="629"/>
      <c r="PPG24" s="629"/>
      <c r="PPH24" s="629"/>
      <c r="PPI24" s="629"/>
      <c r="PPJ24" s="629"/>
      <c r="PPK24" s="629"/>
      <c r="PPL24" s="629"/>
      <c r="PPM24" s="629"/>
      <c r="PPN24" s="629"/>
      <c r="PPO24" s="629"/>
      <c r="PPP24" s="629"/>
      <c r="PPQ24" s="629"/>
      <c r="PPR24" s="629"/>
      <c r="PPS24" s="629"/>
      <c r="PPT24" s="629"/>
      <c r="PPU24" s="629"/>
      <c r="PPV24" s="629"/>
      <c r="PPW24" s="629"/>
      <c r="PPX24" s="629"/>
      <c r="PPY24" s="629"/>
      <c r="PPZ24" s="629"/>
      <c r="PQA24" s="629"/>
      <c r="PQB24" s="629"/>
      <c r="PQC24" s="629"/>
      <c r="PQD24" s="629"/>
      <c r="PQE24" s="629"/>
      <c r="PQF24" s="629"/>
      <c r="PQG24" s="629"/>
      <c r="PQH24" s="629"/>
      <c r="PQI24" s="629"/>
      <c r="PQJ24" s="629"/>
      <c r="PQK24" s="629"/>
      <c r="PQL24" s="629"/>
      <c r="PQM24" s="629"/>
      <c r="PQN24" s="629"/>
      <c r="PQO24" s="629"/>
      <c r="PQP24" s="629"/>
      <c r="PQQ24" s="629"/>
      <c r="PQR24" s="629"/>
      <c r="PQS24" s="629"/>
      <c r="PQT24" s="629"/>
      <c r="PQU24" s="629"/>
      <c r="PQV24" s="629"/>
      <c r="PQW24" s="629"/>
      <c r="PQX24" s="629"/>
      <c r="PQY24" s="629"/>
      <c r="PQZ24" s="629"/>
      <c r="PRA24" s="629"/>
      <c r="PRB24" s="629"/>
      <c r="PRC24" s="629"/>
      <c r="PRD24" s="629"/>
      <c r="PRE24" s="629"/>
      <c r="PRF24" s="629"/>
      <c r="PRG24" s="629"/>
      <c r="PRH24" s="629"/>
      <c r="PRI24" s="629"/>
      <c r="PRJ24" s="629"/>
      <c r="PRK24" s="629"/>
      <c r="PRL24" s="629"/>
      <c r="PRM24" s="629"/>
      <c r="PRN24" s="629"/>
      <c r="PRO24" s="629"/>
      <c r="PRP24" s="629"/>
      <c r="PRQ24" s="629"/>
      <c r="PRR24" s="629"/>
      <c r="PRS24" s="629"/>
      <c r="PRT24" s="629"/>
      <c r="PRU24" s="629"/>
      <c r="PRV24" s="629"/>
      <c r="PRW24" s="629"/>
      <c r="PRX24" s="629"/>
      <c r="PRY24" s="629"/>
      <c r="PRZ24" s="629"/>
      <c r="PSA24" s="629"/>
      <c r="PSB24" s="629"/>
      <c r="PSC24" s="629"/>
      <c r="PSD24" s="629"/>
      <c r="PSE24" s="629"/>
      <c r="PSF24" s="629"/>
      <c r="PSG24" s="629"/>
      <c r="PSH24" s="629"/>
      <c r="PSI24" s="629"/>
      <c r="PSJ24" s="629"/>
      <c r="PSK24" s="629"/>
      <c r="PSL24" s="629"/>
      <c r="PSM24" s="629"/>
      <c r="PSN24" s="629"/>
      <c r="PSO24" s="629"/>
      <c r="PSP24" s="629"/>
      <c r="PSQ24" s="629"/>
      <c r="PSR24" s="629"/>
      <c r="PSS24" s="629"/>
      <c r="PST24" s="629"/>
      <c r="PSU24" s="629"/>
      <c r="PSV24" s="629"/>
      <c r="PSW24" s="629"/>
      <c r="PSX24" s="629"/>
      <c r="PSY24" s="629"/>
      <c r="PSZ24" s="629"/>
      <c r="PTA24" s="629"/>
      <c r="PTB24" s="629"/>
      <c r="PTC24" s="629"/>
      <c r="PTD24" s="629"/>
      <c r="PTE24" s="629"/>
      <c r="PTF24" s="629"/>
      <c r="PTG24" s="629"/>
      <c r="PTH24" s="629"/>
      <c r="PTI24" s="629"/>
      <c r="PTJ24" s="629"/>
      <c r="PTK24" s="629"/>
      <c r="PTL24" s="629"/>
      <c r="PTM24" s="629"/>
      <c r="PTN24" s="629"/>
      <c r="PTO24" s="629"/>
      <c r="PTP24" s="629"/>
      <c r="PTQ24" s="629"/>
      <c r="PTR24" s="629"/>
      <c r="PTS24" s="629"/>
      <c r="PTT24" s="629"/>
      <c r="PTU24" s="629"/>
      <c r="PTV24" s="629"/>
      <c r="PTW24" s="629"/>
      <c r="PTX24" s="629"/>
      <c r="PTY24" s="629"/>
      <c r="PTZ24" s="629"/>
      <c r="PUA24" s="629"/>
      <c r="PUB24" s="629"/>
      <c r="PUC24" s="629"/>
      <c r="PUD24" s="629"/>
      <c r="PUE24" s="629"/>
      <c r="PUF24" s="629"/>
      <c r="PUG24" s="629"/>
      <c r="PUH24" s="629"/>
      <c r="PUI24" s="629"/>
      <c r="PUJ24" s="629"/>
      <c r="PUK24" s="629"/>
      <c r="PUL24" s="629"/>
      <c r="PUM24" s="629"/>
      <c r="PUN24" s="629"/>
      <c r="PUO24" s="629"/>
      <c r="PUP24" s="629"/>
      <c r="PUQ24" s="629"/>
      <c r="PUR24" s="629"/>
      <c r="PUS24" s="629"/>
      <c r="PUT24" s="629"/>
      <c r="PUU24" s="629"/>
      <c r="PUV24" s="629"/>
      <c r="PUW24" s="629"/>
      <c r="PUX24" s="629"/>
      <c r="PUY24" s="629"/>
      <c r="PUZ24" s="629"/>
      <c r="PVA24" s="629"/>
      <c r="PVB24" s="629"/>
      <c r="PVC24" s="629"/>
      <c r="PVD24" s="629"/>
      <c r="PVE24" s="629"/>
      <c r="PVF24" s="629"/>
      <c r="PVG24" s="629"/>
      <c r="PVH24" s="629"/>
      <c r="PVI24" s="629"/>
      <c r="PVJ24" s="629"/>
      <c r="PVK24" s="629"/>
      <c r="PVL24" s="629"/>
      <c r="PVM24" s="629"/>
      <c r="PVN24" s="629"/>
      <c r="PVO24" s="629"/>
      <c r="PVP24" s="629"/>
      <c r="PVQ24" s="629"/>
      <c r="PVR24" s="629"/>
      <c r="PVS24" s="629"/>
      <c r="PVT24" s="629"/>
      <c r="PVU24" s="629"/>
      <c r="PVV24" s="629"/>
      <c r="PVW24" s="629"/>
      <c r="PVX24" s="629"/>
      <c r="PVY24" s="629"/>
      <c r="PVZ24" s="629"/>
      <c r="PWA24" s="629"/>
      <c r="PWB24" s="629"/>
      <c r="PWC24" s="629"/>
      <c r="PWD24" s="629"/>
      <c r="PWE24" s="629"/>
      <c r="PWF24" s="629"/>
      <c r="PWG24" s="629"/>
      <c r="PWH24" s="629"/>
      <c r="PWI24" s="629"/>
      <c r="PWJ24" s="629"/>
      <c r="PWK24" s="629"/>
      <c r="PWL24" s="629"/>
      <c r="PWM24" s="629"/>
      <c r="PWN24" s="629"/>
      <c r="PWO24" s="629"/>
      <c r="PWP24" s="629"/>
      <c r="PWQ24" s="629"/>
      <c r="PWR24" s="629"/>
      <c r="PWS24" s="629"/>
      <c r="PWT24" s="629"/>
      <c r="PWU24" s="629"/>
      <c r="PWV24" s="629"/>
      <c r="PWW24" s="629"/>
      <c r="PWX24" s="629"/>
      <c r="PWY24" s="629"/>
      <c r="PWZ24" s="629"/>
      <c r="PXA24" s="629"/>
      <c r="PXB24" s="629"/>
      <c r="PXC24" s="629"/>
      <c r="PXD24" s="629"/>
      <c r="PXE24" s="629"/>
      <c r="PXF24" s="629"/>
      <c r="PXG24" s="629"/>
      <c r="PXH24" s="629"/>
      <c r="PXI24" s="629"/>
      <c r="PXJ24" s="629"/>
      <c r="PXK24" s="629"/>
      <c r="PXL24" s="629"/>
      <c r="PXM24" s="629"/>
      <c r="PXN24" s="629"/>
      <c r="PXO24" s="629"/>
      <c r="PXP24" s="629"/>
      <c r="PXQ24" s="629"/>
      <c r="PXR24" s="629"/>
      <c r="PXS24" s="629"/>
      <c r="PXT24" s="629"/>
      <c r="PXU24" s="629"/>
      <c r="PXV24" s="629"/>
      <c r="PXW24" s="629"/>
      <c r="PXX24" s="629"/>
      <c r="PXY24" s="629"/>
      <c r="PXZ24" s="629"/>
      <c r="PYA24" s="629"/>
      <c r="PYB24" s="629"/>
      <c r="PYC24" s="629"/>
      <c r="PYD24" s="629"/>
      <c r="PYE24" s="629"/>
      <c r="PYF24" s="629"/>
      <c r="PYG24" s="629"/>
      <c r="PYH24" s="629"/>
      <c r="PYI24" s="629"/>
      <c r="PYJ24" s="629"/>
      <c r="PYK24" s="629"/>
      <c r="PYL24" s="629"/>
      <c r="PYM24" s="629"/>
      <c r="PYN24" s="629"/>
      <c r="PYO24" s="629"/>
      <c r="PYP24" s="629"/>
      <c r="PYQ24" s="629"/>
      <c r="PYR24" s="629"/>
      <c r="PYS24" s="629"/>
      <c r="PYT24" s="629"/>
      <c r="PYU24" s="629"/>
      <c r="PYV24" s="629"/>
      <c r="PYW24" s="629"/>
      <c r="PYX24" s="629"/>
      <c r="PYY24" s="629"/>
      <c r="PYZ24" s="629"/>
      <c r="PZA24" s="629"/>
      <c r="PZB24" s="629"/>
      <c r="PZC24" s="629"/>
      <c r="PZD24" s="629"/>
      <c r="PZE24" s="629"/>
      <c r="PZF24" s="629"/>
      <c r="PZG24" s="629"/>
      <c r="PZH24" s="629"/>
      <c r="PZI24" s="629"/>
      <c r="PZJ24" s="629"/>
      <c r="PZK24" s="629"/>
      <c r="PZL24" s="629"/>
      <c r="PZM24" s="629"/>
      <c r="PZN24" s="629"/>
      <c r="PZO24" s="629"/>
      <c r="PZP24" s="629"/>
      <c r="PZQ24" s="629"/>
      <c r="PZR24" s="629"/>
      <c r="PZS24" s="629"/>
      <c r="PZT24" s="629"/>
      <c r="PZU24" s="629"/>
      <c r="PZV24" s="629"/>
      <c r="PZW24" s="629"/>
      <c r="PZX24" s="629"/>
      <c r="PZY24" s="629"/>
      <c r="PZZ24" s="629"/>
      <c r="QAA24" s="629"/>
      <c r="QAB24" s="629"/>
      <c r="QAC24" s="629"/>
      <c r="QAD24" s="629"/>
      <c r="QAE24" s="629"/>
      <c r="QAF24" s="629"/>
      <c r="QAG24" s="629"/>
      <c r="QAH24" s="629"/>
      <c r="QAI24" s="629"/>
      <c r="QAJ24" s="629"/>
      <c r="QAK24" s="629"/>
      <c r="QAL24" s="629"/>
      <c r="QAM24" s="629"/>
      <c r="QAN24" s="629"/>
      <c r="QAO24" s="629"/>
      <c r="QAP24" s="629"/>
      <c r="QAQ24" s="629"/>
      <c r="QAR24" s="629"/>
      <c r="QAS24" s="629"/>
      <c r="QAT24" s="629"/>
      <c r="QAU24" s="629"/>
      <c r="QAV24" s="629"/>
      <c r="QAW24" s="629"/>
      <c r="QAX24" s="629"/>
      <c r="QAY24" s="629"/>
      <c r="QAZ24" s="629"/>
      <c r="QBA24" s="629"/>
      <c r="QBB24" s="629"/>
      <c r="QBC24" s="629"/>
      <c r="QBD24" s="629"/>
      <c r="QBE24" s="629"/>
      <c r="QBF24" s="629"/>
      <c r="QBG24" s="629"/>
      <c r="QBH24" s="629"/>
      <c r="QBI24" s="629"/>
      <c r="QBJ24" s="629"/>
      <c r="QBK24" s="629"/>
      <c r="QBL24" s="629"/>
      <c r="QBM24" s="629"/>
      <c r="QBN24" s="629"/>
      <c r="QBO24" s="629"/>
      <c r="QBP24" s="629"/>
      <c r="QBQ24" s="629"/>
      <c r="QBR24" s="629"/>
      <c r="QBS24" s="629"/>
      <c r="QBT24" s="629"/>
      <c r="QBU24" s="629"/>
      <c r="QBV24" s="629"/>
      <c r="QBW24" s="629"/>
      <c r="QBX24" s="629"/>
      <c r="QBY24" s="629"/>
      <c r="QBZ24" s="629"/>
      <c r="QCA24" s="629"/>
      <c r="QCB24" s="629"/>
      <c r="QCC24" s="629"/>
      <c r="QCD24" s="629"/>
      <c r="QCE24" s="629"/>
      <c r="QCF24" s="629"/>
      <c r="QCG24" s="629"/>
      <c r="QCH24" s="629"/>
      <c r="QCI24" s="629"/>
      <c r="QCJ24" s="629"/>
      <c r="QCK24" s="629"/>
      <c r="QCL24" s="629"/>
      <c r="QCM24" s="629"/>
      <c r="QCN24" s="629"/>
      <c r="QCO24" s="629"/>
      <c r="QCP24" s="629"/>
      <c r="QCQ24" s="629"/>
      <c r="QCR24" s="629"/>
      <c r="QCS24" s="629"/>
      <c r="QCT24" s="629"/>
      <c r="QCU24" s="629"/>
      <c r="QCV24" s="629"/>
      <c r="QCW24" s="629"/>
      <c r="QCX24" s="629"/>
      <c r="QCY24" s="629"/>
      <c r="QCZ24" s="629"/>
      <c r="QDA24" s="629"/>
      <c r="QDB24" s="629"/>
      <c r="QDC24" s="629"/>
      <c r="QDD24" s="629"/>
      <c r="QDE24" s="629"/>
      <c r="QDF24" s="629"/>
      <c r="QDG24" s="629"/>
      <c r="QDH24" s="629"/>
      <c r="QDI24" s="629"/>
      <c r="QDJ24" s="629"/>
      <c r="QDK24" s="629"/>
      <c r="QDL24" s="629"/>
      <c r="QDM24" s="629"/>
      <c r="QDN24" s="629"/>
      <c r="QDO24" s="629"/>
      <c r="QDP24" s="629"/>
      <c r="QDQ24" s="629"/>
      <c r="QDR24" s="629"/>
      <c r="QDS24" s="629"/>
      <c r="QDT24" s="629"/>
      <c r="QDU24" s="629"/>
      <c r="QDV24" s="629"/>
      <c r="QDW24" s="629"/>
      <c r="QDX24" s="629"/>
      <c r="QDY24" s="629"/>
      <c r="QDZ24" s="629"/>
      <c r="QEA24" s="629"/>
      <c r="QEB24" s="629"/>
      <c r="QEC24" s="629"/>
      <c r="QED24" s="629"/>
      <c r="QEE24" s="629"/>
      <c r="QEF24" s="629"/>
      <c r="QEG24" s="629"/>
      <c r="QEH24" s="629"/>
      <c r="QEI24" s="629"/>
      <c r="QEJ24" s="629"/>
      <c r="QEK24" s="629"/>
      <c r="QEL24" s="629"/>
      <c r="QEM24" s="629"/>
      <c r="QEN24" s="629"/>
      <c r="QEO24" s="629"/>
      <c r="QEP24" s="629"/>
      <c r="QEQ24" s="629"/>
      <c r="QER24" s="629"/>
      <c r="QES24" s="629"/>
      <c r="QET24" s="629"/>
      <c r="QEU24" s="629"/>
      <c r="QEV24" s="629"/>
      <c r="QEW24" s="629"/>
      <c r="QEX24" s="629"/>
      <c r="QEY24" s="629"/>
      <c r="QEZ24" s="629"/>
      <c r="QFA24" s="629"/>
      <c r="QFB24" s="629"/>
      <c r="QFC24" s="629"/>
      <c r="QFD24" s="629"/>
      <c r="QFE24" s="629"/>
      <c r="QFF24" s="629"/>
      <c r="QFG24" s="629"/>
      <c r="QFH24" s="629"/>
      <c r="QFI24" s="629"/>
      <c r="QFJ24" s="629"/>
      <c r="QFK24" s="629"/>
      <c r="QFL24" s="629"/>
      <c r="QFM24" s="629"/>
      <c r="QFN24" s="629"/>
      <c r="QFO24" s="629"/>
      <c r="QFP24" s="629"/>
      <c r="QFQ24" s="629"/>
      <c r="QFR24" s="629"/>
      <c r="QFS24" s="629"/>
      <c r="QFT24" s="629"/>
      <c r="QFU24" s="629"/>
      <c r="QFV24" s="629"/>
      <c r="QFW24" s="629"/>
      <c r="QFX24" s="629"/>
      <c r="QFY24" s="629"/>
      <c r="QFZ24" s="629"/>
      <c r="QGA24" s="629"/>
      <c r="QGB24" s="629"/>
      <c r="QGC24" s="629"/>
      <c r="QGD24" s="629"/>
      <c r="QGE24" s="629"/>
      <c r="QGF24" s="629"/>
      <c r="QGG24" s="629"/>
      <c r="QGH24" s="629"/>
      <c r="QGI24" s="629"/>
      <c r="QGJ24" s="629"/>
      <c r="QGK24" s="629"/>
      <c r="QGL24" s="629"/>
      <c r="QGM24" s="629"/>
      <c r="QGN24" s="629"/>
      <c r="QGO24" s="629"/>
      <c r="QGP24" s="629"/>
      <c r="QGQ24" s="629"/>
      <c r="QGR24" s="629"/>
      <c r="QGS24" s="629"/>
      <c r="QGT24" s="629"/>
      <c r="QGU24" s="629"/>
      <c r="QGV24" s="629"/>
      <c r="QGW24" s="629"/>
      <c r="QGX24" s="629"/>
      <c r="QGY24" s="629"/>
      <c r="QGZ24" s="629"/>
      <c r="QHA24" s="629"/>
      <c r="QHB24" s="629"/>
      <c r="QHC24" s="629"/>
      <c r="QHD24" s="629"/>
      <c r="QHE24" s="629"/>
      <c r="QHF24" s="629"/>
      <c r="QHG24" s="629"/>
      <c r="QHH24" s="629"/>
      <c r="QHI24" s="629"/>
      <c r="QHJ24" s="629"/>
      <c r="QHK24" s="629"/>
      <c r="QHL24" s="629"/>
      <c r="QHM24" s="629"/>
      <c r="QHN24" s="629"/>
      <c r="QHO24" s="629"/>
      <c r="QHP24" s="629"/>
      <c r="QHQ24" s="629"/>
      <c r="QHR24" s="629"/>
      <c r="QHS24" s="629"/>
      <c r="QHT24" s="629"/>
      <c r="QHU24" s="629"/>
      <c r="QHV24" s="629"/>
      <c r="QHW24" s="629"/>
      <c r="QHX24" s="629"/>
      <c r="QHY24" s="629"/>
      <c r="QHZ24" s="629"/>
      <c r="QIA24" s="629"/>
      <c r="QIB24" s="629"/>
      <c r="QIC24" s="629"/>
      <c r="QID24" s="629"/>
      <c r="QIE24" s="629"/>
      <c r="QIF24" s="629"/>
      <c r="QIG24" s="629"/>
      <c r="QIH24" s="629"/>
      <c r="QII24" s="629"/>
      <c r="QIJ24" s="629"/>
      <c r="QIK24" s="629"/>
      <c r="QIL24" s="629"/>
      <c r="QIM24" s="629"/>
      <c r="QIN24" s="629"/>
      <c r="QIO24" s="629"/>
      <c r="QIP24" s="629"/>
      <c r="QIQ24" s="629"/>
      <c r="QIR24" s="629"/>
      <c r="QIS24" s="629"/>
      <c r="QIT24" s="629"/>
      <c r="QIU24" s="629"/>
      <c r="QIV24" s="629"/>
      <c r="QIW24" s="629"/>
      <c r="QIX24" s="629"/>
      <c r="QIY24" s="629"/>
      <c r="QIZ24" s="629"/>
      <c r="QJA24" s="629"/>
      <c r="QJB24" s="629"/>
      <c r="QJC24" s="629"/>
      <c r="QJD24" s="629"/>
      <c r="QJE24" s="629"/>
      <c r="QJF24" s="629"/>
      <c r="QJG24" s="629"/>
      <c r="QJH24" s="629"/>
      <c r="QJI24" s="629"/>
      <c r="QJJ24" s="629"/>
      <c r="QJK24" s="629"/>
      <c r="QJL24" s="629"/>
      <c r="QJM24" s="629"/>
      <c r="QJN24" s="629"/>
      <c r="QJO24" s="629"/>
      <c r="QJP24" s="629"/>
      <c r="QJQ24" s="629"/>
      <c r="QJR24" s="629"/>
      <c r="QJS24" s="629"/>
      <c r="QJT24" s="629"/>
      <c r="QJU24" s="629"/>
      <c r="QJV24" s="629"/>
      <c r="QJW24" s="629"/>
      <c r="QJX24" s="629"/>
      <c r="QJY24" s="629"/>
      <c r="QJZ24" s="629"/>
      <c r="QKA24" s="629"/>
      <c r="QKB24" s="629"/>
      <c r="QKC24" s="629"/>
      <c r="QKD24" s="629"/>
      <c r="QKE24" s="629"/>
      <c r="QKF24" s="629"/>
      <c r="QKG24" s="629"/>
      <c r="QKH24" s="629"/>
      <c r="QKI24" s="629"/>
      <c r="QKJ24" s="629"/>
      <c r="QKK24" s="629"/>
      <c r="QKL24" s="629"/>
      <c r="QKM24" s="629"/>
      <c r="QKN24" s="629"/>
      <c r="QKO24" s="629"/>
      <c r="QKP24" s="629"/>
      <c r="QKQ24" s="629"/>
      <c r="QKR24" s="629"/>
      <c r="QKS24" s="629"/>
      <c r="QKT24" s="629"/>
      <c r="QKU24" s="629"/>
      <c r="QKV24" s="629"/>
      <c r="QKW24" s="629"/>
      <c r="QKX24" s="629"/>
      <c r="QKY24" s="629"/>
      <c r="QKZ24" s="629"/>
      <c r="QLA24" s="629"/>
      <c r="QLB24" s="629"/>
      <c r="QLC24" s="629"/>
      <c r="QLD24" s="629"/>
      <c r="QLE24" s="629"/>
      <c r="QLF24" s="629"/>
      <c r="QLG24" s="629"/>
      <c r="QLH24" s="629"/>
      <c r="QLI24" s="629"/>
      <c r="QLJ24" s="629"/>
      <c r="QLK24" s="629"/>
      <c r="QLL24" s="629"/>
      <c r="QLM24" s="629"/>
      <c r="QLN24" s="629"/>
      <c r="QLO24" s="629"/>
      <c r="QLP24" s="629"/>
      <c r="QLQ24" s="629"/>
      <c r="QLR24" s="629"/>
      <c r="QLS24" s="629"/>
      <c r="QLT24" s="629"/>
      <c r="QLU24" s="629"/>
      <c r="QLV24" s="629"/>
      <c r="QLW24" s="629"/>
      <c r="QLX24" s="629"/>
      <c r="QLY24" s="629"/>
      <c r="QLZ24" s="629"/>
      <c r="QMA24" s="629"/>
      <c r="QMB24" s="629"/>
      <c r="QMC24" s="629"/>
      <c r="QMD24" s="629"/>
      <c r="QME24" s="629"/>
      <c r="QMF24" s="629"/>
      <c r="QMG24" s="629"/>
      <c r="QMH24" s="629"/>
      <c r="QMI24" s="629"/>
      <c r="QMJ24" s="629"/>
      <c r="QMK24" s="629"/>
      <c r="QML24" s="629"/>
      <c r="QMM24" s="629"/>
      <c r="QMN24" s="629"/>
      <c r="QMO24" s="629"/>
      <c r="QMP24" s="629"/>
      <c r="QMQ24" s="629"/>
      <c r="QMR24" s="629"/>
      <c r="QMS24" s="629"/>
      <c r="QMT24" s="629"/>
      <c r="QMU24" s="629"/>
      <c r="QMV24" s="629"/>
      <c r="QMW24" s="629"/>
      <c r="QMX24" s="629"/>
      <c r="QMY24" s="629"/>
      <c r="QMZ24" s="629"/>
      <c r="QNA24" s="629"/>
      <c r="QNB24" s="629"/>
      <c r="QNC24" s="629"/>
      <c r="QND24" s="629"/>
      <c r="QNE24" s="629"/>
      <c r="QNF24" s="629"/>
      <c r="QNG24" s="629"/>
      <c r="QNH24" s="629"/>
      <c r="QNI24" s="629"/>
      <c r="QNJ24" s="629"/>
      <c r="QNK24" s="629"/>
      <c r="QNL24" s="629"/>
      <c r="QNM24" s="629"/>
      <c r="QNN24" s="629"/>
      <c r="QNO24" s="629"/>
      <c r="QNP24" s="629"/>
      <c r="QNQ24" s="629"/>
      <c r="QNR24" s="629"/>
      <c r="QNS24" s="629"/>
      <c r="QNT24" s="629"/>
      <c r="QNU24" s="629"/>
      <c r="QNV24" s="629"/>
      <c r="QNW24" s="629"/>
      <c r="QNX24" s="629"/>
      <c r="QNY24" s="629"/>
      <c r="QNZ24" s="629"/>
      <c r="QOA24" s="629"/>
      <c r="QOB24" s="629"/>
      <c r="QOC24" s="629"/>
      <c r="QOD24" s="629"/>
      <c r="QOE24" s="629"/>
      <c r="QOF24" s="629"/>
      <c r="QOG24" s="629"/>
      <c r="QOH24" s="629"/>
      <c r="QOI24" s="629"/>
      <c r="QOJ24" s="629"/>
      <c r="QOK24" s="629"/>
      <c r="QOL24" s="629"/>
      <c r="QOM24" s="629"/>
      <c r="QON24" s="629"/>
      <c r="QOO24" s="629"/>
      <c r="QOP24" s="629"/>
      <c r="QOQ24" s="629"/>
      <c r="QOR24" s="629"/>
      <c r="QOS24" s="629"/>
      <c r="QOT24" s="629"/>
      <c r="QOU24" s="629"/>
      <c r="QOV24" s="629"/>
      <c r="QOW24" s="629"/>
      <c r="QOX24" s="629"/>
      <c r="QOY24" s="629"/>
      <c r="QOZ24" s="629"/>
      <c r="QPA24" s="629"/>
      <c r="QPB24" s="629"/>
      <c r="QPC24" s="629"/>
      <c r="QPD24" s="629"/>
      <c r="QPE24" s="629"/>
      <c r="QPF24" s="629"/>
      <c r="QPG24" s="629"/>
      <c r="QPH24" s="629"/>
      <c r="QPI24" s="629"/>
      <c r="QPJ24" s="629"/>
      <c r="QPK24" s="629"/>
      <c r="QPL24" s="629"/>
      <c r="QPM24" s="629"/>
      <c r="QPN24" s="629"/>
      <c r="QPO24" s="629"/>
      <c r="QPP24" s="629"/>
      <c r="QPQ24" s="629"/>
      <c r="QPR24" s="629"/>
      <c r="QPS24" s="629"/>
      <c r="QPT24" s="629"/>
      <c r="QPU24" s="629"/>
      <c r="QPV24" s="629"/>
      <c r="QPW24" s="629"/>
      <c r="QPX24" s="629"/>
      <c r="QPY24" s="629"/>
      <c r="QPZ24" s="629"/>
      <c r="QQA24" s="629"/>
      <c r="QQB24" s="629"/>
      <c r="QQC24" s="629"/>
      <c r="QQD24" s="629"/>
      <c r="QQE24" s="629"/>
      <c r="QQF24" s="629"/>
      <c r="QQG24" s="629"/>
      <c r="QQH24" s="629"/>
      <c r="QQI24" s="629"/>
      <c r="QQJ24" s="629"/>
      <c r="QQK24" s="629"/>
      <c r="QQL24" s="629"/>
      <c r="QQM24" s="629"/>
      <c r="QQN24" s="629"/>
      <c r="QQO24" s="629"/>
      <c r="QQP24" s="629"/>
      <c r="QQQ24" s="629"/>
      <c r="QQR24" s="629"/>
      <c r="QQS24" s="629"/>
      <c r="QQT24" s="629"/>
      <c r="QQU24" s="629"/>
      <c r="QQV24" s="629"/>
      <c r="QQW24" s="629"/>
      <c r="QQX24" s="629"/>
      <c r="QQY24" s="629"/>
      <c r="QQZ24" s="629"/>
      <c r="QRA24" s="629"/>
      <c r="QRB24" s="629"/>
      <c r="QRC24" s="629"/>
      <c r="QRD24" s="629"/>
      <c r="QRE24" s="629"/>
      <c r="QRF24" s="629"/>
      <c r="QRG24" s="629"/>
      <c r="QRH24" s="629"/>
      <c r="QRI24" s="629"/>
      <c r="QRJ24" s="629"/>
      <c r="QRK24" s="629"/>
      <c r="QRL24" s="629"/>
      <c r="QRM24" s="629"/>
      <c r="QRN24" s="629"/>
      <c r="QRO24" s="629"/>
      <c r="QRP24" s="629"/>
      <c r="QRQ24" s="629"/>
      <c r="QRR24" s="629"/>
      <c r="QRS24" s="629"/>
      <c r="QRT24" s="629"/>
      <c r="QRU24" s="629"/>
      <c r="QRV24" s="629"/>
      <c r="QRW24" s="629"/>
      <c r="QRX24" s="629"/>
      <c r="QRY24" s="629"/>
      <c r="QRZ24" s="629"/>
      <c r="QSA24" s="629"/>
      <c r="QSB24" s="629"/>
      <c r="QSC24" s="629"/>
      <c r="QSD24" s="629"/>
      <c r="QSE24" s="629"/>
      <c r="QSF24" s="629"/>
      <c r="QSG24" s="629"/>
      <c r="QSH24" s="629"/>
      <c r="QSI24" s="629"/>
      <c r="QSJ24" s="629"/>
      <c r="QSK24" s="629"/>
      <c r="QSL24" s="629"/>
      <c r="QSM24" s="629"/>
      <c r="QSN24" s="629"/>
      <c r="QSO24" s="629"/>
      <c r="QSP24" s="629"/>
      <c r="QSQ24" s="629"/>
      <c r="QSR24" s="629"/>
      <c r="QSS24" s="629"/>
      <c r="QST24" s="629"/>
      <c r="QSU24" s="629"/>
      <c r="QSV24" s="629"/>
      <c r="QSW24" s="629"/>
      <c r="QSX24" s="629"/>
      <c r="QSY24" s="629"/>
      <c r="QSZ24" s="629"/>
      <c r="QTA24" s="629"/>
      <c r="QTB24" s="629"/>
      <c r="QTC24" s="629"/>
      <c r="QTD24" s="629"/>
      <c r="QTE24" s="629"/>
      <c r="QTF24" s="629"/>
      <c r="QTG24" s="629"/>
      <c r="QTH24" s="629"/>
      <c r="QTI24" s="629"/>
      <c r="QTJ24" s="629"/>
      <c r="QTK24" s="629"/>
      <c r="QTL24" s="629"/>
      <c r="QTM24" s="629"/>
      <c r="QTN24" s="629"/>
      <c r="QTO24" s="629"/>
      <c r="QTP24" s="629"/>
      <c r="QTQ24" s="629"/>
      <c r="QTR24" s="629"/>
      <c r="QTS24" s="629"/>
      <c r="QTT24" s="629"/>
      <c r="QTU24" s="629"/>
      <c r="QTV24" s="629"/>
      <c r="QTW24" s="629"/>
      <c r="QTX24" s="629"/>
      <c r="QTY24" s="629"/>
      <c r="QTZ24" s="629"/>
      <c r="QUA24" s="629"/>
      <c r="QUB24" s="629"/>
      <c r="QUC24" s="629"/>
      <c r="QUD24" s="629"/>
      <c r="QUE24" s="629"/>
      <c r="QUF24" s="629"/>
      <c r="QUG24" s="629"/>
      <c r="QUH24" s="629"/>
      <c r="QUI24" s="629"/>
      <c r="QUJ24" s="629"/>
      <c r="QUK24" s="629"/>
      <c r="QUL24" s="629"/>
      <c r="QUM24" s="629"/>
      <c r="QUN24" s="629"/>
      <c r="QUO24" s="629"/>
      <c r="QUP24" s="629"/>
      <c r="QUQ24" s="629"/>
      <c r="QUR24" s="629"/>
      <c r="QUS24" s="629"/>
      <c r="QUT24" s="629"/>
      <c r="QUU24" s="629"/>
      <c r="QUV24" s="629"/>
      <c r="QUW24" s="629"/>
      <c r="QUX24" s="629"/>
      <c r="QUY24" s="629"/>
      <c r="QUZ24" s="629"/>
      <c r="QVA24" s="629"/>
      <c r="QVB24" s="629"/>
      <c r="QVC24" s="629"/>
      <c r="QVD24" s="629"/>
      <c r="QVE24" s="629"/>
      <c r="QVF24" s="629"/>
      <c r="QVG24" s="629"/>
      <c r="QVH24" s="629"/>
      <c r="QVI24" s="629"/>
      <c r="QVJ24" s="629"/>
      <c r="QVK24" s="629"/>
      <c r="QVL24" s="629"/>
      <c r="QVM24" s="629"/>
      <c r="QVN24" s="629"/>
      <c r="QVO24" s="629"/>
      <c r="QVP24" s="629"/>
      <c r="QVQ24" s="629"/>
      <c r="QVR24" s="629"/>
      <c r="QVS24" s="629"/>
      <c r="QVT24" s="629"/>
      <c r="QVU24" s="629"/>
      <c r="QVV24" s="629"/>
      <c r="QVW24" s="629"/>
      <c r="QVX24" s="629"/>
      <c r="QVY24" s="629"/>
      <c r="QVZ24" s="629"/>
      <c r="QWA24" s="629"/>
      <c r="QWB24" s="629"/>
      <c r="QWC24" s="629"/>
      <c r="QWD24" s="629"/>
      <c r="QWE24" s="629"/>
      <c r="QWF24" s="629"/>
      <c r="QWG24" s="629"/>
      <c r="QWH24" s="629"/>
      <c r="QWI24" s="629"/>
      <c r="QWJ24" s="629"/>
      <c r="QWK24" s="629"/>
      <c r="QWL24" s="629"/>
      <c r="QWM24" s="629"/>
      <c r="QWN24" s="629"/>
      <c r="QWO24" s="629"/>
      <c r="QWP24" s="629"/>
      <c r="QWQ24" s="629"/>
      <c r="QWR24" s="629"/>
      <c r="QWS24" s="629"/>
      <c r="QWT24" s="629"/>
      <c r="QWU24" s="629"/>
      <c r="QWV24" s="629"/>
      <c r="QWW24" s="629"/>
      <c r="QWX24" s="629"/>
      <c r="QWY24" s="629"/>
      <c r="QWZ24" s="629"/>
      <c r="QXA24" s="629"/>
      <c r="QXB24" s="629"/>
      <c r="QXC24" s="629"/>
      <c r="QXD24" s="629"/>
      <c r="QXE24" s="629"/>
      <c r="QXF24" s="629"/>
      <c r="QXG24" s="629"/>
      <c r="QXH24" s="629"/>
      <c r="QXI24" s="629"/>
      <c r="QXJ24" s="629"/>
      <c r="QXK24" s="629"/>
      <c r="QXL24" s="629"/>
      <c r="QXM24" s="629"/>
      <c r="QXN24" s="629"/>
      <c r="QXO24" s="629"/>
      <c r="QXP24" s="629"/>
      <c r="QXQ24" s="629"/>
      <c r="QXR24" s="629"/>
      <c r="QXS24" s="629"/>
      <c r="QXT24" s="629"/>
      <c r="QXU24" s="629"/>
      <c r="QXV24" s="629"/>
      <c r="QXW24" s="629"/>
      <c r="QXX24" s="629"/>
      <c r="QXY24" s="629"/>
      <c r="QXZ24" s="629"/>
      <c r="QYA24" s="629"/>
      <c r="QYB24" s="629"/>
      <c r="QYC24" s="629"/>
      <c r="QYD24" s="629"/>
      <c r="QYE24" s="629"/>
      <c r="QYF24" s="629"/>
      <c r="QYG24" s="629"/>
      <c r="QYH24" s="629"/>
      <c r="QYI24" s="629"/>
      <c r="QYJ24" s="629"/>
      <c r="QYK24" s="629"/>
      <c r="QYL24" s="629"/>
      <c r="QYM24" s="629"/>
      <c r="QYN24" s="629"/>
      <c r="QYO24" s="629"/>
      <c r="QYP24" s="629"/>
      <c r="QYQ24" s="629"/>
      <c r="QYR24" s="629"/>
      <c r="QYS24" s="629"/>
      <c r="QYT24" s="629"/>
      <c r="QYU24" s="629"/>
      <c r="QYV24" s="629"/>
      <c r="QYW24" s="629"/>
      <c r="QYX24" s="629"/>
      <c r="QYY24" s="629"/>
      <c r="QYZ24" s="629"/>
      <c r="QZA24" s="629"/>
      <c r="QZB24" s="629"/>
      <c r="QZC24" s="629"/>
      <c r="QZD24" s="629"/>
      <c r="QZE24" s="629"/>
      <c r="QZF24" s="629"/>
      <c r="QZG24" s="629"/>
      <c r="QZH24" s="629"/>
      <c r="QZI24" s="629"/>
      <c r="QZJ24" s="629"/>
      <c r="QZK24" s="629"/>
      <c r="QZL24" s="629"/>
      <c r="QZM24" s="629"/>
      <c r="QZN24" s="629"/>
      <c r="QZO24" s="629"/>
      <c r="QZP24" s="629"/>
      <c r="QZQ24" s="629"/>
      <c r="QZR24" s="629"/>
      <c r="QZS24" s="629"/>
      <c r="QZT24" s="629"/>
      <c r="QZU24" s="629"/>
      <c r="QZV24" s="629"/>
      <c r="QZW24" s="629"/>
      <c r="QZX24" s="629"/>
      <c r="QZY24" s="629"/>
      <c r="QZZ24" s="629"/>
      <c r="RAA24" s="629"/>
      <c r="RAB24" s="629"/>
      <c r="RAC24" s="629"/>
      <c r="RAD24" s="629"/>
      <c r="RAE24" s="629"/>
      <c r="RAF24" s="629"/>
      <c r="RAG24" s="629"/>
      <c r="RAH24" s="629"/>
      <c r="RAI24" s="629"/>
      <c r="RAJ24" s="629"/>
      <c r="RAK24" s="629"/>
      <c r="RAL24" s="629"/>
      <c r="RAM24" s="629"/>
      <c r="RAN24" s="629"/>
      <c r="RAO24" s="629"/>
      <c r="RAP24" s="629"/>
      <c r="RAQ24" s="629"/>
      <c r="RAR24" s="629"/>
      <c r="RAS24" s="629"/>
      <c r="RAT24" s="629"/>
      <c r="RAU24" s="629"/>
      <c r="RAV24" s="629"/>
      <c r="RAW24" s="629"/>
      <c r="RAX24" s="629"/>
      <c r="RAY24" s="629"/>
      <c r="RAZ24" s="629"/>
      <c r="RBA24" s="629"/>
      <c r="RBB24" s="629"/>
      <c r="RBC24" s="629"/>
      <c r="RBD24" s="629"/>
      <c r="RBE24" s="629"/>
      <c r="RBF24" s="629"/>
      <c r="RBG24" s="629"/>
      <c r="RBH24" s="629"/>
      <c r="RBI24" s="629"/>
      <c r="RBJ24" s="629"/>
      <c r="RBK24" s="629"/>
      <c r="RBL24" s="629"/>
      <c r="RBM24" s="629"/>
      <c r="RBN24" s="629"/>
      <c r="RBO24" s="629"/>
      <c r="RBP24" s="629"/>
      <c r="RBQ24" s="629"/>
      <c r="RBR24" s="629"/>
      <c r="RBS24" s="629"/>
      <c r="RBT24" s="629"/>
      <c r="RBU24" s="629"/>
      <c r="RBV24" s="629"/>
      <c r="RBW24" s="629"/>
      <c r="RBX24" s="629"/>
      <c r="RBY24" s="629"/>
      <c r="RBZ24" s="629"/>
      <c r="RCA24" s="629"/>
      <c r="RCB24" s="629"/>
      <c r="RCC24" s="629"/>
      <c r="RCD24" s="629"/>
      <c r="RCE24" s="629"/>
      <c r="RCF24" s="629"/>
      <c r="RCG24" s="629"/>
      <c r="RCH24" s="629"/>
      <c r="RCI24" s="629"/>
      <c r="RCJ24" s="629"/>
      <c r="RCK24" s="629"/>
      <c r="RCL24" s="629"/>
      <c r="RCM24" s="629"/>
      <c r="RCN24" s="629"/>
      <c r="RCO24" s="629"/>
      <c r="RCP24" s="629"/>
      <c r="RCQ24" s="629"/>
      <c r="RCR24" s="629"/>
      <c r="RCS24" s="629"/>
      <c r="RCT24" s="629"/>
      <c r="RCU24" s="629"/>
      <c r="RCV24" s="629"/>
      <c r="RCW24" s="629"/>
      <c r="RCX24" s="629"/>
      <c r="RCY24" s="629"/>
      <c r="RCZ24" s="629"/>
      <c r="RDA24" s="629"/>
      <c r="RDB24" s="629"/>
      <c r="RDC24" s="629"/>
      <c r="RDD24" s="629"/>
      <c r="RDE24" s="629"/>
      <c r="RDF24" s="629"/>
      <c r="RDG24" s="629"/>
      <c r="RDH24" s="629"/>
      <c r="RDI24" s="629"/>
      <c r="RDJ24" s="629"/>
      <c r="RDK24" s="629"/>
      <c r="RDL24" s="629"/>
      <c r="RDM24" s="629"/>
      <c r="RDN24" s="629"/>
      <c r="RDO24" s="629"/>
      <c r="RDP24" s="629"/>
      <c r="RDQ24" s="629"/>
      <c r="RDR24" s="629"/>
      <c r="RDS24" s="629"/>
      <c r="RDT24" s="629"/>
      <c r="RDU24" s="629"/>
      <c r="RDV24" s="629"/>
      <c r="RDW24" s="629"/>
      <c r="RDX24" s="629"/>
      <c r="RDY24" s="629"/>
      <c r="RDZ24" s="629"/>
      <c r="REA24" s="629"/>
      <c r="REB24" s="629"/>
      <c r="REC24" s="629"/>
      <c r="RED24" s="629"/>
      <c r="REE24" s="629"/>
      <c r="REF24" s="629"/>
      <c r="REG24" s="629"/>
      <c r="REH24" s="629"/>
      <c r="REI24" s="629"/>
      <c r="REJ24" s="629"/>
      <c r="REK24" s="629"/>
      <c r="REL24" s="629"/>
      <c r="REM24" s="629"/>
      <c r="REN24" s="629"/>
      <c r="REO24" s="629"/>
      <c r="REP24" s="629"/>
      <c r="REQ24" s="629"/>
      <c r="RER24" s="629"/>
      <c r="RES24" s="629"/>
      <c r="RET24" s="629"/>
      <c r="REU24" s="629"/>
      <c r="REV24" s="629"/>
      <c r="REW24" s="629"/>
      <c r="REX24" s="629"/>
      <c r="REY24" s="629"/>
      <c r="REZ24" s="629"/>
      <c r="RFA24" s="629"/>
      <c r="RFB24" s="629"/>
      <c r="RFC24" s="629"/>
      <c r="RFD24" s="629"/>
      <c r="RFE24" s="629"/>
      <c r="RFF24" s="629"/>
      <c r="RFG24" s="629"/>
      <c r="RFH24" s="629"/>
      <c r="RFI24" s="629"/>
      <c r="RFJ24" s="629"/>
      <c r="RFK24" s="629"/>
      <c r="RFL24" s="629"/>
      <c r="RFM24" s="629"/>
      <c r="RFN24" s="629"/>
      <c r="RFO24" s="629"/>
      <c r="RFP24" s="629"/>
      <c r="RFQ24" s="629"/>
      <c r="RFR24" s="629"/>
      <c r="RFS24" s="629"/>
      <c r="RFT24" s="629"/>
      <c r="RFU24" s="629"/>
      <c r="RFV24" s="629"/>
      <c r="RFW24" s="629"/>
      <c r="RFX24" s="629"/>
      <c r="RFY24" s="629"/>
      <c r="RFZ24" s="629"/>
      <c r="RGA24" s="629"/>
      <c r="RGB24" s="629"/>
      <c r="RGC24" s="629"/>
      <c r="RGD24" s="629"/>
      <c r="RGE24" s="629"/>
      <c r="RGF24" s="629"/>
      <c r="RGG24" s="629"/>
      <c r="RGH24" s="629"/>
      <c r="RGI24" s="629"/>
      <c r="RGJ24" s="629"/>
      <c r="RGK24" s="629"/>
      <c r="RGL24" s="629"/>
      <c r="RGM24" s="629"/>
      <c r="RGN24" s="629"/>
      <c r="RGO24" s="629"/>
      <c r="RGP24" s="629"/>
      <c r="RGQ24" s="629"/>
      <c r="RGR24" s="629"/>
      <c r="RGS24" s="629"/>
      <c r="RGT24" s="629"/>
      <c r="RGU24" s="629"/>
      <c r="RGV24" s="629"/>
      <c r="RGW24" s="629"/>
      <c r="RGX24" s="629"/>
      <c r="RGY24" s="629"/>
      <c r="RGZ24" s="629"/>
      <c r="RHA24" s="629"/>
      <c r="RHB24" s="629"/>
      <c r="RHC24" s="629"/>
      <c r="RHD24" s="629"/>
      <c r="RHE24" s="629"/>
      <c r="RHF24" s="629"/>
      <c r="RHG24" s="629"/>
      <c r="RHH24" s="629"/>
      <c r="RHI24" s="629"/>
      <c r="RHJ24" s="629"/>
      <c r="RHK24" s="629"/>
      <c r="RHL24" s="629"/>
      <c r="RHM24" s="629"/>
      <c r="RHN24" s="629"/>
      <c r="RHO24" s="629"/>
      <c r="RHP24" s="629"/>
      <c r="RHQ24" s="629"/>
      <c r="RHR24" s="629"/>
      <c r="RHS24" s="629"/>
      <c r="RHT24" s="629"/>
      <c r="RHU24" s="629"/>
      <c r="RHV24" s="629"/>
      <c r="RHW24" s="629"/>
      <c r="RHX24" s="629"/>
      <c r="RHY24" s="629"/>
      <c r="RHZ24" s="629"/>
      <c r="RIA24" s="629"/>
      <c r="RIB24" s="629"/>
      <c r="RIC24" s="629"/>
      <c r="RID24" s="629"/>
      <c r="RIE24" s="629"/>
      <c r="RIF24" s="629"/>
      <c r="RIG24" s="629"/>
      <c r="RIH24" s="629"/>
      <c r="RII24" s="629"/>
      <c r="RIJ24" s="629"/>
      <c r="RIK24" s="629"/>
      <c r="RIL24" s="629"/>
      <c r="RIM24" s="629"/>
      <c r="RIN24" s="629"/>
      <c r="RIO24" s="629"/>
      <c r="RIP24" s="629"/>
      <c r="RIQ24" s="629"/>
      <c r="RIR24" s="629"/>
      <c r="RIS24" s="629"/>
      <c r="RIT24" s="629"/>
      <c r="RIU24" s="629"/>
      <c r="RIV24" s="629"/>
      <c r="RIW24" s="629"/>
      <c r="RIX24" s="629"/>
      <c r="RIY24" s="629"/>
      <c r="RIZ24" s="629"/>
      <c r="RJA24" s="629"/>
      <c r="RJB24" s="629"/>
      <c r="RJC24" s="629"/>
      <c r="RJD24" s="629"/>
      <c r="RJE24" s="629"/>
      <c r="RJF24" s="629"/>
      <c r="RJG24" s="629"/>
      <c r="RJH24" s="629"/>
      <c r="RJI24" s="629"/>
      <c r="RJJ24" s="629"/>
      <c r="RJK24" s="629"/>
      <c r="RJL24" s="629"/>
      <c r="RJM24" s="629"/>
      <c r="RJN24" s="629"/>
      <c r="RJO24" s="629"/>
      <c r="RJP24" s="629"/>
      <c r="RJQ24" s="629"/>
      <c r="RJR24" s="629"/>
      <c r="RJS24" s="629"/>
      <c r="RJT24" s="629"/>
      <c r="RJU24" s="629"/>
      <c r="RJV24" s="629"/>
      <c r="RJW24" s="629"/>
      <c r="RJX24" s="629"/>
      <c r="RJY24" s="629"/>
      <c r="RJZ24" s="629"/>
      <c r="RKA24" s="629"/>
      <c r="RKB24" s="629"/>
      <c r="RKC24" s="629"/>
      <c r="RKD24" s="629"/>
      <c r="RKE24" s="629"/>
      <c r="RKF24" s="629"/>
      <c r="RKG24" s="629"/>
      <c r="RKH24" s="629"/>
      <c r="RKI24" s="629"/>
      <c r="RKJ24" s="629"/>
      <c r="RKK24" s="629"/>
      <c r="RKL24" s="629"/>
      <c r="RKM24" s="629"/>
      <c r="RKN24" s="629"/>
      <c r="RKO24" s="629"/>
      <c r="RKP24" s="629"/>
      <c r="RKQ24" s="629"/>
      <c r="RKR24" s="629"/>
      <c r="RKS24" s="629"/>
      <c r="RKT24" s="629"/>
      <c r="RKU24" s="629"/>
      <c r="RKV24" s="629"/>
      <c r="RKW24" s="629"/>
      <c r="RKX24" s="629"/>
      <c r="RKY24" s="629"/>
      <c r="RKZ24" s="629"/>
      <c r="RLA24" s="629"/>
      <c r="RLB24" s="629"/>
      <c r="RLC24" s="629"/>
      <c r="RLD24" s="629"/>
      <c r="RLE24" s="629"/>
      <c r="RLF24" s="629"/>
      <c r="RLG24" s="629"/>
      <c r="RLH24" s="629"/>
      <c r="RLI24" s="629"/>
      <c r="RLJ24" s="629"/>
      <c r="RLK24" s="629"/>
      <c r="RLL24" s="629"/>
      <c r="RLM24" s="629"/>
      <c r="RLN24" s="629"/>
      <c r="RLO24" s="629"/>
      <c r="RLP24" s="629"/>
      <c r="RLQ24" s="629"/>
      <c r="RLR24" s="629"/>
      <c r="RLS24" s="629"/>
      <c r="RLT24" s="629"/>
      <c r="RLU24" s="629"/>
      <c r="RLV24" s="629"/>
      <c r="RLW24" s="629"/>
      <c r="RLX24" s="629"/>
      <c r="RLY24" s="629"/>
      <c r="RLZ24" s="629"/>
      <c r="RMA24" s="629"/>
      <c r="RMB24" s="629"/>
      <c r="RMC24" s="629"/>
      <c r="RMD24" s="629"/>
      <c r="RME24" s="629"/>
      <c r="RMF24" s="629"/>
      <c r="RMG24" s="629"/>
      <c r="RMH24" s="629"/>
      <c r="RMI24" s="629"/>
      <c r="RMJ24" s="629"/>
      <c r="RMK24" s="629"/>
      <c r="RML24" s="629"/>
      <c r="RMM24" s="629"/>
      <c r="RMN24" s="629"/>
      <c r="RMO24" s="629"/>
      <c r="RMP24" s="629"/>
      <c r="RMQ24" s="629"/>
      <c r="RMR24" s="629"/>
      <c r="RMS24" s="629"/>
      <c r="RMT24" s="629"/>
      <c r="RMU24" s="629"/>
      <c r="RMV24" s="629"/>
      <c r="RMW24" s="629"/>
      <c r="RMX24" s="629"/>
      <c r="RMY24" s="629"/>
      <c r="RMZ24" s="629"/>
      <c r="RNA24" s="629"/>
      <c r="RNB24" s="629"/>
      <c r="RNC24" s="629"/>
      <c r="RND24" s="629"/>
      <c r="RNE24" s="629"/>
      <c r="RNF24" s="629"/>
      <c r="RNG24" s="629"/>
      <c r="RNH24" s="629"/>
      <c r="RNI24" s="629"/>
      <c r="RNJ24" s="629"/>
      <c r="RNK24" s="629"/>
      <c r="RNL24" s="629"/>
      <c r="RNM24" s="629"/>
      <c r="RNN24" s="629"/>
      <c r="RNO24" s="629"/>
      <c r="RNP24" s="629"/>
      <c r="RNQ24" s="629"/>
      <c r="RNR24" s="629"/>
      <c r="RNS24" s="629"/>
      <c r="RNT24" s="629"/>
      <c r="RNU24" s="629"/>
      <c r="RNV24" s="629"/>
      <c r="RNW24" s="629"/>
      <c r="RNX24" s="629"/>
      <c r="RNY24" s="629"/>
      <c r="RNZ24" s="629"/>
      <c r="ROA24" s="629"/>
      <c r="ROB24" s="629"/>
      <c r="ROC24" s="629"/>
      <c r="ROD24" s="629"/>
      <c r="ROE24" s="629"/>
      <c r="ROF24" s="629"/>
      <c r="ROG24" s="629"/>
      <c r="ROH24" s="629"/>
      <c r="ROI24" s="629"/>
      <c r="ROJ24" s="629"/>
      <c r="ROK24" s="629"/>
      <c r="ROL24" s="629"/>
      <c r="ROM24" s="629"/>
      <c r="RON24" s="629"/>
      <c r="ROO24" s="629"/>
      <c r="ROP24" s="629"/>
      <c r="ROQ24" s="629"/>
      <c r="ROR24" s="629"/>
      <c r="ROS24" s="629"/>
      <c r="ROT24" s="629"/>
      <c r="ROU24" s="629"/>
      <c r="ROV24" s="629"/>
      <c r="ROW24" s="629"/>
      <c r="ROX24" s="629"/>
      <c r="ROY24" s="629"/>
      <c r="ROZ24" s="629"/>
      <c r="RPA24" s="629"/>
      <c r="RPB24" s="629"/>
      <c r="RPC24" s="629"/>
      <c r="RPD24" s="629"/>
      <c r="RPE24" s="629"/>
      <c r="RPF24" s="629"/>
      <c r="RPG24" s="629"/>
      <c r="RPH24" s="629"/>
      <c r="RPI24" s="629"/>
      <c r="RPJ24" s="629"/>
      <c r="RPK24" s="629"/>
      <c r="RPL24" s="629"/>
      <c r="RPM24" s="629"/>
      <c r="RPN24" s="629"/>
      <c r="RPO24" s="629"/>
      <c r="RPP24" s="629"/>
      <c r="RPQ24" s="629"/>
      <c r="RPR24" s="629"/>
      <c r="RPS24" s="629"/>
      <c r="RPT24" s="629"/>
      <c r="RPU24" s="629"/>
      <c r="RPV24" s="629"/>
      <c r="RPW24" s="629"/>
      <c r="RPX24" s="629"/>
      <c r="RPY24" s="629"/>
      <c r="RPZ24" s="629"/>
      <c r="RQA24" s="629"/>
      <c r="RQB24" s="629"/>
      <c r="RQC24" s="629"/>
      <c r="RQD24" s="629"/>
      <c r="RQE24" s="629"/>
      <c r="RQF24" s="629"/>
      <c r="RQG24" s="629"/>
      <c r="RQH24" s="629"/>
      <c r="RQI24" s="629"/>
      <c r="RQJ24" s="629"/>
      <c r="RQK24" s="629"/>
      <c r="RQL24" s="629"/>
      <c r="RQM24" s="629"/>
      <c r="RQN24" s="629"/>
      <c r="RQO24" s="629"/>
      <c r="RQP24" s="629"/>
      <c r="RQQ24" s="629"/>
      <c r="RQR24" s="629"/>
      <c r="RQS24" s="629"/>
      <c r="RQT24" s="629"/>
      <c r="RQU24" s="629"/>
      <c r="RQV24" s="629"/>
      <c r="RQW24" s="629"/>
      <c r="RQX24" s="629"/>
      <c r="RQY24" s="629"/>
      <c r="RQZ24" s="629"/>
      <c r="RRA24" s="629"/>
      <c r="RRB24" s="629"/>
      <c r="RRC24" s="629"/>
      <c r="RRD24" s="629"/>
      <c r="RRE24" s="629"/>
      <c r="RRF24" s="629"/>
      <c r="RRG24" s="629"/>
      <c r="RRH24" s="629"/>
      <c r="RRI24" s="629"/>
      <c r="RRJ24" s="629"/>
      <c r="RRK24" s="629"/>
      <c r="RRL24" s="629"/>
      <c r="RRM24" s="629"/>
      <c r="RRN24" s="629"/>
      <c r="RRO24" s="629"/>
      <c r="RRP24" s="629"/>
      <c r="RRQ24" s="629"/>
      <c r="RRR24" s="629"/>
      <c r="RRS24" s="629"/>
      <c r="RRT24" s="629"/>
      <c r="RRU24" s="629"/>
      <c r="RRV24" s="629"/>
      <c r="RRW24" s="629"/>
      <c r="RRX24" s="629"/>
      <c r="RRY24" s="629"/>
      <c r="RRZ24" s="629"/>
      <c r="RSA24" s="629"/>
      <c r="RSB24" s="629"/>
      <c r="RSC24" s="629"/>
      <c r="RSD24" s="629"/>
      <c r="RSE24" s="629"/>
      <c r="RSF24" s="629"/>
      <c r="RSG24" s="629"/>
      <c r="RSH24" s="629"/>
      <c r="RSI24" s="629"/>
      <c r="RSJ24" s="629"/>
      <c r="RSK24" s="629"/>
      <c r="RSL24" s="629"/>
      <c r="RSM24" s="629"/>
      <c r="RSN24" s="629"/>
      <c r="RSO24" s="629"/>
      <c r="RSP24" s="629"/>
      <c r="RSQ24" s="629"/>
      <c r="RSR24" s="629"/>
      <c r="RSS24" s="629"/>
      <c r="RST24" s="629"/>
      <c r="RSU24" s="629"/>
      <c r="RSV24" s="629"/>
      <c r="RSW24" s="629"/>
      <c r="RSX24" s="629"/>
      <c r="RSY24" s="629"/>
      <c r="RSZ24" s="629"/>
      <c r="RTA24" s="629"/>
      <c r="RTB24" s="629"/>
      <c r="RTC24" s="629"/>
      <c r="RTD24" s="629"/>
      <c r="RTE24" s="629"/>
      <c r="RTF24" s="629"/>
      <c r="RTG24" s="629"/>
      <c r="RTH24" s="629"/>
      <c r="RTI24" s="629"/>
      <c r="RTJ24" s="629"/>
      <c r="RTK24" s="629"/>
      <c r="RTL24" s="629"/>
      <c r="RTM24" s="629"/>
      <c r="RTN24" s="629"/>
      <c r="RTO24" s="629"/>
      <c r="RTP24" s="629"/>
      <c r="RTQ24" s="629"/>
      <c r="RTR24" s="629"/>
      <c r="RTS24" s="629"/>
      <c r="RTT24" s="629"/>
      <c r="RTU24" s="629"/>
      <c r="RTV24" s="629"/>
      <c r="RTW24" s="629"/>
      <c r="RTX24" s="629"/>
      <c r="RTY24" s="629"/>
      <c r="RTZ24" s="629"/>
      <c r="RUA24" s="629"/>
      <c r="RUB24" s="629"/>
      <c r="RUC24" s="629"/>
      <c r="RUD24" s="629"/>
      <c r="RUE24" s="629"/>
      <c r="RUF24" s="629"/>
      <c r="RUG24" s="629"/>
      <c r="RUH24" s="629"/>
      <c r="RUI24" s="629"/>
      <c r="RUJ24" s="629"/>
      <c r="RUK24" s="629"/>
      <c r="RUL24" s="629"/>
      <c r="RUM24" s="629"/>
      <c r="RUN24" s="629"/>
      <c r="RUO24" s="629"/>
      <c r="RUP24" s="629"/>
      <c r="RUQ24" s="629"/>
      <c r="RUR24" s="629"/>
      <c r="RUS24" s="629"/>
      <c r="RUT24" s="629"/>
      <c r="RUU24" s="629"/>
      <c r="RUV24" s="629"/>
      <c r="RUW24" s="629"/>
      <c r="RUX24" s="629"/>
      <c r="RUY24" s="629"/>
      <c r="RUZ24" s="629"/>
      <c r="RVA24" s="629"/>
      <c r="RVB24" s="629"/>
      <c r="RVC24" s="629"/>
      <c r="RVD24" s="629"/>
      <c r="RVE24" s="629"/>
      <c r="RVF24" s="629"/>
      <c r="RVG24" s="629"/>
      <c r="RVH24" s="629"/>
      <c r="RVI24" s="629"/>
      <c r="RVJ24" s="629"/>
      <c r="RVK24" s="629"/>
      <c r="RVL24" s="629"/>
      <c r="RVM24" s="629"/>
      <c r="RVN24" s="629"/>
      <c r="RVO24" s="629"/>
      <c r="RVP24" s="629"/>
      <c r="RVQ24" s="629"/>
      <c r="RVR24" s="629"/>
      <c r="RVS24" s="629"/>
      <c r="RVT24" s="629"/>
      <c r="RVU24" s="629"/>
      <c r="RVV24" s="629"/>
      <c r="RVW24" s="629"/>
      <c r="RVX24" s="629"/>
      <c r="RVY24" s="629"/>
      <c r="RVZ24" s="629"/>
      <c r="RWA24" s="629"/>
      <c r="RWB24" s="629"/>
      <c r="RWC24" s="629"/>
      <c r="RWD24" s="629"/>
      <c r="RWE24" s="629"/>
      <c r="RWF24" s="629"/>
      <c r="RWG24" s="629"/>
      <c r="RWH24" s="629"/>
      <c r="RWI24" s="629"/>
      <c r="RWJ24" s="629"/>
      <c r="RWK24" s="629"/>
      <c r="RWL24" s="629"/>
      <c r="RWM24" s="629"/>
      <c r="RWN24" s="629"/>
      <c r="RWO24" s="629"/>
      <c r="RWP24" s="629"/>
      <c r="RWQ24" s="629"/>
      <c r="RWR24" s="629"/>
      <c r="RWS24" s="629"/>
      <c r="RWT24" s="629"/>
      <c r="RWU24" s="629"/>
      <c r="RWV24" s="629"/>
      <c r="RWW24" s="629"/>
      <c r="RWX24" s="629"/>
      <c r="RWY24" s="629"/>
      <c r="RWZ24" s="629"/>
      <c r="RXA24" s="629"/>
      <c r="RXB24" s="629"/>
      <c r="RXC24" s="629"/>
      <c r="RXD24" s="629"/>
      <c r="RXE24" s="629"/>
      <c r="RXF24" s="629"/>
      <c r="RXG24" s="629"/>
      <c r="RXH24" s="629"/>
      <c r="RXI24" s="629"/>
      <c r="RXJ24" s="629"/>
      <c r="RXK24" s="629"/>
      <c r="RXL24" s="629"/>
      <c r="RXM24" s="629"/>
      <c r="RXN24" s="629"/>
      <c r="RXO24" s="629"/>
      <c r="RXP24" s="629"/>
      <c r="RXQ24" s="629"/>
      <c r="RXR24" s="629"/>
      <c r="RXS24" s="629"/>
      <c r="RXT24" s="629"/>
      <c r="RXU24" s="629"/>
      <c r="RXV24" s="629"/>
      <c r="RXW24" s="629"/>
      <c r="RXX24" s="629"/>
      <c r="RXY24" s="629"/>
      <c r="RXZ24" s="629"/>
      <c r="RYA24" s="629"/>
      <c r="RYB24" s="629"/>
      <c r="RYC24" s="629"/>
      <c r="RYD24" s="629"/>
      <c r="RYE24" s="629"/>
      <c r="RYF24" s="629"/>
      <c r="RYG24" s="629"/>
      <c r="RYH24" s="629"/>
      <c r="RYI24" s="629"/>
      <c r="RYJ24" s="629"/>
      <c r="RYK24" s="629"/>
      <c r="RYL24" s="629"/>
      <c r="RYM24" s="629"/>
      <c r="RYN24" s="629"/>
      <c r="RYO24" s="629"/>
      <c r="RYP24" s="629"/>
      <c r="RYQ24" s="629"/>
      <c r="RYR24" s="629"/>
      <c r="RYS24" s="629"/>
      <c r="RYT24" s="629"/>
      <c r="RYU24" s="629"/>
      <c r="RYV24" s="629"/>
      <c r="RYW24" s="629"/>
      <c r="RYX24" s="629"/>
      <c r="RYY24" s="629"/>
      <c r="RYZ24" s="629"/>
      <c r="RZA24" s="629"/>
      <c r="RZB24" s="629"/>
      <c r="RZC24" s="629"/>
      <c r="RZD24" s="629"/>
      <c r="RZE24" s="629"/>
      <c r="RZF24" s="629"/>
      <c r="RZG24" s="629"/>
      <c r="RZH24" s="629"/>
      <c r="RZI24" s="629"/>
      <c r="RZJ24" s="629"/>
      <c r="RZK24" s="629"/>
      <c r="RZL24" s="629"/>
      <c r="RZM24" s="629"/>
      <c r="RZN24" s="629"/>
      <c r="RZO24" s="629"/>
      <c r="RZP24" s="629"/>
      <c r="RZQ24" s="629"/>
      <c r="RZR24" s="629"/>
      <c r="RZS24" s="629"/>
      <c r="RZT24" s="629"/>
      <c r="RZU24" s="629"/>
      <c r="RZV24" s="629"/>
      <c r="RZW24" s="629"/>
      <c r="RZX24" s="629"/>
      <c r="RZY24" s="629"/>
      <c r="RZZ24" s="629"/>
      <c r="SAA24" s="629"/>
      <c r="SAB24" s="629"/>
      <c r="SAC24" s="629"/>
      <c r="SAD24" s="629"/>
      <c r="SAE24" s="629"/>
      <c r="SAF24" s="629"/>
      <c r="SAG24" s="629"/>
      <c r="SAH24" s="629"/>
      <c r="SAI24" s="629"/>
      <c r="SAJ24" s="629"/>
      <c r="SAK24" s="629"/>
      <c r="SAL24" s="629"/>
      <c r="SAM24" s="629"/>
      <c r="SAN24" s="629"/>
      <c r="SAO24" s="629"/>
      <c r="SAP24" s="629"/>
      <c r="SAQ24" s="629"/>
      <c r="SAR24" s="629"/>
      <c r="SAS24" s="629"/>
      <c r="SAT24" s="629"/>
      <c r="SAU24" s="629"/>
      <c r="SAV24" s="629"/>
      <c r="SAW24" s="629"/>
      <c r="SAX24" s="629"/>
      <c r="SAY24" s="629"/>
      <c r="SAZ24" s="629"/>
      <c r="SBA24" s="629"/>
      <c r="SBB24" s="629"/>
      <c r="SBC24" s="629"/>
      <c r="SBD24" s="629"/>
      <c r="SBE24" s="629"/>
      <c r="SBF24" s="629"/>
      <c r="SBG24" s="629"/>
      <c r="SBH24" s="629"/>
      <c r="SBI24" s="629"/>
      <c r="SBJ24" s="629"/>
      <c r="SBK24" s="629"/>
      <c r="SBL24" s="629"/>
      <c r="SBM24" s="629"/>
      <c r="SBN24" s="629"/>
      <c r="SBO24" s="629"/>
      <c r="SBP24" s="629"/>
      <c r="SBQ24" s="629"/>
      <c r="SBR24" s="629"/>
      <c r="SBS24" s="629"/>
      <c r="SBT24" s="629"/>
      <c r="SBU24" s="629"/>
      <c r="SBV24" s="629"/>
      <c r="SBW24" s="629"/>
      <c r="SBX24" s="629"/>
      <c r="SBY24" s="629"/>
      <c r="SBZ24" s="629"/>
      <c r="SCA24" s="629"/>
      <c r="SCB24" s="629"/>
      <c r="SCC24" s="629"/>
      <c r="SCD24" s="629"/>
      <c r="SCE24" s="629"/>
      <c r="SCF24" s="629"/>
      <c r="SCG24" s="629"/>
      <c r="SCH24" s="629"/>
      <c r="SCI24" s="629"/>
      <c r="SCJ24" s="629"/>
      <c r="SCK24" s="629"/>
      <c r="SCL24" s="629"/>
      <c r="SCM24" s="629"/>
      <c r="SCN24" s="629"/>
      <c r="SCO24" s="629"/>
      <c r="SCP24" s="629"/>
      <c r="SCQ24" s="629"/>
      <c r="SCR24" s="629"/>
      <c r="SCS24" s="629"/>
      <c r="SCT24" s="629"/>
      <c r="SCU24" s="629"/>
      <c r="SCV24" s="629"/>
      <c r="SCW24" s="629"/>
      <c r="SCX24" s="629"/>
      <c r="SCY24" s="629"/>
      <c r="SCZ24" s="629"/>
      <c r="SDA24" s="629"/>
      <c r="SDB24" s="629"/>
      <c r="SDC24" s="629"/>
      <c r="SDD24" s="629"/>
      <c r="SDE24" s="629"/>
      <c r="SDF24" s="629"/>
      <c r="SDG24" s="629"/>
      <c r="SDH24" s="629"/>
      <c r="SDI24" s="629"/>
      <c r="SDJ24" s="629"/>
      <c r="SDK24" s="629"/>
      <c r="SDL24" s="629"/>
      <c r="SDM24" s="629"/>
      <c r="SDN24" s="629"/>
      <c r="SDO24" s="629"/>
      <c r="SDP24" s="629"/>
      <c r="SDQ24" s="629"/>
      <c r="SDR24" s="629"/>
      <c r="SDS24" s="629"/>
      <c r="SDT24" s="629"/>
      <c r="SDU24" s="629"/>
      <c r="SDV24" s="629"/>
      <c r="SDW24" s="629"/>
      <c r="SDX24" s="629"/>
      <c r="SDY24" s="629"/>
      <c r="SDZ24" s="629"/>
      <c r="SEA24" s="629"/>
      <c r="SEB24" s="629"/>
      <c r="SEC24" s="629"/>
      <c r="SED24" s="629"/>
      <c r="SEE24" s="629"/>
      <c r="SEF24" s="629"/>
      <c r="SEG24" s="629"/>
      <c r="SEH24" s="629"/>
      <c r="SEI24" s="629"/>
      <c r="SEJ24" s="629"/>
      <c r="SEK24" s="629"/>
      <c r="SEL24" s="629"/>
      <c r="SEM24" s="629"/>
      <c r="SEN24" s="629"/>
      <c r="SEO24" s="629"/>
      <c r="SEP24" s="629"/>
      <c r="SEQ24" s="629"/>
      <c r="SER24" s="629"/>
      <c r="SES24" s="629"/>
      <c r="SET24" s="629"/>
      <c r="SEU24" s="629"/>
      <c r="SEV24" s="629"/>
      <c r="SEW24" s="629"/>
      <c r="SEX24" s="629"/>
      <c r="SEY24" s="629"/>
      <c r="SEZ24" s="629"/>
      <c r="SFA24" s="629"/>
      <c r="SFB24" s="629"/>
      <c r="SFC24" s="629"/>
      <c r="SFD24" s="629"/>
      <c r="SFE24" s="629"/>
      <c r="SFF24" s="629"/>
      <c r="SFG24" s="629"/>
      <c r="SFH24" s="629"/>
      <c r="SFI24" s="629"/>
      <c r="SFJ24" s="629"/>
      <c r="SFK24" s="629"/>
      <c r="SFL24" s="629"/>
      <c r="SFM24" s="629"/>
      <c r="SFN24" s="629"/>
      <c r="SFO24" s="629"/>
      <c r="SFP24" s="629"/>
      <c r="SFQ24" s="629"/>
      <c r="SFR24" s="629"/>
      <c r="SFS24" s="629"/>
      <c r="SFT24" s="629"/>
      <c r="SFU24" s="629"/>
      <c r="SFV24" s="629"/>
      <c r="SFW24" s="629"/>
      <c r="SFX24" s="629"/>
      <c r="SFY24" s="629"/>
      <c r="SFZ24" s="629"/>
      <c r="SGA24" s="629"/>
      <c r="SGB24" s="629"/>
      <c r="SGC24" s="629"/>
      <c r="SGD24" s="629"/>
      <c r="SGE24" s="629"/>
      <c r="SGF24" s="629"/>
      <c r="SGG24" s="629"/>
      <c r="SGH24" s="629"/>
      <c r="SGI24" s="629"/>
      <c r="SGJ24" s="629"/>
      <c r="SGK24" s="629"/>
      <c r="SGL24" s="629"/>
      <c r="SGM24" s="629"/>
      <c r="SGN24" s="629"/>
      <c r="SGO24" s="629"/>
      <c r="SGP24" s="629"/>
      <c r="SGQ24" s="629"/>
      <c r="SGR24" s="629"/>
      <c r="SGS24" s="629"/>
      <c r="SGT24" s="629"/>
      <c r="SGU24" s="629"/>
      <c r="SGV24" s="629"/>
      <c r="SGW24" s="629"/>
      <c r="SGX24" s="629"/>
      <c r="SGY24" s="629"/>
      <c r="SGZ24" s="629"/>
      <c r="SHA24" s="629"/>
      <c r="SHB24" s="629"/>
      <c r="SHC24" s="629"/>
      <c r="SHD24" s="629"/>
      <c r="SHE24" s="629"/>
      <c r="SHF24" s="629"/>
      <c r="SHG24" s="629"/>
      <c r="SHH24" s="629"/>
      <c r="SHI24" s="629"/>
      <c r="SHJ24" s="629"/>
      <c r="SHK24" s="629"/>
      <c r="SHL24" s="629"/>
      <c r="SHM24" s="629"/>
      <c r="SHN24" s="629"/>
      <c r="SHO24" s="629"/>
      <c r="SHP24" s="629"/>
      <c r="SHQ24" s="629"/>
      <c r="SHR24" s="629"/>
      <c r="SHS24" s="629"/>
      <c r="SHT24" s="629"/>
      <c r="SHU24" s="629"/>
      <c r="SHV24" s="629"/>
      <c r="SHW24" s="629"/>
      <c r="SHX24" s="629"/>
      <c r="SHY24" s="629"/>
      <c r="SHZ24" s="629"/>
      <c r="SIA24" s="629"/>
      <c r="SIB24" s="629"/>
      <c r="SIC24" s="629"/>
      <c r="SID24" s="629"/>
      <c r="SIE24" s="629"/>
      <c r="SIF24" s="629"/>
      <c r="SIG24" s="629"/>
      <c r="SIH24" s="629"/>
      <c r="SII24" s="629"/>
      <c r="SIJ24" s="629"/>
      <c r="SIK24" s="629"/>
      <c r="SIL24" s="629"/>
      <c r="SIM24" s="629"/>
      <c r="SIN24" s="629"/>
      <c r="SIO24" s="629"/>
      <c r="SIP24" s="629"/>
      <c r="SIQ24" s="629"/>
      <c r="SIR24" s="629"/>
      <c r="SIS24" s="629"/>
      <c r="SIT24" s="629"/>
      <c r="SIU24" s="629"/>
      <c r="SIV24" s="629"/>
      <c r="SIW24" s="629"/>
      <c r="SIX24" s="629"/>
      <c r="SIY24" s="629"/>
      <c r="SIZ24" s="629"/>
      <c r="SJA24" s="629"/>
      <c r="SJB24" s="629"/>
      <c r="SJC24" s="629"/>
      <c r="SJD24" s="629"/>
      <c r="SJE24" s="629"/>
      <c r="SJF24" s="629"/>
      <c r="SJG24" s="629"/>
      <c r="SJH24" s="629"/>
      <c r="SJI24" s="629"/>
      <c r="SJJ24" s="629"/>
      <c r="SJK24" s="629"/>
      <c r="SJL24" s="629"/>
      <c r="SJM24" s="629"/>
      <c r="SJN24" s="629"/>
      <c r="SJO24" s="629"/>
      <c r="SJP24" s="629"/>
      <c r="SJQ24" s="629"/>
      <c r="SJR24" s="629"/>
      <c r="SJS24" s="629"/>
      <c r="SJT24" s="629"/>
      <c r="SJU24" s="629"/>
      <c r="SJV24" s="629"/>
      <c r="SJW24" s="629"/>
      <c r="SJX24" s="629"/>
      <c r="SJY24" s="629"/>
      <c r="SJZ24" s="629"/>
      <c r="SKA24" s="629"/>
      <c r="SKB24" s="629"/>
      <c r="SKC24" s="629"/>
      <c r="SKD24" s="629"/>
      <c r="SKE24" s="629"/>
      <c r="SKF24" s="629"/>
      <c r="SKG24" s="629"/>
      <c r="SKH24" s="629"/>
      <c r="SKI24" s="629"/>
      <c r="SKJ24" s="629"/>
      <c r="SKK24" s="629"/>
      <c r="SKL24" s="629"/>
      <c r="SKM24" s="629"/>
      <c r="SKN24" s="629"/>
      <c r="SKO24" s="629"/>
      <c r="SKP24" s="629"/>
      <c r="SKQ24" s="629"/>
      <c r="SKR24" s="629"/>
      <c r="SKS24" s="629"/>
      <c r="SKT24" s="629"/>
      <c r="SKU24" s="629"/>
      <c r="SKV24" s="629"/>
      <c r="SKW24" s="629"/>
      <c r="SKX24" s="629"/>
      <c r="SKY24" s="629"/>
      <c r="SKZ24" s="629"/>
      <c r="SLA24" s="629"/>
      <c r="SLB24" s="629"/>
      <c r="SLC24" s="629"/>
      <c r="SLD24" s="629"/>
      <c r="SLE24" s="629"/>
      <c r="SLF24" s="629"/>
      <c r="SLG24" s="629"/>
      <c r="SLH24" s="629"/>
      <c r="SLI24" s="629"/>
      <c r="SLJ24" s="629"/>
      <c r="SLK24" s="629"/>
      <c r="SLL24" s="629"/>
      <c r="SLM24" s="629"/>
      <c r="SLN24" s="629"/>
      <c r="SLO24" s="629"/>
      <c r="SLP24" s="629"/>
      <c r="SLQ24" s="629"/>
      <c r="SLR24" s="629"/>
      <c r="SLS24" s="629"/>
      <c r="SLT24" s="629"/>
      <c r="SLU24" s="629"/>
      <c r="SLV24" s="629"/>
      <c r="SLW24" s="629"/>
      <c r="SLX24" s="629"/>
      <c r="SLY24" s="629"/>
      <c r="SLZ24" s="629"/>
      <c r="SMA24" s="629"/>
      <c r="SMB24" s="629"/>
      <c r="SMC24" s="629"/>
      <c r="SMD24" s="629"/>
      <c r="SME24" s="629"/>
      <c r="SMF24" s="629"/>
      <c r="SMG24" s="629"/>
      <c r="SMH24" s="629"/>
      <c r="SMI24" s="629"/>
      <c r="SMJ24" s="629"/>
      <c r="SMK24" s="629"/>
      <c r="SML24" s="629"/>
      <c r="SMM24" s="629"/>
      <c r="SMN24" s="629"/>
      <c r="SMO24" s="629"/>
      <c r="SMP24" s="629"/>
      <c r="SMQ24" s="629"/>
      <c r="SMR24" s="629"/>
      <c r="SMS24" s="629"/>
      <c r="SMT24" s="629"/>
      <c r="SMU24" s="629"/>
      <c r="SMV24" s="629"/>
      <c r="SMW24" s="629"/>
      <c r="SMX24" s="629"/>
      <c r="SMY24" s="629"/>
      <c r="SMZ24" s="629"/>
      <c r="SNA24" s="629"/>
      <c r="SNB24" s="629"/>
      <c r="SNC24" s="629"/>
      <c r="SND24" s="629"/>
      <c r="SNE24" s="629"/>
      <c r="SNF24" s="629"/>
      <c r="SNG24" s="629"/>
      <c r="SNH24" s="629"/>
      <c r="SNI24" s="629"/>
      <c r="SNJ24" s="629"/>
      <c r="SNK24" s="629"/>
      <c r="SNL24" s="629"/>
      <c r="SNM24" s="629"/>
      <c r="SNN24" s="629"/>
      <c r="SNO24" s="629"/>
      <c r="SNP24" s="629"/>
      <c r="SNQ24" s="629"/>
      <c r="SNR24" s="629"/>
      <c r="SNS24" s="629"/>
      <c r="SNT24" s="629"/>
      <c r="SNU24" s="629"/>
      <c r="SNV24" s="629"/>
      <c r="SNW24" s="629"/>
      <c r="SNX24" s="629"/>
      <c r="SNY24" s="629"/>
      <c r="SNZ24" s="629"/>
      <c r="SOA24" s="629"/>
      <c r="SOB24" s="629"/>
      <c r="SOC24" s="629"/>
      <c r="SOD24" s="629"/>
      <c r="SOE24" s="629"/>
      <c r="SOF24" s="629"/>
      <c r="SOG24" s="629"/>
      <c r="SOH24" s="629"/>
      <c r="SOI24" s="629"/>
      <c r="SOJ24" s="629"/>
      <c r="SOK24" s="629"/>
      <c r="SOL24" s="629"/>
      <c r="SOM24" s="629"/>
      <c r="SON24" s="629"/>
      <c r="SOO24" s="629"/>
      <c r="SOP24" s="629"/>
      <c r="SOQ24" s="629"/>
      <c r="SOR24" s="629"/>
      <c r="SOS24" s="629"/>
      <c r="SOT24" s="629"/>
      <c r="SOU24" s="629"/>
      <c r="SOV24" s="629"/>
      <c r="SOW24" s="629"/>
      <c r="SOX24" s="629"/>
      <c r="SOY24" s="629"/>
      <c r="SOZ24" s="629"/>
      <c r="SPA24" s="629"/>
      <c r="SPB24" s="629"/>
      <c r="SPC24" s="629"/>
      <c r="SPD24" s="629"/>
      <c r="SPE24" s="629"/>
      <c r="SPF24" s="629"/>
      <c r="SPG24" s="629"/>
      <c r="SPH24" s="629"/>
      <c r="SPI24" s="629"/>
      <c r="SPJ24" s="629"/>
      <c r="SPK24" s="629"/>
      <c r="SPL24" s="629"/>
      <c r="SPM24" s="629"/>
      <c r="SPN24" s="629"/>
      <c r="SPO24" s="629"/>
      <c r="SPP24" s="629"/>
      <c r="SPQ24" s="629"/>
      <c r="SPR24" s="629"/>
      <c r="SPS24" s="629"/>
      <c r="SPT24" s="629"/>
      <c r="SPU24" s="629"/>
      <c r="SPV24" s="629"/>
      <c r="SPW24" s="629"/>
      <c r="SPX24" s="629"/>
      <c r="SPY24" s="629"/>
      <c r="SPZ24" s="629"/>
      <c r="SQA24" s="629"/>
      <c r="SQB24" s="629"/>
      <c r="SQC24" s="629"/>
      <c r="SQD24" s="629"/>
      <c r="SQE24" s="629"/>
      <c r="SQF24" s="629"/>
      <c r="SQG24" s="629"/>
      <c r="SQH24" s="629"/>
      <c r="SQI24" s="629"/>
      <c r="SQJ24" s="629"/>
      <c r="SQK24" s="629"/>
      <c r="SQL24" s="629"/>
      <c r="SQM24" s="629"/>
      <c r="SQN24" s="629"/>
      <c r="SQO24" s="629"/>
      <c r="SQP24" s="629"/>
      <c r="SQQ24" s="629"/>
      <c r="SQR24" s="629"/>
      <c r="SQS24" s="629"/>
      <c r="SQT24" s="629"/>
      <c r="SQU24" s="629"/>
      <c r="SQV24" s="629"/>
      <c r="SQW24" s="629"/>
      <c r="SQX24" s="629"/>
      <c r="SQY24" s="629"/>
      <c r="SQZ24" s="629"/>
      <c r="SRA24" s="629"/>
      <c r="SRB24" s="629"/>
      <c r="SRC24" s="629"/>
      <c r="SRD24" s="629"/>
      <c r="SRE24" s="629"/>
      <c r="SRF24" s="629"/>
      <c r="SRG24" s="629"/>
      <c r="SRH24" s="629"/>
      <c r="SRI24" s="629"/>
      <c r="SRJ24" s="629"/>
      <c r="SRK24" s="629"/>
      <c r="SRL24" s="629"/>
      <c r="SRM24" s="629"/>
      <c r="SRN24" s="629"/>
      <c r="SRO24" s="629"/>
      <c r="SRP24" s="629"/>
      <c r="SRQ24" s="629"/>
      <c r="SRR24" s="629"/>
      <c r="SRS24" s="629"/>
      <c r="SRT24" s="629"/>
      <c r="SRU24" s="629"/>
      <c r="SRV24" s="629"/>
      <c r="SRW24" s="629"/>
      <c r="SRX24" s="629"/>
      <c r="SRY24" s="629"/>
      <c r="SRZ24" s="629"/>
      <c r="SSA24" s="629"/>
      <c r="SSB24" s="629"/>
      <c r="SSC24" s="629"/>
      <c r="SSD24" s="629"/>
      <c r="SSE24" s="629"/>
      <c r="SSF24" s="629"/>
      <c r="SSG24" s="629"/>
      <c r="SSH24" s="629"/>
      <c r="SSI24" s="629"/>
      <c r="SSJ24" s="629"/>
      <c r="SSK24" s="629"/>
      <c r="SSL24" s="629"/>
      <c r="SSM24" s="629"/>
      <c r="SSN24" s="629"/>
      <c r="SSO24" s="629"/>
      <c r="SSP24" s="629"/>
      <c r="SSQ24" s="629"/>
      <c r="SSR24" s="629"/>
      <c r="SSS24" s="629"/>
      <c r="SST24" s="629"/>
      <c r="SSU24" s="629"/>
      <c r="SSV24" s="629"/>
      <c r="SSW24" s="629"/>
      <c r="SSX24" s="629"/>
      <c r="SSY24" s="629"/>
      <c r="SSZ24" s="629"/>
      <c r="STA24" s="629"/>
      <c r="STB24" s="629"/>
      <c r="STC24" s="629"/>
      <c r="STD24" s="629"/>
      <c r="STE24" s="629"/>
      <c r="STF24" s="629"/>
      <c r="STG24" s="629"/>
      <c r="STH24" s="629"/>
      <c r="STI24" s="629"/>
      <c r="STJ24" s="629"/>
      <c r="STK24" s="629"/>
      <c r="STL24" s="629"/>
      <c r="STM24" s="629"/>
      <c r="STN24" s="629"/>
      <c r="STO24" s="629"/>
      <c r="STP24" s="629"/>
      <c r="STQ24" s="629"/>
      <c r="STR24" s="629"/>
      <c r="STS24" s="629"/>
      <c r="STT24" s="629"/>
      <c r="STU24" s="629"/>
      <c r="STV24" s="629"/>
      <c r="STW24" s="629"/>
      <c r="STX24" s="629"/>
      <c r="STY24" s="629"/>
      <c r="STZ24" s="629"/>
      <c r="SUA24" s="629"/>
      <c r="SUB24" s="629"/>
      <c r="SUC24" s="629"/>
      <c r="SUD24" s="629"/>
      <c r="SUE24" s="629"/>
      <c r="SUF24" s="629"/>
      <c r="SUG24" s="629"/>
      <c r="SUH24" s="629"/>
      <c r="SUI24" s="629"/>
      <c r="SUJ24" s="629"/>
      <c r="SUK24" s="629"/>
      <c r="SUL24" s="629"/>
      <c r="SUM24" s="629"/>
      <c r="SUN24" s="629"/>
      <c r="SUO24" s="629"/>
      <c r="SUP24" s="629"/>
      <c r="SUQ24" s="629"/>
      <c r="SUR24" s="629"/>
      <c r="SUS24" s="629"/>
      <c r="SUT24" s="629"/>
      <c r="SUU24" s="629"/>
      <c r="SUV24" s="629"/>
      <c r="SUW24" s="629"/>
      <c r="SUX24" s="629"/>
      <c r="SUY24" s="629"/>
      <c r="SUZ24" s="629"/>
      <c r="SVA24" s="629"/>
      <c r="SVB24" s="629"/>
      <c r="SVC24" s="629"/>
      <c r="SVD24" s="629"/>
      <c r="SVE24" s="629"/>
      <c r="SVF24" s="629"/>
      <c r="SVG24" s="629"/>
      <c r="SVH24" s="629"/>
      <c r="SVI24" s="629"/>
      <c r="SVJ24" s="629"/>
      <c r="SVK24" s="629"/>
      <c r="SVL24" s="629"/>
      <c r="SVM24" s="629"/>
      <c r="SVN24" s="629"/>
      <c r="SVO24" s="629"/>
      <c r="SVP24" s="629"/>
      <c r="SVQ24" s="629"/>
      <c r="SVR24" s="629"/>
      <c r="SVS24" s="629"/>
      <c r="SVT24" s="629"/>
      <c r="SVU24" s="629"/>
      <c r="SVV24" s="629"/>
      <c r="SVW24" s="629"/>
      <c r="SVX24" s="629"/>
      <c r="SVY24" s="629"/>
      <c r="SVZ24" s="629"/>
      <c r="SWA24" s="629"/>
      <c r="SWB24" s="629"/>
      <c r="SWC24" s="629"/>
      <c r="SWD24" s="629"/>
      <c r="SWE24" s="629"/>
      <c r="SWF24" s="629"/>
      <c r="SWG24" s="629"/>
      <c r="SWH24" s="629"/>
      <c r="SWI24" s="629"/>
      <c r="SWJ24" s="629"/>
      <c r="SWK24" s="629"/>
      <c r="SWL24" s="629"/>
      <c r="SWM24" s="629"/>
      <c r="SWN24" s="629"/>
      <c r="SWO24" s="629"/>
      <c r="SWP24" s="629"/>
      <c r="SWQ24" s="629"/>
      <c r="SWR24" s="629"/>
      <c r="SWS24" s="629"/>
      <c r="SWT24" s="629"/>
      <c r="SWU24" s="629"/>
      <c r="SWV24" s="629"/>
      <c r="SWW24" s="629"/>
      <c r="SWX24" s="629"/>
      <c r="SWY24" s="629"/>
      <c r="SWZ24" s="629"/>
      <c r="SXA24" s="629"/>
      <c r="SXB24" s="629"/>
      <c r="SXC24" s="629"/>
      <c r="SXD24" s="629"/>
      <c r="SXE24" s="629"/>
      <c r="SXF24" s="629"/>
      <c r="SXG24" s="629"/>
      <c r="SXH24" s="629"/>
      <c r="SXI24" s="629"/>
      <c r="SXJ24" s="629"/>
      <c r="SXK24" s="629"/>
      <c r="SXL24" s="629"/>
      <c r="SXM24" s="629"/>
      <c r="SXN24" s="629"/>
      <c r="SXO24" s="629"/>
      <c r="SXP24" s="629"/>
      <c r="SXQ24" s="629"/>
      <c r="SXR24" s="629"/>
      <c r="SXS24" s="629"/>
      <c r="SXT24" s="629"/>
      <c r="SXU24" s="629"/>
      <c r="SXV24" s="629"/>
      <c r="SXW24" s="629"/>
      <c r="SXX24" s="629"/>
      <c r="SXY24" s="629"/>
      <c r="SXZ24" s="629"/>
      <c r="SYA24" s="629"/>
      <c r="SYB24" s="629"/>
      <c r="SYC24" s="629"/>
      <c r="SYD24" s="629"/>
      <c r="SYE24" s="629"/>
      <c r="SYF24" s="629"/>
      <c r="SYG24" s="629"/>
      <c r="SYH24" s="629"/>
      <c r="SYI24" s="629"/>
      <c r="SYJ24" s="629"/>
      <c r="SYK24" s="629"/>
      <c r="SYL24" s="629"/>
      <c r="SYM24" s="629"/>
      <c r="SYN24" s="629"/>
      <c r="SYO24" s="629"/>
      <c r="SYP24" s="629"/>
      <c r="SYQ24" s="629"/>
      <c r="SYR24" s="629"/>
      <c r="SYS24" s="629"/>
      <c r="SYT24" s="629"/>
      <c r="SYU24" s="629"/>
      <c r="SYV24" s="629"/>
      <c r="SYW24" s="629"/>
      <c r="SYX24" s="629"/>
      <c r="SYY24" s="629"/>
      <c r="SYZ24" s="629"/>
      <c r="SZA24" s="629"/>
      <c r="SZB24" s="629"/>
      <c r="SZC24" s="629"/>
      <c r="SZD24" s="629"/>
      <c r="SZE24" s="629"/>
      <c r="SZF24" s="629"/>
      <c r="SZG24" s="629"/>
      <c r="SZH24" s="629"/>
      <c r="SZI24" s="629"/>
      <c r="SZJ24" s="629"/>
      <c r="SZK24" s="629"/>
      <c r="SZL24" s="629"/>
      <c r="SZM24" s="629"/>
      <c r="SZN24" s="629"/>
      <c r="SZO24" s="629"/>
      <c r="SZP24" s="629"/>
      <c r="SZQ24" s="629"/>
      <c r="SZR24" s="629"/>
      <c r="SZS24" s="629"/>
      <c r="SZT24" s="629"/>
      <c r="SZU24" s="629"/>
      <c r="SZV24" s="629"/>
      <c r="SZW24" s="629"/>
      <c r="SZX24" s="629"/>
      <c r="SZY24" s="629"/>
      <c r="SZZ24" s="629"/>
      <c r="TAA24" s="629"/>
      <c r="TAB24" s="629"/>
      <c r="TAC24" s="629"/>
      <c r="TAD24" s="629"/>
      <c r="TAE24" s="629"/>
      <c r="TAF24" s="629"/>
      <c r="TAG24" s="629"/>
      <c r="TAH24" s="629"/>
      <c r="TAI24" s="629"/>
      <c r="TAJ24" s="629"/>
      <c r="TAK24" s="629"/>
      <c r="TAL24" s="629"/>
      <c r="TAM24" s="629"/>
      <c r="TAN24" s="629"/>
      <c r="TAO24" s="629"/>
      <c r="TAP24" s="629"/>
      <c r="TAQ24" s="629"/>
      <c r="TAR24" s="629"/>
      <c r="TAS24" s="629"/>
      <c r="TAT24" s="629"/>
      <c r="TAU24" s="629"/>
      <c r="TAV24" s="629"/>
      <c r="TAW24" s="629"/>
      <c r="TAX24" s="629"/>
      <c r="TAY24" s="629"/>
      <c r="TAZ24" s="629"/>
      <c r="TBA24" s="629"/>
      <c r="TBB24" s="629"/>
      <c r="TBC24" s="629"/>
      <c r="TBD24" s="629"/>
      <c r="TBE24" s="629"/>
      <c r="TBF24" s="629"/>
      <c r="TBG24" s="629"/>
      <c r="TBH24" s="629"/>
      <c r="TBI24" s="629"/>
      <c r="TBJ24" s="629"/>
      <c r="TBK24" s="629"/>
      <c r="TBL24" s="629"/>
      <c r="TBM24" s="629"/>
      <c r="TBN24" s="629"/>
      <c r="TBO24" s="629"/>
      <c r="TBP24" s="629"/>
      <c r="TBQ24" s="629"/>
      <c r="TBR24" s="629"/>
      <c r="TBS24" s="629"/>
      <c r="TBT24" s="629"/>
      <c r="TBU24" s="629"/>
      <c r="TBV24" s="629"/>
      <c r="TBW24" s="629"/>
      <c r="TBX24" s="629"/>
      <c r="TBY24" s="629"/>
      <c r="TBZ24" s="629"/>
      <c r="TCA24" s="629"/>
      <c r="TCB24" s="629"/>
      <c r="TCC24" s="629"/>
      <c r="TCD24" s="629"/>
      <c r="TCE24" s="629"/>
      <c r="TCF24" s="629"/>
      <c r="TCG24" s="629"/>
      <c r="TCH24" s="629"/>
      <c r="TCI24" s="629"/>
      <c r="TCJ24" s="629"/>
      <c r="TCK24" s="629"/>
      <c r="TCL24" s="629"/>
      <c r="TCM24" s="629"/>
      <c r="TCN24" s="629"/>
      <c r="TCO24" s="629"/>
      <c r="TCP24" s="629"/>
      <c r="TCQ24" s="629"/>
      <c r="TCR24" s="629"/>
      <c r="TCS24" s="629"/>
      <c r="TCT24" s="629"/>
      <c r="TCU24" s="629"/>
      <c r="TCV24" s="629"/>
      <c r="TCW24" s="629"/>
      <c r="TCX24" s="629"/>
      <c r="TCY24" s="629"/>
      <c r="TCZ24" s="629"/>
      <c r="TDA24" s="629"/>
      <c r="TDB24" s="629"/>
      <c r="TDC24" s="629"/>
      <c r="TDD24" s="629"/>
      <c r="TDE24" s="629"/>
      <c r="TDF24" s="629"/>
      <c r="TDG24" s="629"/>
      <c r="TDH24" s="629"/>
      <c r="TDI24" s="629"/>
      <c r="TDJ24" s="629"/>
      <c r="TDK24" s="629"/>
      <c r="TDL24" s="629"/>
      <c r="TDM24" s="629"/>
      <c r="TDN24" s="629"/>
      <c r="TDO24" s="629"/>
      <c r="TDP24" s="629"/>
      <c r="TDQ24" s="629"/>
      <c r="TDR24" s="629"/>
      <c r="TDS24" s="629"/>
      <c r="TDT24" s="629"/>
      <c r="TDU24" s="629"/>
      <c r="TDV24" s="629"/>
      <c r="TDW24" s="629"/>
      <c r="TDX24" s="629"/>
      <c r="TDY24" s="629"/>
      <c r="TDZ24" s="629"/>
      <c r="TEA24" s="629"/>
      <c r="TEB24" s="629"/>
      <c r="TEC24" s="629"/>
      <c r="TED24" s="629"/>
      <c r="TEE24" s="629"/>
      <c r="TEF24" s="629"/>
      <c r="TEG24" s="629"/>
      <c r="TEH24" s="629"/>
      <c r="TEI24" s="629"/>
      <c r="TEJ24" s="629"/>
      <c r="TEK24" s="629"/>
      <c r="TEL24" s="629"/>
      <c r="TEM24" s="629"/>
      <c r="TEN24" s="629"/>
      <c r="TEO24" s="629"/>
      <c r="TEP24" s="629"/>
      <c r="TEQ24" s="629"/>
      <c r="TER24" s="629"/>
      <c r="TES24" s="629"/>
      <c r="TET24" s="629"/>
      <c r="TEU24" s="629"/>
      <c r="TEV24" s="629"/>
      <c r="TEW24" s="629"/>
      <c r="TEX24" s="629"/>
      <c r="TEY24" s="629"/>
      <c r="TEZ24" s="629"/>
      <c r="TFA24" s="629"/>
      <c r="TFB24" s="629"/>
      <c r="TFC24" s="629"/>
      <c r="TFD24" s="629"/>
      <c r="TFE24" s="629"/>
      <c r="TFF24" s="629"/>
      <c r="TFG24" s="629"/>
      <c r="TFH24" s="629"/>
      <c r="TFI24" s="629"/>
      <c r="TFJ24" s="629"/>
      <c r="TFK24" s="629"/>
      <c r="TFL24" s="629"/>
      <c r="TFM24" s="629"/>
      <c r="TFN24" s="629"/>
      <c r="TFO24" s="629"/>
      <c r="TFP24" s="629"/>
      <c r="TFQ24" s="629"/>
      <c r="TFR24" s="629"/>
      <c r="TFS24" s="629"/>
      <c r="TFT24" s="629"/>
      <c r="TFU24" s="629"/>
      <c r="TFV24" s="629"/>
      <c r="TFW24" s="629"/>
      <c r="TFX24" s="629"/>
      <c r="TFY24" s="629"/>
      <c r="TFZ24" s="629"/>
      <c r="TGA24" s="629"/>
      <c r="TGB24" s="629"/>
      <c r="TGC24" s="629"/>
      <c r="TGD24" s="629"/>
      <c r="TGE24" s="629"/>
      <c r="TGF24" s="629"/>
      <c r="TGG24" s="629"/>
      <c r="TGH24" s="629"/>
      <c r="TGI24" s="629"/>
      <c r="TGJ24" s="629"/>
      <c r="TGK24" s="629"/>
      <c r="TGL24" s="629"/>
      <c r="TGM24" s="629"/>
      <c r="TGN24" s="629"/>
      <c r="TGO24" s="629"/>
      <c r="TGP24" s="629"/>
      <c r="TGQ24" s="629"/>
      <c r="TGR24" s="629"/>
      <c r="TGS24" s="629"/>
      <c r="TGT24" s="629"/>
      <c r="TGU24" s="629"/>
      <c r="TGV24" s="629"/>
      <c r="TGW24" s="629"/>
      <c r="TGX24" s="629"/>
      <c r="TGY24" s="629"/>
      <c r="TGZ24" s="629"/>
      <c r="THA24" s="629"/>
      <c r="THB24" s="629"/>
      <c r="THC24" s="629"/>
      <c r="THD24" s="629"/>
      <c r="THE24" s="629"/>
      <c r="THF24" s="629"/>
      <c r="THG24" s="629"/>
      <c r="THH24" s="629"/>
      <c r="THI24" s="629"/>
      <c r="THJ24" s="629"/>
      <c r="THK24" s="629"/>
      <c r="THL24" s="629"/>
      <c r="THM24" s="629"/>
      <c r="THN24" s="629"/>
      <c r="THO24" s="629"/>
      <c r="THP24" s="629"/>
      <c r="THQ24" s="629"/>
      <c r="THR24" s="629"/>
      <c r="THS24" s="629"/>
      <c r="THT24" s="629"/>
      <c r="THU24" s="629"/>
      <c r="THV24" s="629"/>
      <c r="THW24" s="629"/>
      <c r="THX24" s="629"/>
      <c r="THY24" s="629"/>
      <c r="THZ24" s="629"/>
      <c r="TIA24" s="629"/>
      <c r="TIB24" s="629"/>
      <c r="TIC24" s="629"/>
      <c r="TID24" s="629"/>
      <c r="TIE24" s="629"/>
      <c r="TIF24" s="629"/>
      <c r="TIG24" s="629"/>
      <c r="TIH24" s="629"/>
      <c r="TII24" s="629"/>
      <c r="TIJ24" s="629"/>
      <c r="TIK24" s="629"/>
      <c r="TIL24" s="629"/>
      <c r="TIM24" s="629"/>
      <c r="TIN24" s="629"/>
      <c r="TIO24" s="629"/>
      <c r="TIP24" s="629"/>
      <c r="TIQ24" s="629"/>
      <c r="TIR24" s="629"/>
      <c r="TIS24" s="629"/>
      <c r="TIT24" s="629"/>
      <c r="TIU24" s="629"/>
      <c r="TIV24" s="629"/>
      <c r="TIW24" s="629"/>
      <c r="TIX24" s="629"/>
      <c r="TIY24" s="629"/>
      <c r="TIZ24" s="629"/>
      <c r="TJA24" s="629"/>
      <c r="TJB24" s="629"/>
      <c r="TJC24" s="629"/>
      <c r="TJD24" s="629"/>
      <c r="TJE24" s="629"/>
      <c r="TJF24" s="629"/>
      <c r="TJG24" s="629"/>
      <c r="TJH24" s="629"/>
      <c r="TJI24" s="629"/>
      <c r="TJJ24" s="629"/>
      <c r="TJK24" s="629"/>
      <c r="TJL24" s="629"/>
      <c r="TJM24" s="629"/>
      <c r="TJN24" s="629"/>
      <c r="TJO24" s="629"/>
      <c r="TJP24" s="629"/>
      <c r="TJQ24" s="629"/>
      <c r="TJR24" s="629"/>
      <c r="TJS24" s="629"/>
      <c r="TJT24" s="629"/>
      <c r="TJU24" s="629"/>
      <c r="TJV24" s="629"/>
      <c r="TJW24" s="629"/>
      <c r="TJX24" s="629"/>
      <c r="TJY24" s="629"/>
      <c r="TJZ24" s="629"/>
      <c r="TKA24" s="629"/>
      <c r="TKB24" s="629"/>
      <c r="TKC24" s="629"/>
      <c r="TKD24" s="629"/>
      <c r="TKE24" s="629"/>
      <c r="TKF24" s="629"/>
      <c r="TKG24" s="629"/>
      <c r="TKH24" s="629"/>
      <c r="TKI24" s="629"/>
      <c r="TKJ24" s="629"/>
      <c r="TKK24" s="629"/>
      <c r="TKL24" s="629"/>
      <c r="TKM24" s="629"/>
      <c r="TKN24" s="629"/>
      <c r="TKO24" s="629"/>
      <c r="TKP24" s="629"/>
      <c r="TKQ24" s="629"/>
      <c r="TKR24" s="629"/>
      <c r="TKS24" s="629"/>
      <c r="TKT24" s="629"/>
      <c r="TKU24" s="629"/>
      <c r="TKV24" s="629"/>
      <c r="TKW24" s="629"/>
      <c r="TKX24" s="629"/>
      <c r="TKY24" s="629"/>
      <c r="TKZ24" s="629"/>
      <c r="TLA24" s="629"/>
      <c r="TLB24" s="629"/>
      <c r="TLC24" s="629"/>
      <c r="TLD24" s="629"/>
      <c r="TLE24" s="629"/>
      <c r="TLF24" s="629"/>
      <c r="TLG24" s="629"/>
      <c r="TLH24" s="629"/>
      <c r="TLI24" s="629"/>
      <c r="TLJ24" s="629"/>
      <c r="TLK24" s="629"/>
      <c r="TLL24" s="629"/>
      <c r="TLM24" s="629"/>
      <c r="TLN24" s="629"/>
      <c r="TLO24" s="629"/>
      <c r="TLP24" s="629"/>
      <c r="TLQ24" s="629"/>
      <c r="TLR24" s="629"/>
      <c r="TLS24" s="629"/>
      <c r="TLT24" s="629"/>
      <c r="TLU24" s="629"/>
      <c r="TLV24" s="629"/>
      <c r="TLW24" s="629"/>
      <c r="TLX24" s="629"/>
      <c r="TLY24" s="629"/>
      <c r="TLZ24" s="629"/>
      <c r="TMA24" s="629"/>
      <c r="TMB24" s="629"/>
      <c r="TMC24" s="629"/>
      <c r="TMD24" s="629"/>
      <c r="TME24" s="629"/>
      <c r="TMF24" s="629"/>
      <c r="TMG24" s="629"/>
      <c r="TMH24" s="629"/>
      <c r="TMI24" s="629"/>
      <c r="TMJ24" s="629"/>
      <c r="TMK24" s="629"/>
      <c r="TML24" s="629"/>
      <c r="TMM24" s="629"/>
      <c r="TMN24" s="629"/>
      <c r="TMO24" s="629"/>
      <c r="TMP24" s="629"/>
      <c r="TMQ24" s="629"/>
      <c r="TMR24" s="629"/>
      <c r="TMS24" s="629"/>
      <c r="TMT24" s="629"/>
      <c r="TMU24" s="629"/>
      <c r="TMV24" s="629"/>
      <c r="TMW24" s="629"/>
      <c r="TMX24" s="629"/>
      <c r="TMY24" s="629"/>
      <c r="TMZ24" s="629"/>
      <c r="TNA24" s="629"/>
      <c r="TNB24" s="629"/>
      <c r="TNC24" s="629"/>
      <c r="TND24" s="629"/>
      <c r="TNE24" s="629"/>
      <c r="TNF24" s="629"/>
      <c r="TNG24" s="629"/>
      <c r="TNH24" s="629"/>
      <c r="TNI24" s="629"/>
      <c r="TNJ24" s="629"/>
      <c r="TNK24" s="629"/>
      <c r="TNL24" s="629"/>
      <c r="TNM24" s="629"/>
      <c r="TNN24" s="629"/>
      <c r="TNO24" s="629"/>
      <c r="TNP24" s="629"/>
      <c r="TNQ24" s="629"/>
      <c r="TNR24" s="629"/>
      <c r="TNS24" s="629"/>
      <c r="TNT24" s="629"/>
      <c r="TNU24" s="629"/>
      <c r="TNV24" s="629"/>
      <c r="TNW24" s="629"/>
      <c r="TNX24" s="629"/>
      <c r="TNY24" s="629"/>
      <c r="TNZ24" s="629"/>
      <c r="TOA24" s="629"/>
      <c r="TOB24" s="629"/>
      <c r="TOC24" s="629"/>
      <c r="TOD24" s="629"/>
      <c r="TOE24" s="629"/>
      <c r="TOF24" s="629"/>
      <c r="TOG24" s="629"/>
      <c r="TOH24" s="629"/>
      <c r="TOI24" s="629"/>
      <c r="TOJ24" s="629"/>
      <c r="TOK24" s="629"/>
      <c r="TOL24" s="629"/>
      <c r="TOM24" s="629"/>
      <c r="TON24" s="629"/>
      <c r="TOO24" s="629"/>
      <c r="TOP24" s="629"/>
      <c r="TOQ24" s="629"/>
      <c r="TOR24" s="629"/>
      <c r="TOS24" s="629"/>
      <c r="TOT24" s="629"/>
      <c r="TOU24" s="629"/>
      <c r="TOV24" s="629"/>
      <c r="TOW24" s="629"/>
      <c r="TOX24" s="629"/>
      <c r="TOY24" s="629"/>
      <c r="TOZ24" s="629"/>
      <c r="TPA24" s="629"/>
      <c r="TPB24" s="629"/>
      <c r="TPC24" s="629"/>
      <c r="TPD24" s="629"/>
      <c r="TPE24" s="629"/>
      <c r="TPF24" s="629"/>
      <c r="TPG24" s="629"/>
      <c r="TPH24" s="629"/>
      <c r="TPI24" s="629"/>
      <c r="TPJ24" s="629"/>
      <c r="TPK24" s="629"/>
      <c r="TPL24" s="629"/>
      <c r="TPM24" s="629"/>
      <c r="TPN24" s="629"/>
      <c r="TPO24" s="629"/>
      <c r="TPP24" s="629"/>
      <c r="TPQ24" s="629"/>
      <c r="TPR24" s="629"/>
      <c r="TPS24" s="629"/>
      <c r="TPT24" s="629"/>
      <c r="TPU24" s="629"/>
      <c r="TPV24" s="629"/>
      <c r="TPW24" s="629"/>
      <c r="TPX24" s="629"/>
      <c r="TPY24" s="629"/>
      <c r="TPZ24" s="629"/>
      <c r="TQA24" s="629"/>
      <c r="TQB24" s="629"/>
      <c r="TQC24" s="629"/>
      <c r="TQD24" s="629"/>
      <c r="TQE24" s="629"/>
      <c r="TQF24" s="629"/>
      <c r="TQG24" s="629"/>
      <c r="TQH24" s="629"/>
      <c r="TQI24" s="629"/>
      <c r="TQJ24" s="629"/>
      <c r="TQK24" s="629"/>
      <c r="TQL24" s="629"/>
      <c r="TQM24" s="629"/>
      <c r="TQN24" s="629"/>
      <c r="TQO24" s="629"/>
      <c r="TQP24" s="629"/>
      <c r="TQQ24" s="629"/>
      <c r="TQR24" s="629"/>
      <c r="TQS24" s="629"/>
      <c r="TQT24" s="629"/>
      <c r="TQU24" s="629"/>
      <c r="TQV24" s="629"/>
      <c r="TQW24" s="629"/>
      <c r="TQX24" s="629"/>
      <c r="TQY24" s="629"/>
      <c r="TQZ24" s="629"/>
      <c r="TRA24" s="629"/>
      <c r="TRB24" s="629"/>
      <c r="TRC24" s="629"/>
      <c r="TRD24" s="629"/>
      <c r="TRE24" s="629"/>
      <c r="TRF24" s="629"/>
      <c r="TRG24" s="629"/>
      <c r="TRH24" s="629"/>
      <c r="TRI24" s="629"/>
      <c r="TRJ24" s="629"/>
      <c r="TRK24" s="629"/>
      <c r="TRL24" s="629"/>
      <c r="TRM24" s="629"/>
      <c r="TRN24" s="629"/>
      <c r="TRO24" s="629"/>
      <c r="TRP24" s="629"/>
      <c r="TRQ24" s="629"/>
      <c r="TRR24" s="629"/>
      <c r="TRS24" s="629"/>
      <c r="TRT24" s="629"/>
      <c r="TRU24" s="629"/>
      <c r="TRV24" s="629"/>
      <c r="TRW24" s="629"/>
      <c r="TRX24" s="629"/>
      <c r="TRY24" s="629"/>
      <c r="TRZ24" s="629"/>
      <c r="TSA24" s="629"/>
      <c r="TSB24" s="629"/>
      <c r="TSC24" s="629"/>
      <c r="TSD24" s="629"/>
      <c r="TSE24" s="629"/>
      <c r="TSF24" s="629"/>
      <c r="TSG24" s="629"/>
      <c r="TSH24" s="629"/>
      <c r="TSI24" s="629"/>
      <c r="TSJ24" s="629"/>
      <c r="TSK24" s="629"/>
      <c r="TSL24" s="629"/>
      <c r="TSM24" s="629"/>
      <c r="TSN24" s="629"/>
      <c r="TSO24" s="629"/>
      <c r="TSP24" s="629"/>
      <c r="TSQ24" s="629"/>
      <c r="TSR24" s="629"/>
      <c r="TSS24" s="629"/>
      <c r="TST24" s="629"/>
      <c r="TSU24" s="629"/>
      <c r="TSV24" s="629"/>
      <c r="TSW24" s="629"/>
      <c r="TSX24" s="629"/>
      <c r="TSY24" s="629"/>
      <c r="TSZ24" s="629"/>
      <c r="TTA24" s="629"/>
      <c r="TTB24" s="629"/>
      <c r="TTC24" s="629"/>
      <c r="TTD24" s="629"/>
      <c r="TTE24" s="629"/>
      <c r="TTF24" s="629"/>
      <c r="TTG24" s="629"/>
      <c r="TTH24" s="629"/>
      <c r="TTI24" s="629"/>
      <c r="TTJ24" s="629"/>
      <c r="TTK24" s="629"/>
      <c r="TTL24" s="629"/>
      <c r="TTM24" s="629"/>
      <c r="TTN24" s="629"/>
      <c r="TTO24" s="629"/>
      <c r="TTP24" s="629"/>
      <c r="TTQ24" s="629"/>
      <c r="TTR24" s="629"/>
      <c r="TTS24" s="629"/>
      <c r="TTT24" s="629"/>
      <c r="TTU24" s="629"/>
      <c r="TTV24" s="629"/>
      <c r="TTW24" s="629"/>
      <c r="TTX24" s="629"/>
      <c r="TTY24" s="629"/>
      <c r="TTZ24" s="629"/>
      <c r="TUA24" s="629"/>
      <c r="TUB24" s="629"/>
      <c r="TUC24" s="629"/>
      <c r="TUD24" s="629"/>
      <c r="TUE24" s="629"/>
      <c r="TUF24" s="629"/>
      <c r="TUG24" s="629"/>
      <c r="TUH24" s="629"/>
      <c r="TUI24" s="629"/>
      <c r="TUJ24" s="629"/>
      <c r="TUK24" s="629"/>
      <c r="TUL24" s="629"/>
      <c r="TUM24" s="629"/>
      <c r="TUN24" s="629"/>
      <c r="TUO24" s="629"/>
      <c r="TUP24" s="629"/>
      <c r="TUQ24" s="629"/>
      <c r="TUR24" s="629"/>
      <c r="TUS24" s="629"/>
      <c r="TUT24" s="629"/>
      <c r="TUU24" s="629"/>
      <c r="TUV24" s="629"/>
      <c r="TUW24" s="629"/>
      <c r="TUX24" s="629"/>
      <c r="TUY24" s="629"/>
      <c r="TUZ24" s="629"/>
      <c r="TVA24" s="629"/>
      <c r="TVB24" s="629"/>
      <c r="TVC24" s="629"/>
      <c r="TVD24" s="629"/>
      <c r="TVE24" s="629"/>
      <c r="TVF24" s="629"/>
      <c r="TVG24" s="629"/>
      <c r="TVH24" s="629"/>
      <c r="TVI24" s="629"/>
      <c r="TVJ24" s="629"/>
      <c r="TVK24" s="629"/>
      <c r="TVL24" s="629"/>
      <c r="TVM24" s="629"/>
      <c r="TVN24" s="629"/>
      <c r="TVO24" s="629"/>
      <c r="TVP24" s="629"/>
      <c r="TVQ24" s="629"/>
      <c r="TVR24" s="629"/>
      <c r="TVS24" s="629"/>
      <c r="TVT24" s="629"/>
      <c r="TVU24" s="629"/>
      <c r="TVV24" s="629"/>
      <c r="TVW24" s="629"/>
      <c r="TVX24" s="629"/>
      <c r="TVY24" s="629"/>
      <c r="TVZ24" s="629"/>
      <c r="TWA24" s="629"/>
      <c r="TWB24" s="629"/>
      <c r="TWC24" s="629"/>
      <c r="TWD24" s="629"/>
      <c r="TWE24" s="629"/>
      <c r="TWF24" s="629"/>
      <c r="TWG24" s="629"/>
      <c r="TWH24" s="629"/>
      <c r="TWI24" s="629"/>
      <c r="TWJ24" s="629"/>
      <c r="TWK24" s="629"/>
      <c r="TWL24" s="629"/>
      <c r="TWM24" s="629"/>
      <c r="TWN24" s="629"/>
      <c r="TWO24" s="629"/>
      <c r="TWP24" s="629"/>
      <c r="TWQ24" s="629"/>
      <c r="TWR24" s="629"/>
      <c r="TWS24" s="629"/>
      <c r="TWT24" s="629"/>
      <c r="TWU24" s="629"/>
      <c r="TWV24" s="629"/>
      <c r="TWW24" s="629"/>
      <c r="TWX24" s="629"/>
      <c r="TWY24" s="629"/>
      <c r="TWZ24" s="629"/>
      <c r="TXA24" s="629"/>
      <c r="TXB24" s="629"/>
      <c r="TXC24" s="629"/>
      <c r="TXD24" s="629"/>
      <c r="TXE24" s="629"/>
      <c r="TXF24" s="629"/>
      <c r="TXG24" s="629"/>
      <c r="TXH24" s="629"/>
      <c r="TXI24" s="629"/>
      <c r="TXJ24" s="629"/>
      <c r="TXK24" s="629"/>
      <c r="TXL24" s="629"/>
      <c r="TXM24" s="629"/>
      <c r="TXN24" s="629"/>
      <c r="TXO24" s="629"/>
      <c r="TXP24" s="629"/>
      <c r="TXQ24" s="629"/>
      <c r="TXR24" s="629"/>
      <c r="TXS24" s="629"/>
      <c r="TXT24" s="629"/>
      <c r="TXU24" s="629"/>
      <c r="TXV24" s="629"/>
      <c r="TXW24" s="629"/>
      <c r="TXX24" s="629"/>
      <c r="TXY24" s="629"/>
      <c r="TXZ24" s="629"/>
      <c r="TYA24" s="629"/>
      <c r="TYB24" s="629"/>
      <c r="TYC24" s="629"/>
      <c r="TYD24" s="629"/>
      <c r="TYE24" s="629"/>
      <c r="TYF24" s="629"/>
      <c r="TYG24" s="629"/>
      <c r="TYH24" s="629"/>
      <c r="TYI24" s="629"/>
      <c r="TYJ24" s="629"/>
      <c r="TYK24" s="629"/>
      <c r="TYL24" s="629"/>
      <c r="TYM24" s="629"/>
      <c r="TYN24" s="629"/>
      <c r="TYO24" s="629"/>
      <c r="TYP24" s="629"/>
      <c r="TYQ24" s="629"/>
      <c r="TYR24" s="629"/>
      <c r="TYS24" s="629"/>
      <c r="TYT24" s="629"/>
      <c r="TYU24" s="629"/>
      <c r="TYV24" s="629"/>
      <c r="TYW24" s="629"/>
      <c r="TYX24" s="629"/>
      <c r="TYY24" s="629"/>
      <c r="TYZ24" s="629"/>
      <c r="TZA24" s="629"/>
      <c r="TZB24" s="629"/>
      <c r="TZC24" s="629"/>
      <c r="TZD24" s="629"/>
      <c r="TZE24" s="629"/>
      <c r="TZF24" s="629"/>
      <c r="TZG24" s="629"/>
      <c r="TZH24" s="629"/>
      <c r="TZI24" s="629"/>
      <c r="TZJ24" s="629"/>
      <c r="TZK24" s="629"/>
      <c r="TZL24" s="629"/>
      <c r="TZM24" s="629"/>
      <c r="TZN24" s="629"/>
      <c r="TZO24" s="629"/>
      <c r="TZP24" s="629"/>
      <c r="TZQ24" s="629"/>
      <c r="TZR24" s="629"/>
      <c r="TZS24" s="629"/>
      <c r="TZT24" s="629"/>
      <c r="TZU24" s="629"/>
      <c r="TZV24" s="629"/>
      <c r="TZW24" s="629"/>
      <c r="TZX24" s="629"/>
      <c r="TZY24" s="629"/>
      <c r="TZZ24" s="629"/>
      <c r="UAA24" s="629"/>
      <c r="UAB24" s="629"/>
      <c r="UAC24" s="629"/>
      <c r="UAD24" s="629"/>
      <c r="UAE24" s="629"/>
      <c r="UAF24" s="629"/>
      <c r="UAG24" s="629"/>
      <c r="UAH24" s="629"/>
      <c r="UAI24" s="629"/>
      <c r="UAJ24" s="629"/>
      <c r="UAK24" s="629"/>
      <c r="UAL24" s="629"/>
      <c r="UAM24" s="629"/>
      <c r="UAN24" s="629"/>
      <c r="UAO24" s="629"/>
      <c r="UAP24" s="629"/>
      <c r="UAQ24" s="629"/>
      <c r="UAR24" s="629"/>
      <c r="UAS24" s="629"/>
      <c r="UAT24" s="629"/>
      <c r="UAU24" s="629"/>
      <c r="UAV24" s="629"/>
      <c r="UAW24" s="629"/>
      <c r="UAX24" s="629"/>
      <c r="UAY24" s="629"/>
      <c r="UAZ24" s="629"/>
      <c r="UBA24" s="629"/>
      <c r="UBB24" s="629"/>
      <c r="UBC24" s="629"/>
      <c r="UBD24" s="629"/>
      <c r="UBE24" s="629"/>
      <c r="UBF24" s="629"/>
      <c r="UBG24" s="629"/>
      <c r="UBH24" s="629"/>
      <c r="UBI24" s="629"/>
      <c r="UBJ24" s="629"/>
      <c r="UBK24" s="629"/>
      <c r="UBL24" s="629"/>
      <c r="UBM24" s="629"/>
      <c r="UBN24" s="629"/>
      <c r="UBO24" s="629"/>
      <c r="UBP24" s="629"/>
      <c r="UBQ24" s="629"/>
      <c r="UBR24" s="629"/>
      <c r="UBS24" s="629"/>
      <c r="UBT24" s="629"/>
      <c r="UBU24" s="629"/>
      <c r="UBV24" s="629"/>
      <c r="UBW24" s="629"/>
      <c r="UBX24" s="629"/>
      <c r="UBY24" s="629"/>
      <c r="UBZ24" s="629"/>
      <c r="UCA24" s="629"/>
      <c r="UCB24" s="629"/>
      <c r="UCC24" s="629"/>
      <c r="UCD24" s="629"/>
      <c r="UCE24" s="629"/>
      <c r="UCF24" s="629"/>
      <c r="UCG24" s="629"/>
      <c r="UCH24" s="629"/>
      <c r="UCI24" s="629"/>
      <c r="UCJ24" s="629"/>
      <c r="UCK24" s="629"/>
      <c r="UCL24" s="629"/>
      <c r="UCM24" s="629"/>
      <c r="UCN24" s="629"/>
      <c r="UCO24" s="629"/>
      <c r="UCP24" s="629"/>
      <c r="UCQ24" s="629"/>
      <c r="UCR24" s="629"/>
      <c r="UCS24" s="629"/>
      <c r="UCT24" s="629"/>
      <c r="UCU24" s="629"/>
      <c r="UCV24" s="629"/>
      <c r="UCW24" s="629"/>
      <c r="UCX24" s="629"/>
      <c r="UCY24" s="629"/>
      <c r="UCZ24" s="629"/>
      <c r="UDA24" s="629"/>
      <c r="UDB24" s="629"/>
      <c r="UDC24" s="629"/>
      <c r="UDD24" s="629"/>
      <c r="UDE24" s="629"/>
      <c r="UDF24" s="629"/>
      <c r="UDG24" s="629"/>
      <c r="UDH24" s="629"/>
      <c r="UDI24" s="629"/>
      <c r="UDJ24" s="629"/>
      <c r="UDK24" s="629"/>
      <c r="UDL24" s="629"/>
      <c r="UDM24" s="629"/>
      <c r="UDN24" s="629"/>
      <c r="UDO24" s="629"/>
      <c r="UDP24" s="629"/>
      <c r="UDQ24" s="629"/>
      <c r="UDR24" s="629"/>
      <c r="UDS24" s="629"/>
      <c r="UDT24" s="629"/>
      <c r="UDU24" s="629"/>
      <c r="UDV24" s="629"/>
      <c r="UDW24" s="629"/>
      <c r="UDX24" s="629"/>
      <c r="UDY24" s="629"/>
      <c r="UDZ24" s="629"/>
      <c r="UEA24" s="629"/>
      <c r="UEB24" s="629"/>
      <c r="UEC24" s="629"/>
      <c r="UED24" s="629"/>
      <c r="UEE24" s="629"/>
      <c r="UEF24" s="629"/>
      <c r="UEG24" s="629"/>
      <c r="UEH24" s="629"/>
      <c r="UEI24" s="629"/>
      <c r="UEJ24" s="629"/>
      <c r="UEK24" s="629"/>
      <c r="UEL24" s="629"/>
      <c r="UEM24" s="629"/>
      <c r="UEN24" s="629"/>
      <c r="UEO24" s="629"/>
      <c r="UEP24" s="629"/>
      <c r="UEQ24" s="629"/>
      <c r="UER24" s="629"/>
      <c r="UES24" s="629"/>
      <c r="UET24" s="629"/>
      <c r="UEU24" s="629"/>
      <c r="UEV24" s="629"/>
      <c r="UEW24" s="629"/>
      <c r="UEX24" s="629"/>
      <c r="UEY24" s="629"/>
      <c r="UEZ24" s="629"/>
      <c r="UFA24" s="629"/>
      <c r="UFB24" s="629"/>
      <c r="UFC24" s="629"/>
      <c r="UFD24" s="629"/>
      <c r="UFE24" s="629"/>
      <c r="UFF24" s="629"/>
      <c r="UFG24" s="629"/>
      <c r="UFH24" s="629"/>
      <c r="UFI24" s="629"/>
      <c r="UFJ24" s="629"/>
      <c r="UFK24" s="629"/>
      <c r="UFL24" s="629"/>
      <c r="UFM24" s="629"/>
      <c r="UFN24" s="629"/>
      <c r="UFO24" s="629"/>
      <c r="UFP24" s="629"/>
      <c r="UFQ24" s="629"/>
      <c r="UFR24" s="629"/>
      <c r="UFS24" s="629"/>
      <c r="UFT24" s="629"/>
      <c r="UFU24" s="629"/>
      <c r="UFV24" s="629"/>
      <c r="UFW24" s="629"/>
      <c r="UFX24" s="629"/>
      <c r="UFY24" s="629"/>
      <c r="UFZ24" s="629"/>
      <c r="UGA24" s="629"/>
      <c r="UGB24" s="629"/>
      <c r="UGC24" s="629"/>
      <c r="UGD24" s="629"/>
      <c r="UGE24" s="629"/>
      <c r="UGF24" s="629"/>
      <c r="UGG24" s="629"/>
      <c r="UGH24" s="629"/>
      <c r="UGI24" s="629"/>
      <c r="UGJ24" s="629"/>
      <c r="UGK24" s="629"/>
      <c r="UGL24" s="629"/>
      <c r="UGM24" s="629"/>
      <c r="UGN24" s="629"/>
      <c r="UGO24" s="629"/>
      <c r="UGP24" s="629"/>
      <c r="UGQ24" s="629"/>
      <c r="UGR24" s="629"/>
      <c r="UGS24" s="629"/>
      <c r="UGT24" s="629"/>
      <c r="UGU24" s="629"/>
      <c r="UGV24" s="629"/>
      <c r="UGW24" s="629"/>
      <c r="UGX24" s="629"/>
      <c r="UGY24" s="629"/>
      <c r="UGZ24" s="629"/>
      <c r="UHA24" s="629"/>
      <c r="UHB24" s="629"/>
      <c r="UHC24" s="629"/>
      <c r="UHD24" s="629"/>
      <c r="UHE24" s="629"/>
      <c r="UHF24" s="629"/>
      <c r="UHG24" s="629"/>
      <c r="UHH24" s="629"/>
      <c r="UHI24" s="629"/>
      <c r="UHJ24" s="629"/>
      <c r="UHK24" s="629"/>
      <c r="UHL24" s="629"/>
      <c r="UHM24" s="629"/>
      <c r="UHN24" s="629"/>
      <c r="UHO24" s="629"/>
      <c r="UHP24" s="629"/>
      <c r="UHQ24" s="629"/>
      <c r="UHR24" s="629"/>
      <c r="UHS24" s="629"/>
      <c r="UHT24" s="629"/>
      <c r="UHU24" s="629"/>
      <c r="UHV24" s="629"/>
      <c r="UHW24" s="629"/>
      <c r="UHX24" s="629"/>
      <c r="UHY24" s="629"/>
      <c r="UHZ24" s="629"/>
      <c r="UIA24" s="629"/>
      <c r="UIB24" s="629"/>
      <c r="UIC24" s="629"/>
      <c r="UID24" s="629"/>
      <c r="UIE24" s="629"/>
      <c r="UIF24" s="629"/>
      <c r="UIG24" s="629"/>
      <c r="UIH24" s="629"/>
      <c r="UII24" s="629"/>
      <c r="UIJ24" s="629"/>
      <c r="UIK24" s="629"/>
      <c r="UIL24" s="629"/>
      <c r="UIM24" s="629"/>
      <c r="UIN24" s="629"/>
      <c r="UIO24" s="629"/>
      <c r="UIP24" s="629"/>
      <c r="UIQ24" s="629"/>
      <c r="UIR24" s="629"/>
      <c r="UIS24" s="629"/>
      <c r="UIT24" s="629"/>
      <c r="UIU24" s="629"/>
      <c r="UIV24" s="629"/>
      <c r="UIW24" s="629"/>
      <c r="UIX24" s="629"/>
      <c r="UIY24" s="629"/>
      <c r="UIZ24" s="629"/>
      <c r="UJA24" s="629"/>
      <c r="UJB24" s="629"/>
      <c r="UJC24" s="629"/>
      <c r="UJD24" s="629"/>
      <c r="UJE24" s="629"/>
      <c r="UJF24" s="629"/>
      <c r="UJG24" s="629"/>
      <c r="UJH24" s="629"/>
      <c r="UJI24" s="629"/>
      <c r="UJJ24" s="629"/>
      <c r="UJK24" s="629"/>
      <c r="UJL24" s="629"/>
      <c r="UJM24" s="629"/>
      <c r="UJN24" s="629"/>
      <c r="UJO24" s="629"/>
      <c r="UJP24" s="629"/>
      <c r="UJQ24" s="629"/>
      <c r="UJR24" s="629"/>
      <c r="UJS24" s="629"/>
      <c r="UJT24" s="629"/>
      <c r="UJU24" s="629"/>
      <c r="UJV24" s="629"/>
      <c r="UJW24" s="629"/>
      <c r="UJX24" s="629"/>
      <c r="UJY24" s="629"/>
      <c r="UJZ24" s="629"/>
      <c r="UKA24" s="629"/>
      <c r="UKB24" s="629"/>
      <c r="UKC24" s="629"/>
      <c r="UKD24" s="629"/>
      <c r="UKE24" s="629"/>
      <c r="UKF24" s="629"/>
      <c r="UKG24" s="629"/>
      <c r="UKH24" s="629"/>
      <c r="UKI24" s="629"/>
      <c r="UKJ24" s="629"/>
      <c r="UKK24" s="629"/>
      <c r="UKL24" s="629"/>
      <c r="UKM24" s="629"/>
      <c r="UKN24" s="629"/>
      <c r="UKO24" s="629"/>
      <c r="UKP24" s="629"/>
      <c r="UKQ24" s="629"/>
      <c r="UKR24" s="629"/>
      <c r="UKS24" s="629"/>
      <c r="UKT24" s="629"/>
      <c r="UKU24" s="629"/>
      <c r="UKV24" s="629"/>
      <c r="UKW24" s="629"/>
      <c r="UKX24" s="629"/>
      <c r="UKY24" s="629"/>
      <c r="UKZ24" s="629"/>
      <c r="ULA24" s="629"/>
      <c r="ULB24" s="629"/>
      <c r="ULC24" s="629"/>
      <c r="ULD24" s="629"/>
      <c r="ULE24" s="629"/>
      <c r="ULF24" s="629"/>
      <c r="ULG24" s="629"/>
      <c r="ULH24" s="629"/>
      <c r="ULI24" s="629"/>
      <c r="ULJ24" s="629"/>
      <c r="ULK24" s="629"/>
      <c r="ULL24" s="629"/>
      <c r="ULM24" s="629"/>
      <c r="ULN24" s="629"/>
      <c r="ULO24" s="629"/>
      <c r="ULP24" s="629"/>
      <c r="ULQ24" s="629"/>
      <c r="ULR24" s="629"/>
      <c r="ULS24" s="629"/>
      <c r="ULT24" s="629"/>
      <c r="ULU24" s="629"/>
      <c r="ULV24" s="629"/>
      <c r="ULW24" s="629"/>
      <c r="ULX24" s="629"/>
      <c r="ULY24" s="629"/>
      <c r="ULZ24" s="629"/>
      <c r="UMA24" s="629"/>
      <c r="UMB24" s="629"/>
      <c r="UMC24" s="629"/>
      <c r="UMD24" s="629"/>
      <c r="UME24" s="629"/>
      <c r="UMF24" s="629"/>
      <c r="UMG24" s="629"/>
      <c r="UMH24" s="629"/>
      <c r="UMI24" s="629"/>
      <c r="UMJ24" s="629"/>
      <c r="UMK24" s="629"/>
      <c r="UML24" s="629"/>
      <c r="UMM24" s="629"/>
      <c r="UMN24" s="629"/>
      <c r="UMO24" s="629"/>
      <c r="UMP24" s="629"/>
      <c r="UMQ24" s="629"/>
      <c r="UMR24" s="629"/>
      <c r="UMS24" s="629"/>
      <c r="UMT24" s="629"/>
      <c r="UMU24" s="629"/>
      <c r="UMV24" s="629"/>
      <c r="UMW24" s="629"/>
      <c r="UMX24" s="629"/>
      <c r="UMY24" s="629"/>
      <c r="UMZ24" s="629"/>
      <c r="UNA24" s="629"/>
      <c r="UNB24" s="629"/>
      <c r="UNC24" s="629"/>
      <c r="UND24" s="629"/>
      <c r="UNE24" s="629"/>
      <c r="UNF24" s="629"/>
      <c r="UNG24" s="629"/>
      <c r="UNH24" s="629"/>
      <c r="UNI24" s="629"/>
      <c r="UNJ24" s="629"/>
      <c r="UNK24" s="629"/>
      <c r="UNL24" s="629"/>
      <c r="UNM24" s="629"/>
      <c r="UNN24" s="629"/>
      <c r="UNO24" s="629"/>
      <c r="UNP24" s="629"/>
      <c r="UNQ24" s="629"/>
      <c r="UNR24" s="629"/>
      <c r="UNS24" s="629"/>
      <c r="UNT24" s="629"/>
      <c r="UNU24" s="629"/>
      <c r="UNV24" s="629"/>
      <c r="UNW24" s="629"/>
      <c r="UNX24" s="629"/>
      <c r="UNY24" s="629"/>
      <c r="UNZ24" s="629"/>
      <c r="UOA24" s="629"/>
      <c r="UOB24" s="629"/>
      <c r="UOC24" s="629"/>
      <c r="UOD24" s="629"/>
      <c r="UOE24" s="629"/>
      <c r="UOF24" s="629"/>
      <c r="UOG24" s="629"/>
      <c r="UOH24" s="629"/>
      <c r="UOI24" s="629"/>
      <c r="UOJ24" s="629"/>
      <c r="UOK24" s="629"/>
      <c r="UOL24" s="629"/>
      <c r="UOM24" s="629"/>
      <c r="UON24" s="629"/>
      <c r="UOO24" s="629"/>
      <c r="UOP24" s="629"/>
      <c r="UOQ24" s="629"/>
      <c r="UOR24" s="629"/>
      <c r="UOS24" s="629"/>
      <c r="UOT24" s="629"/>
      <c r="UOU24" s="629"/>
      <c r="UOV24" s="629"/>
      <c r="UOW24" s="629"/>
      <c r="UOX24" s="629"/>
      <c r="UOY24" s="629"/>
      <c r="UOZ24" s="629"/>
      <c r="UPA24" s="629"/>
      <c r="UPB24" s="629"/>
      <c r="UPC24" s="629"/>
      <c r="UPD24" s="629"/>
      <c r="UPE24" s="629"/>
      <c r="UPF24" s="629"/>
      <c r="UPG24" s="629"/>
      <c r="UPH24" s="629"/>
      <c r="UPI24" s="629"/>
      <c r="UPJ24" s="629"/>
      <c r="UPK24" s="629"/>
      <c r="UPL24" s="629"/>
      <c r="UPM24" s="629"/>
      <c r="UPN24" s="629"/>
      <c r="UPO24" s="629"/>
      <c r="UPP24" s="629"/>
      <c r="UPQ24" s="629"/>
      <c r="UPR24" s="629"/>
      <c r="UPS24" s="629"/>
      <c r="UPT24" s="629"/>
      <c r="UPU24" s="629"/>
      <c r="UPV24" s="629"/>
      <c r="UPW24" s="629"/>
      <c r="UPX24" s="629"/>
      <c r="UPY24" s="629"/>
      <c r="UPZ24" s="629"/>
      <c r="UQA24" s="629"/>
      <c r="UQB24" s="629"/>
      <c r="UQC24" s="629"/>
      <c r="UQD24" s="629"/>
      <c r="UQE24" s="629"/>
      <c r="UQF24" s="629"/>
      <c r="UQG24" s="629"/>
      <c r="UQH24" s="629"/>
      <c r="UQI24" s="629"/>
      <c r="UQJ24" s="629"/>
      <c r="UQK24" s="629"/>
      <c r="UQL24" s="629"/>
      <c r="UQM24" s="629"/>
      <c r="UQN24" s="629"/>
      <c r="UQO24" s="629"/>
      <c r="UQP24" s="629"/>
      <c r="UQQ24" s="629"/>
      <c r="UQR24" s="629"/>
      <c r="UQS24" s="629"/>
      <c r="UQT24" s="629"/>
      <c r="UQU24" s="629"/>
      <c r="UQV24" s="629"/>
      <c r="UQW24" s="629"/>
      <c r="UQX24" s="629"/>
      <c r="UQY24" s="629"/>
      <c r="UQZ24" s="629"/>
      <c r="URA24" s="629"/>
      <c r="URB24" s="629"/>
      <c r="URC24" s="629"/>
      <c r="URD24" s="629"/>
      <c r="URE24" s="629"/>
      <c r="URF24" s="629"/>
      <c r="URG24" s="629"/>
      <c r="URH24" s="629"/>
      <c r="URI24" s="629"/>
      <c r="URJ24" s="629"/>
      <c r="URK24" s="629"/>
      <c r="URL24" s="629"/>
      <c r="URM24" s="629"/>
      <c r="URN24" s="629"/>
      <c r="URO24" s="629"/>
      <c r="URP24" s="629"/>
      <c r="URQ24" s="629"/>
      <c r="URR24" s="629"/>
      <c r="URS24" s="629"/>
      <c r="URT24" s="629"/>
      <c r="URU24" s="629"/>
      <c r="URV24" s="629"/>
      <c r="URW24" s="629"/>
      <c r="URX24" s="629"/>
      <c r="URY24" s="629"/>
      <c r="URZ24" s="629"/>
      <c r="USA24" s="629"/>
      <c r="USB24" s="629"/>
      <c r="USC24" s="629"/>
      <c r="USD24" s="629"/>
      <c r="USE24" s="629"/>
      <c r="USF24" s="629"/>
      <c r="USG24" s="629"/>
      <c r="USH24" s="629"/>
      <c r="USI24" s="629"/>
      <c r="USJ24" s="629"/>
      <c r="USK24" s="629"/>
      <c r="USL24" s="629"/>
      <c r="USM24" s="629"/>
      <c r="USN24" s="629"/>
      <c r="USO24" s="629"/>
      <c r="USP24" s="629"/>
      <c r="USQ24" s="629"/>
      <c r="USR24" s="629"/>
      <c r="USS24" s="629"/>
      <c r="UST24" s="629"/>
      <c r="USU24" s="629"/>
      <c r="USV24" s="629"/>
      <c r="USW24" s="629"/>
      <c r="USX24" s="629"/>
      <c r="USY24" s="629"/>
      <c r="USZ24" s="629"/>
      <c r="UTA24" s="629"/>
      <c r="UTB24" s="629"/>
      <c r="UTC24" s="629"/>
      <c r="UTD24" s="629"/>
      <c r="UTE24" s="629"/>
      <c r="UTF24" s="629"/>
      <c r="UTG24" s="629"/>
      <c r="UTH24" s="629"/>
      <c r="UTI24" s="629"/>
      <c r="UTJ24" s="629"/>
      <c r="UTK24" s="629"/>
      <c r="UTL24" s="629"/>
      <c r="UTM24" s="629"/>
      <c r="UTN24" s="629"/>
      <c r="UTO24" s="629"/>
      <c r="UTP24" s="629"/>
      <c r="UTQ24" s="629"/>
      <c r="UTR24" s="629"/>
      <c r="UTS24" s="629"/>
      <c r="UTT24" s="629"/>
      <c r="UTU24" s="629"/>
      <c r="UTV24" s="629"/>
      <c r="UTW24" s="629"/>
      <c r="UTX24" s="629"/>
      <c r="UTY24" s="629"/>
      <c r="UTZ24" s="629"/>
      <c r="UUA24" s="629"/>
      <c r="UUB24" s="629"/>
      <c r="UUC24" s="629"/>
      <c r="UUD24" s="629"/>
      <c r="UUE24" s="629"/>
      <c r="UUF24" s="629"/>
      <c r="UUG24" s="629"/>
      <c r="UUH24" s="629"/>
      <c r="UUI24" s="629"/>
      <c r="UUJ24" s="629"/>
      <c r="UUK24" s="629"/>
      <c r="UUL24" s="629"/>
      <c r="UUM24" s="629"/>
      <c r="UUN24" s="629"/>
      <c r="UUO24" s="629"/>
      <c r="UUP24" s="629"/>
      <c r="UUQ24" s="629"/>
      <c r="UUR24" s="629"/>
      <c r="UUS24" s="629"/>
      <c r="UUT24" s="629"/>
      <c r="UUU24" s="629"/>
      <c r="UUV24" s="629"/>
      <c r="UUW24" s="629"/>
      <c r="UUX24" s="629"/>
      <c r="UUY24" s="629"/>
      <c r="UUZ24" s="629"/>
      <c r="UVA24" s="629"/>
      <c r="UVB24" s="629"/>
      <c r="UVC24" s="629"/>
      <c r="UVD24" s="629"/>
      <c r="UVE24" s="629"/>
      <c r="UVF24" s="629"/>
      <c r="UVG24" s="629"/>
      <c r="UVH24" s="629"/>
      <c r="UVI24" s="629"/>
      <c r="UVJ24" s="629"/>
      <c r="UVK24" s="629"/>
      <c r="UVL24" s="629"/>
      <c r="UVM24" s="629"/>
      <c r="UVN24" s="629"/>
      <c r="UVO24" s="629"/>
      <c r="UVP24" s="629"/>
      <c r="UVQ24" s="629"/>
      <c r="UVR24" s="629"/>
      <c r="UVS24" s="629"/>
      <c r="UVT24" s="629"/>
      <c r="UVU24" s="629"/>
      <c r="UVV24" s="629"/>
      <c r="UVW24" s="629"/>
      <c r="UVX24" s="629"/>
      <c r="UVY24" s="629"/>
      <c r="UVZ24" s="629"/>
      <c r="UWA24" s="629"/>
      <c r="UWB24" s="629"/>
      <c r="UWC24" s="629"/>
      <c r="UWD24" s="629"/>
      <c r="UWE24" s="629"/>
      <c r="UWF24" s="629"/>
      <c r="UWG24" s="629"/>
      <c r="UWH24" s="629"/>
      <c r="UWI24" s="629"/>
      <c r="UWJ24" s="629"/>
      <c r="UWK24" s="629"/>
      <c r="UWL24" s="629"/>
      <c r="UWM24" s="629"/>
      <c r="UWN24" s="629"/>
      <c r="UWO24" s="629"/>
      <c r="UWP24" s="629"/>
      <c r="UWQ24" s="629"/>
      <c r="UWR24" s="629"/>
      <c r="UWS24" s="629"/>
      <c r="UWT24" s="629"/>
      <c r="UWU24" s="629"/>
      <c r="UWV24" s="629"/>
      <c r="UWW24" s="629"/>
      <c r="UWX24" s="629"/>
      <c r="UWY24" s="629"/>
      <c r="UWZ24" s="629"/>
      <c r="UXA24" s="629"/>
      <c r="UXB24" s="629"/>
      <c r="UXC24" s="629"/>
      <c r="UXD24" s="629"/>
      <c r="UXE24" s="629"/>
      <c r="UXF24" s="629"/>
      <c r="UXG24" s="629"/>
      <c r="UXH24" s="629"/>
      <c r="UXI24" s="629"/>
      <c r="UXJ24" s="629"/>
      <c r="UXK24" s="629"/>
      <c r="UXL24" s="629"/>
      <c r="UXM24" s="629"/>
      <c r="UXN24" s="629"/>
      <c r="UXO24" s="629"/>
      <c r="UXP24" s="629"/>
      <c r="UXQ24" s="629"/>
      <c r="UXR24" s="629"/>
      <c r="UXS24" s="629"/>
      <c r="UXT24" s="629"/>
      <c r="UXU24" s="629"/>
      <c r="UXV24" s="629"/>
      <c r="UXW24" s="629"/>
      <c r="UXX24" s="629"/>
      <c r="UXY24" s="629"/>
      <c r="UXZ24" s="629"/>
      <c r="UYA24" s="629"/>
      <c r="UYB24" s="629"/>
      <c r="UYC24" s="629"/>
      <c r="UYD24" s="629"/>
      <c r="UYE24" s="629"/>
      <c r="UYF24" s="629"/>
      <c r="UYG24" s="629"/>
      <c r="UYH24" s="629"/>
      <c r="UYI24" s="629"/>
      <c r="UYJ24" s="629"/>
      <c r="UYK24" s="629"/>
      <c r="UYL24" s="629"/>
      <c r="UYM24" s="629"/>
      <c r="UYN24" s="629"/>
      <c r="UYO24" s="629"/>
      <c r="UYP24" s="629"/>
      <c r="UYQ24" s="629"/>
      <c r="UYR24" s="629"/>
      <c r="UYS24" s="629"/>
      <c r="UYT24" s="629"/>
      <c r="UYU24" s="629"/>
      <c r="UYV24" s="629"/>
      <c r="UYW24" s="629"/>
      <c r="UYX24" s="629"/>
      <c r="UYY24" s="629"/>
      <c r="UYZ24" s="629"/>
      <c r="UZA24" s="629"/>
      <c r="UZB24" s="629"/>
      <c r="UZC24" s="629"/>
      <c r="UZD24" s="629"/>
      <c r="UZE24" s="629"/>
      <c r="UZF24" s="629"/>
      <c r="UZG24" s="629"/>
      <c r="UZH24" s="629"/>
      <c r="UZI24" s="629"/>
      <c r="UZJ24" s="629"/>
      <c r="UZK24" s="629"/>
      <c r="UZL24" s="629"/>
      <c r="UZM24" s="629"/>
      <c r="UZN24" s="629"/>
      <c r="UZO24" s="629"/>
      <c r="UZP24" s="629"/>
      <c r="UZQ24" s="629"/>
      <c r="UZR24" s="629"/>
      <c r="UZS24" s="629"/>
      <c r="UZT24" s="629"/>
      <c r="UZU24" s="629"/>
      <c r="UZV24" s="629"/>
      <c r="UZW24" s="629"/>
      <c r="UZX24" s="629"/>
      <c r="UZY24" s="629"/>
      <c r="UZZ24" s="629"/>
      <c r="VAA24" s="629"/>
      <c r="VAB24" s="629"/>
      <c r="VAC24" s="629"/>
      <c r="VAD24" s="629"/>
      <c r="VAE24" s="629"/>
      <c r="VAF24" s="629"/>
      <c r="VAG24" s="629"/>
      <c r="VAH24" s="629"/>
      <c r="VAI24" s="629"/>
      <c r="VAJ24" s="629"/>
      <c r="VAK24" s="629"/>
      <c r="VAL24" s="629"/>
      <c r="VAM24" s="629"/>
      <c r="VAN24" s="629"/>
      <c r="VAO24" s="629"/>
      <c r="VAP24" s="629"/>
      <c r="VAQ24" s="629"/>
      <c r="VAR24" s="629"/>
      <c r="VAS24" s="629"/>
      <c r="VAT24" s="629"/>
      <c r="VAU24" s="629"/>
      <c r="VAV24" s="629"/>
      <c r="VAW24" s="629"/>
      <c r="VAX24" s="629"/>
      <c r="VAY24" s="629"/>
      <c r="VAZ24" s="629"/>
      <c r="VBA24" s="629"/>
      <c r="VBB24" s="629"/>
      <c r="VBC24" s="629"/>
      <c r="VBD24" s="629"/>
      <c r="VBE24" s="629"/>
      <c r="VBF24" s="629"/>
      <c r="VBG24" s="629"/>
      <c r="VBH24" s="629"/>
      <c r="VBI24" s="629"/>
      <c r="VBJ24" s="629"/>
      <c r="VBK24" s="629"/>
      <c r="VBL24" s="629"/>
      <c r="VBM24" s="629"/>
      <c r="VBN24" s="629"/>
      <c r="VBO24" s="629"/>
      <c r="VBP24" s="629"/>
      <c r="VBQ24" s="629"/>
      <c r="VBR24" s="629"/>
      <c r="VBS24" s="629"/>
      <c r="VBT24" s="629"/>
      <c r="VBU24" s="629"/>
      <c r="VBV24" s="629"/>
      <c r="VBW24" s="629"/>
      <c r="VBX24" s="629"/>
      <c r="VBY24" s="629"/>
      <c r="VBZ24" s="629"/>
      <c r="VCA24" s="629"/>
      <c r="VCB24" s="629"/>
      <c r="VCC24" s="629"/>
      <c r="VCD24" s="629"/>
      <c r="VCE24" s="629"/>
      <c r="VCF24" s="629"/>
      <c r="VCG24" s="629"/>
      <c r="VCH24" s="629"/>
      <c r="VCI24" s="629"/>
      <c r="VCJ24" s="629"/>
      <c r="VCK24" s="629"/>
      <c r="VCL24" s="629"/>
      <c r="VCM24" s="629"/>
      <c r="VCN24" s="629"/>
      <c r="VCO24" s="629"/>
      <c r="VCP24" s="629"/>
      <c r="VCQ24" s="629"/>
      <c r="VCR24" s="629"/>
      <c r="VCS24" s="629"/>
      <c r="VCT24" s="629"/>
      <c r="VCU24" s="629"/>
      <c r="VCV24" s="629"/>
      <c r="VCW24" s="629"/>
      <c r="VCX24" s="629"/>
      <c r="VCY24" s="629"/>
      <c r="VCZ24" s="629"/>
      <c r="VDA24" s="629"/>
      <c r="VDB24" s="629"/>
      <c r="VDC24" s="629"/>
      <c r="VDD24" s="629"/>
      <c r="VDE24" s="629"/>
      <c r="VDF24" s="629"/>
      <c r="VDG24" s="629"/>
      <c r="VDH24" s="629"/>
      <c r="VDI24" s="629"/>
      <c r="VDJ24" s="629"/>
      <c r="VDK24" s="629"/>
      <c r="VDL24" s="629"/>
      <c r="VDM24" s="629"/>
      <c r="VDN24" s="629"/>
      <c r="VDO24" s="629"/>
      <c r="VDP24" s="629"/>
      <c r="VDQ24" s="629"/>
      <c r="VDR24" s="629"/>
      <c r="VDS24" s="629"/>
      <c r="VDT24" s="629"/>
      <c r="VDU24" s="629"/>
      <c r="VDV24" s="629"/>
      <c r="VDW24" s="629"/>
      <c r="VDX24" s="629"/>
      <c r="VDY24" s="629"/>
      <c r="VDZ24" s="629"/>
      <c r="VEA24" s="629"/>
      <c r="VEB24" s="629"/>
      <c r="VEC24" s="629"/>
      <c r="VED24" s="629"/>
      <c r="VEE24" s="629"/>
      <c r="VEF24" s="629"/>
      <c r="VEG24" s="629"/>
      <c r="VEH24" s="629"/>
      <c r="VEI24" s="629"/>
      <c r="VEJ24" s="629"/>
      <c r="VEK24" s="629"/>
      <c r="VEL24" s="629"/>
      <c r="VEM24" s="629"/>
      <c r="VEN24" s="629"/>
      <c r="VEO24" s="629"/>
      <c r="VEP24" s="629"/>
      <c r="VEQ24" s="629"/>
      <c r="VER24" s="629"/>
      <c r="VES24" s="629"/>
      <c r="VET24" s="629"/>
      <c r="VEU24" s="629"/>
      <c r="VEV24" s="629"/>
      <c r="VEW24" s="629"/>
      <c r="VEX24" s="629"/>
      <c r="VEY24" s="629"/>
      <c r="VEZ24" s="629"/>
      <c r="VFA24" s="629"/>
      <c r="VFB24" s="629"/>
      <c r="VFC24" s="629"/>
      <c r="VFD24" s="629"/>
      <c r="VFE24" s="629"/>
      <c r="VFF24" s="629"/>
      <c r="VFG24" s="629"/>
      <c r="VFH24" s="629"/>
      <c r="VFI24" s="629"/>
      <c r="VFJ24" s="629"/>
      <c r="VFK24" s="629"/>
      <c r="VFL24" s="629"/>
      <c r="VFM24" s="629"/>
      <c r="VFN24" s="629"/>
      <c r="VFO24" s="629"/>
      <c r="VFP24" s="629"/>
      <c r="VFQ24" s="629"/>
      <c r="VFR24" s="629"/>
      <c r="VFS24" s="629"/>
      <c r="VFT24" s="629"/>
      <c r="VFU24" s="629"/>
      <c r="VFV24" s="629"/>
      <c r="VFW24" s="629"/>
      <c r="VFX24" s="629"/>
      <c r="VFY24" s="629"/>
      <c r="VFZ24" s="629"/>
      <c r="VGA24" s="629"/>
      <c r="VGB24" s="629"/>
      <c r="VGC24" s="629"/>
      <c r="VGD24" s="629"/>
      <c r="VGE24" s="629"/>
      <c r="VGF24" s="629"/>
      <c r="VGG24" s="629"/>
      <c r="VGH24" s="629"/>
      <c r="VGI24" s="629"/>
      <c r="VGJ24" s="629"/>
      <c r="VGK24" s="629"/>
      <c r="VGL24" s="629"/>
      <c r="VGM24" s="629"/>
      <c r="VGN24" s="629"/>
      <c r="VGO24" s="629"/>
      <c r="VGP24" s="629"/>
      <c r="VGQ24" s="629"/>
      <c r="VGR24" s="629"/>
      <c r="VGS24" s="629"/>
      <c r="VGT24" s="629"/>
      <c r="VGU24" s="629"/>
      <c r="VGV24" s="629"/>
      <c r="VGW24" s="629"/>
      <c r="VGX24" s="629"/>
      <c r="VGY24" s="629"/>
      <c r="VGZ24" s="629"/>
      <c r="VHA24" s="629"/>
      <c r="VHB24" s="629"/>
      <c r="VHC24" s="629"/>
      <c r="VHD24" s="629"/>
      <c r="VHE24" s="629"/>
      <c r="VHF24" s="629"/>
      <c r="VHG24" s="629"/>
      <c r="VHH24" s="629"/>
      <c r="VHI24" s="629"/>
      <c r="VHJ24" s="629"/>
      <c r="VHK24" s="629"/>
      <c r="VHL24" s="629"/>
      <c r="VHM24" s="629"/>
      <c r="VHN24" s="629"/>
      <c r="VHO24" s="629"/>
      <c r="VHP24" s="629"/>
      <c r="VHQ24" s="629"/>
      <c r="VHR24" s="629"/>
      <c r="VHS24" s="629"/>
      <c r="VHT24" s="629"/>
      <c r="VHU24" s="629"/>
      <c r="VHV24" s="629"/>
      <c r="VHW24" s="629"/>
      <c r="VHX24" s="629"/>
      <c r="VHY24" s="629"/>
      <c r="VHZ24" s="629"/>
      <c r="VIA24" s="629"/>
      <c r="VIB24" s="629"/>
      <c r="VIC24" s="629"/>
      <c r="VID24" s="629"/>
      <c r="VIE24" s="629"/>
      <c r="VIF24" s="629"/>
      <c r="VIG24" s="629"/>
      <c r="VIH24" s="629"/>
      <c r="VII24" s="629"/>
      <c r="VIJ24" s="629"/>
      <c r="VIK24" s="629"/>
      <c r="VIL24" s="629"/>
      <c r="VIM24" s="629"/>
      <c r="VIN24" s="629"/>
      <c r="VIO24" s="629"/>
      <c r="VIP24" s="629"/>
      <c r="VIQ24" s="629"/>
      <c r="VIR24" s="629"/>
      <c r="VIS24" s="629"/>
      <c r="VIT24" s="629"/>
      <c r="VIU24" s="629"/>
      <c r="VIV24" s="629"/>
      <c r="VIW24" s="629"/>
      <c r="VIX24" s="629"/>
      <c r="VIY24" s="629"/>
      <c r="VIZ24" s="629"/>
      <c r="VJA24" s="629"/>
      <c r="VJB24" s="629"/>
      <c r="VJC24" s="629"/>
      <c r="VJD24" s="629"/>
      <c r="VJE24" s="629"/>
      <c r="VJF24" s="629"/>
      <c r="VJG24" s="629"/>
      <c r="VJH24" s="629"/>
      <c r="VJI24" s="629"/>
      <c r="VJJ24" s="629"/>
      <c r="VJK24" s="629"/>
      <c r="VJL24" s="629"/>
      <c r="VJM24" s="629"/>
      <c r="VJN24" s="629"/>
      <c r="VJO24" s="629"/>
      <c r="VJP24" s="629"/>
      <c r="VJQ24" s="629"/>
      <c r="VJR24" s="629"/>
      <c r="VJS24" s="629"/>
      <c r="VJT24" s="629"/>
      <c r="VJU24" s="629"/>
      <c r="VJV24" s="629"/>
      <c r="VJW24" s="629"/>
      <c r="VJX24" s="629"/>
      <c r="VJY24" s="629"/>
      <c r="VJZ24" s="629"/>
      <c r="VKA24" s="629"/>
      <c r="VKB24" s="629"/>
      <c r="VKC24" s="629"/>
      <c r="VKD24" s="629"/>
      <c r="VKE24" s="629"/>
      <c r="VKF24" s="629"/>
      <c r="VKG24" s="629"/>
      <c r="VKH24" s="629"/>
      <c r="VKI24" s="629"/>
      <c r="VKJ24" s="629"/>
      <c r="VKK24" s="629"/>
      <c r="VKL24" s="629"/>
      <c r="VKM24" s="629"/>
      <c r="VKN24" s="629"/>
      <c r="VKO24" s="629"/>
      <c r="VKP24" s="629"/>
      <c r="VKQ24" s="629"/>
      <c r="VKR24" s="629"/>
      <c r="VKS24" s="629"/>
      <c r="VKT24" s="629"/>
      <c r="VKU24" s="629"/>
      <c r="VKV24" s="629"/>
      <c r="VKW24" s="629"/>
      <c r="VKX24" s="629"/>
      <c r="VKY24" s="629"/>
      <c r="VKZ24" s="629"/>
      <c r="VLA24" s="629"/>
      <c r="VLB24" s="629"/>
      <c r="VLC24" s="629"/>
      <c r="VLD24" s="629"/>
      <c r="VLE24" s="629"/>
      <c r="VLF24" s="629"/>
      <c r="VLG24" s="629"/>
      <c r="VLH24" s="629"/>
      <c r="VLI24" s="629"/>
      <c r="VLJ24" s="629"/>
      <c r="VLK24" s="629"/>
      <c r="VLL24" s="629"/>
      <c r="VLM24" s="629"/>
      <c r="VLN24" s="629"/>
      <c r="VLO24" s="629"/>
      <c r="VLP24" s="629"/>
      <c r="VLQ24" s="629"/>
      <c r="VLR24" s="629"/>
      <c r="VLS24" s="629"/>
      <c r="VLT24" s="629"/>
      <c r="VLU24" s="629"/>
      <c r="VLV24" s="629"/>
      <c r="VLW24" s="629"/>
      <c r="VLX24" s="629"/>
      <c r="VLY24" s="629"/>
      <c r="VLZ24" s="629"/>
      <c r="VMA24" s="629"/>
      <c r="VMB24" s="629"/>
      <c r="VMC24" s="629"/>
      <c r="VMD24" s="629"/>
      <c r="VME24" s="629"/>
      <c r="VMF24" s="629"/>
      <c r="VMG24" s="629"/>
      <c r="VMH24" s="629"/>
      <c r="VMI24" s="629"/>
      <c r="VMJ24" s="629"/>
      <c r="VMK24" s="629"/>
      <c r="VML24" s="629"/>
      <c r="VMM24" s="629"/>
      <c r="VMN24" s="629"/>
      <c r="VMO24" s="629"/>
      <c r="VMP24" s="629"/>
      <c r="VMQ24" s="629"/>
      <c r="VMR24" s="629"/>
      <c r="VMS24" s="629"/>
      <c r="VMT24" s="629"/>
      <c r="VMU24" s="629"/>
      <c r="VMV24" s="629"/>
      <c r="VMW24" s="629"/>
      <c r="VMX24" s="629"/>
      <c r="VMY24" s="629"/>
      <c r="VMZ24" s="629"/>
      <c r="VNA24" s="629"/>
      <c r="VNB24" s="629"/>
      <c r="VNC24" s="629"/>
      <c r="VND24" s="629"/>
      <c r="VNE24" s="629"/>
      <c r="VNF24" s="629"/>
      <c r="VNG24" s="629"/>
      <c r="VNH24" s="629"/>
      <c r="VNI24" s="629"/>
      <c r="VNJ24" s="629"/>
      <c r="VNK24" s="629"/>
      <c r="VNL24" s="629"/>
      <c r="VNM24" s="629"/>
      <c r="VNN24" s="629"/>
      <c r="VNO24" s="629"/>
      <c r="VNP24" s="629"/>
      <c r="VNQ24" s="629"/>
      <c r="VNR24" s="629"/>
      <c r="VNS24" s="629"/>
      <c r="VNT24" s="629"/>
      <c r="VNU24" s="629"/>
      <c r="VNV24" s="629"/>
      <c r="VNW24" s="629"/>
      <c r="VNX24" s="629"/>
      <c r="VNY24" s="629"/>
      <c r="VNZ24" s="629"/>
      <c r="VOA24" s="629"/>
      <c r="VOB24" s="629"/>
      <c r="VOC24" s="629"/>
      <c r="VOD24" s="629"/>
      <c r="VOE24" s="629"/>
      <c r="VOF24" s="629"/>
      <c r="VOG24" s="629"/>
      <c r="VOH24" s="629"/>
      <c r="VOI24" s="629"/>
      <c r="VOJ24" s="629"/>
      <c r="VOK24" s="629"/>
      <c r="VOL24" s="629"/>
      <c r="VOM24" s="629"/>
      <c r="VON24" s="629"/>
      <c r="VOO24" s="629"/>
      <c r="VOP24" s="629"/>
      <c r="VOQ24" s="629"/>
      <c r="VOR24" s="629"/>
      <c r="VOS24" s="629"/>
      <c r="VOT24" s="629"/>
      <c r="VOU24" s="629"/>
      <c r="VOV24" s="629"/>
      <c r="VOW24" s="629"/>
      <c r="VOX24" s="629"/>
      <c r="VOY24" s="629"/>
      <c r="VOZ24" s="629"/>
      <c r="VPA24" s="629"/>
      <c r="VPB24" s="629"/>
      <c r="VPC24" s="629"/>
      <c r="VPD24" s="629"/>
      <c r="VPE24" s="629"/>
      <c r="VPF24" s="629"/>
      <c r="VPG24" s="629"/>
      <c r="VPH24" s="629"/>
      <c r="VPI24" s="629"/>
      <c r="VPJ24" s="629"/>
      <c r="VPK24" s="629"/>
      <c r="VPL24" s="629"/>
      <c r="VPM24" s="629"/>
      <c r="VPN24" s="629"/>
      <c r="VPO24" s="629"/>
      <c r="VPP24" s="629"/>
      <c r="VPQ24" s="629"/>
      <c r="VPR24" s="629"/>
      <c r="VPS24" s="629"/>
      <c r="VPT24" s="629"/>
      <c r="VPU24" s="629"/>
      <c r="VPV24" s="629"/>
      <c r="VPW24" s="629"/>
      <c r="VPX24" s="629"/>
      <c r="VPY24" s="629"/>
      <c r="VPZ24" s="629"/>
      <c r="VQA24" s="629"/>
      <c r="VQB24" s="629"/>
      <c r="VQC24" s="629"/>
      <c r="VQD24" s="629"/>
      <c r="VQE24" s="629"/>
      <c r="VQF24" s="629"/>
      <c r="VQG24" s="629"/>
      <c r="VQH24" s="629"/>
      <c r="VQI24" s="629"/>
      <c r="VQJ24" s="629"/>
      <c r="VQK24" s="629"/>
      <c r="VQL24" s="629"/>
      <c r="VQM24" s="629"/>
      <c r="VQN24" s="629"/>
      <c r="VQO24" s="629"/>
      <c r="VQP24" s="629"/>
      <c r="VQQ24" s="629"/>
      <c r="VQR24" s="629"/>
      <c r="VQS24" s="629"/>
      <c r="VQT24" s="629"/>
      <c r="VQU24" s="629"/>
      <c r="VQV24" s="629"/>
      <c r="VQW24" s="629"/>
      <c r="VQX24" s="629"/>
      <c r="VQY24" s="629"/>
      <c r="VQZ24" s="629"/>
      <c r="VRA24" s="629"/>
      <c r="VRB24" s="629"/>
      <c r="VRC24" s="629"/>
      <c r="VRD24" s="629"/>
      <c r="VRE24" s="629"/>
      <c r="VRF24" s="629"/>
      <c r="VRG24" s="629"/>
      <c r="VRH24" s="629"/>
      <c r="VRI24" s="629"/>
      <c r="VRJ24" s="629"/>
      <c r="VRK24" s="629"/>
      <c r="VRL24" s="629"/>
      <c r="VRM24" s="629"/>
      <c r="VRN24" s="629"/>
      <c r="VRO24" s="629"/>
      <c r="VRP24" s="629"/>
      <c r="VRQ24" s="629"/>
      <c r="VRR24" s="629"/>
      <c r="VRS24" s="629"/>
      <c r="VRT24" s="629"/>
      <c r="VRU24" s="629"/>
      <c r="VRV24" s="629"/>
      <c r="VRW24" s="629"/>
      <c r="VRX24" s="629"/>
      <c r="VRY24" s="629"/>
      <c r="VRZ24" s="629"/>
      <c r="VSA24" s="629"/>
      <c r="VSB24" s="629"/>
      <c r="VSC24" s="629"/>
      <c r="VSD24" s="629"/>
      <c r="VSE24" s="629"/>
      <c r="VSF24" s="629"/>
      <c r="VSG24" s="629"/>
      <c r="VSH24" s="629"/>
      <c r="VSI24" s="629"/>
      <c r="VSJ24" s="629"/>
      <c r="VSK24" s="629"/>
      <c r="VSL24" s="629"/>
      <c r="VSM24" s="629"/>
      <c r="VSN24" s="629"/>
      <c r="VSO24" s="629"/>
      <c r="VSP24" s="629"/>
      <c r="VSQ24" s="629"/>
      <c r="VSR24" s="629"/>
      <c r="VSS24" s="629"/>
      <c r="VST24" s="629"/>
      <c r="VSU24" s="629"/>
      <c r="VSV24" s="629"/>
      <c r="VSW24" s="629"/>
      <c r="VSX24" s="629"/>
      <c r="VSY24" s="629"/>
      <c r="VSZ24" s="629"/>
      <c r="VTA24" s="629"/>
      <c r="VTB24" s="629"/>
      <c r="VTC24" s="629"/>
      <c r="VTD24" s="629"/>
      <c r="VTE24" s="629"/>
      <c r="VTF24" s="629"/>
      <c r="VTG24" s="629"/>
      <c r="VTH24" s="629"/>
      <c r="VTI24" s="629"/>
      <c r="VTJ24" s="629"/>
      <c r="VTK24" s="629"/>
      <c r="VTL24" s="629"/>
      <c r="VTM24" s="629"/>
      <c r="VTN24" s="629"/>
      <c r="VTO24" s="629"/>
      <c r="VTP24" s="629"/>
      <c r="VTQ24" s="629"/>
      <c r="VTR24" s="629"/>
      <c r="VTS24" s="629"/>
      <c r="VTT24" s="629"/>
      <c r="VTU24" s="629"/>
      <c r="VTV24" s="629"/>
      <c r="VTW24" s="629"/>
      <c r="VTX24" s="629"/>
      <c r="VTY24" s="629"/>
      <c r="VTZ24" s="629"/>
      <c r="VUA24" s="629"/>
      <c r="VUB24" s="629"/>
      <c r="VUC24" s="629"/>
      <c r="VUD24" s="629"/>
      <c r="VUE24" s="629"/>
      <c r="VUF24" s="629"/>
      <c r="VUG24" s="629"/>
      <c r="VUH24" s="629"/>
      <c r="VUI24" s="629"/>
      <c r="VUJ24" s="629"/>
      <c r="VUK24" s="629"/>
      <c r="VUL24" s="629"/>
      <c r="VUM24" s="629"/>
      <c r="VUN24" s="629"/>
      <c r="VUO24" s="629"/>
      <c r="VUP24" s="629"/>
      <c r="VUQ24" s="629"/>
      <c r="VUR24" s="629"/>
      <c r="VUS24" s="629"/>
      <c r="VUT24" s="629"/>
      <c r="VUU24" s="629"/>
      <c r="VUV24" s="629"/>
      <c r="VUW24" s="629"/>
      <c r="VUX24" s="629"/>
      <c r="VUY24" s="629"/>
      <c r="VUZ24" s="629"/>
      <c r="VVA24" s="629"/>
      <c r="VVB24" s="629"/>
      <c r="VVC24" s="629"/>
      <c r="VVD24" s="629"/>
      <c r="VVE24" s="629"/>
      <c r="VVF24" s="629"/>
      <c r="VVG24" s="629"/>
      <c r="VVH24" s="629"/>
      <c r="VVI24" s="629"/>
      <c r="VVJ24" s="629"/>
      <c r="VVK24" s="629"/>
      <c r="VVL24" s="629"/>
      <c r="VVM24" s="629"/>
      <c r="VVN24" s="629"/>
      <c r="VVO24" s="629"/>
      <c r="VVP24" s="629"/>
      <c r="VVQ24" s="629"/>
      <c r="VVR24" s="629"/>
      <c r="VVS24" s="629"/>
      <c r="VVT24" s="629"/>
      <c r="VVU24" s="629"/>
      <c r="VVV24" s="629"/>
      <c r="VVW24" s="629"/>
      <c r="VVX24" s="629"/>
      <c r="VVY24" s="629"/>
      <c r="VVZ24" s="629"/>
      <c r="VWA24" s="629"/>
      <c r="VWB24" s="629"/>
      <c r="VWC24" s="629"/>
      <c r="VWD24" s="629"/>
      <c r="VWE24" s="629"/>
      <c r="VWF24" s="629"/>
      <c r="VWG24" s="629"/>
      <c r="VWH24" s="629"/>
      <c r="VWI24" s="629"/>
      <c r="VWJ24" s="629"/>
      <c r="VWK24" s="629"/>
      <c r="VWL24" s="629"/>
      <c r="VWM24" s="629"/>
      <c r="VWN24" s="629"/>
      <c r="VWO24" s="629"/>
      <c r="VWP24" s="629"/>
      <c r="VWQ24" s="629"/>
      <c r="VWR24" s="629"/>
      <c r="VWS24" s="629"/>
      <c r="VWT24" s="629"/>
      <c r="VWU24" s="629"/>
      <c r="VWV24" s="629"/>
      <c r="VWW24" s="629"/>
      <c r="VWX24" s="629"/>
      <c r="VWY24" s="629"/>
      <c r="VWZ24" s="629"/>
      <c r="VXA24" s="629"/>
      <c r="VXB24" s="629"/>
      <c r="VXC24" s="629"/>
      <c r="VXD24" s="629"/>
      <c r="VXE24" s="629"/>
      <c r="VXF24" s="629"/>
      <c r="VXG24" s="629"/>
      <c r="VXH24" s="629"/>
      <c r="VXI24" s="629"/>
      <c r="VXJ24" s="629"/>
      <c r="VXK24" s="629"/>
      <c r="VXL24" s="629"/>
      <c r="VXM24" s="629"/>
      <c r="VXN24" s="629"/>
      <c r="VXO24" s="629"/>
      <c r="VXP24" s="629"/>
      <c r="VXQ24" s="629"/>
      <c r="VXR24" s="629"/>
      <c r="VXS24" s="629"/>
      <c r="VXT24" s="629"/>
      <c r="VXU24" s="629"/>
      <c r="VXV24" s="629"/>
      <c r="VXW24" s="629"/>
      <c r="VXX24" s="629"/>
      <c r="VXY24" s="629"/>
      <c r="VXZ24" s="629"/>
      <c r="VYA24" s="629"/>
      <c r="VYB24" s="629"/>
      <c r="VYC24" s="629"/>
      <c r="VYD24" s="629"/>
      <c r="VYE24" s="629"/>
      <c r="VYF24" s="629"/>
      <c r="VYG24" s="629"/>
      <c r="VYH24" s="629"/>
      <c r="VYI24" s="629"/>
      <c r="VYJ24" s="629"/>
      <c r="VYK24" s="629"/>
      <c r="VYL24" s="629"/>
      <c r="VYM24" s="629"/>
      <c r="VYN24" s="629"/>
      <c r="VYO24" s="629"/>
      <c r="VYP24" s="629"/>
      <c r="VYQ24" s="629"/>
      <c r="VYR24" s="629"/>
      <c r="VYS24" s="629"/>
      <c r="VYT24" s="629"/>
      <c r="VYU24" s="629"/>
      <c r="VYV24" s="629"/>
      <c r="VYW24" s="629"/>
      <c r="VYX24" s="629"/>
      <c r="VYY24" s="629"/>
      <c r="VYZ24" s="629"/>
      <c r="VZA24" s="629"/>
      <c r="VZB24" s="629"/>
      <c r="VZC24" s="629"/>
      <c r="VZD24" s="629"/>
      <c r="VZE24" s="629"/>
      <c r="VZF24" s="629"/>
      <c r="VZG24" s="629"/>
      <c r="VZH24" s="629"/>
      <c r="VZI24" s="629"/>
      <c r="VZJ24" s="629"/>
      <c r="VZK24" s="629"/>
      <c r="VZL24" s="629"/>
      <c r="VZM24" s="629"/>
      <c r="VZN24" s="629"/>
      <c r="VZO24" s="629"/>
      <c r="VZP24" s="629"/>
      <c r="VZQ24" s="629"/>
      <c r="VZR24" s="629"/>
      <c r="VZS24" s="629"/>
      <c r="VZT24" s="629"/>
      <c r="VZU24" s="629"/>
      <c r="VZV24" s="629"/>
      <c r="VZW24" s="629"/>
      <c r="VZX24" s="629"/>
      <c r="VZY24" s="629"/>
      <c r="VZZ24" s="629"/>
      <c r="WAA24" s="629"/>
      <c r="WAB24" s="629"/>
      <c r="WAC24" s="629"/>
      <c r="WAD24" s="629"/>
      <c r="WAE24" s="629"/>
      <c r="WAF24" s="629"/>
      <c r="WAG24" s="629"/>
      <c r="WAH24" s="629"/>
      <c r="WAI24" s="629"/>
      <c r="WAJ24" s="629"/>
      <c r="WAK24" s="629"/>
      <c r="WAL24" s="629"/>
      <c r="WAM24" s="629"/>
      <c r="WAN24" s="629"/>
      <c r="WAO24" s="629"/>
      <c r="WAP24" s="629"/>
      <c r="WAQ24" s="629"/>
      <c r="WAR24" s="629"/>
      <c r="WAS24" s="629"/>
      <c r="WAT24" s="629"/>
      <c r="WAU24" s="629"/>
      <c r="WAV24" s="629"/>
      <c r="WAW24" s="629"/>
      <c r="WAX24" s="629"/>
      <c r="WAY24" s="629"/>
      <c r="WAZ24" s="629"/>
      <c r="WBA24" s="629"/>
      <c r="WBB24" s="629"/>
      <c r="WBC24" s="629"/>
      <c r="WBD24" s="629"/>
      <c r="WBE24" s="629"/>
      <c r="WBF24" s="629"/>
      <c r="WBG24" s="629"/>
      <c r="WBH24" s="629"/>
      <c r="WBI24" s="629"/>
      <c r="WBJ24" s="629"/>
      <c r="WBK24" s="629"/>
      <c r="WBL24" s="629"/>
      <c r="WBM24" s="629"/>
      <c r="WBN24" s="629"/>
      <c r="WBO24" s="629"/>
      <c r="WBP24" s="629"/>
      <c r="WBQ24" s="629"/>
      <c r="WBR24" s="629"/>
      <c r="WBS24" s="629"/>
      <c r="WBT24" s="629"/>
      <c r="WBU24" s="629"/>
      <c r="WBV24" s="629"/>
      <c r="WBW24" s="629"/>
      <c r="WBX24" s="629"/>
      <c r="WBY24" s="629"/>
      <c r="WBZ24" s="629"/>
      <c r="WCA24" s="629"/>
      <c r="WCB24" s="629"/>
      <c r="WCC24" s="629"/>
      <c r="WCD24" s="629"/>
      <c r="WCE24" s="629"/>
      <c r="WCF24" s="629"/>
      <c r="WCG24" s="629"/>
      <c r="WCH24" s="629"/>
      <c r="WCI24" s="629"/>
      <c r="WCJ24" s="629"/>
      <c r="WCK24" s="629"/>
      <c r="WCL24" s="629"/>
      <c r="WCM24" s="629"/>
      <c r="WCN24" s="629"/>
      <c r="WCO24" s="629"/>
      <c r="WCP24" s="629"/>
      <c r="WCQ24" s="629"/>
      <c r="WCR24" s="629"/>
      <c r="WCS24" s="629"/>
      <c r="WCT24" s="629"/>
      <c r="WCU24" s="629"/>
      <c r="WCV24" s="629"/>
      <c r="WCW24" s="629"/>
      <c r="WCX24" s="629"/>
      <c r="WCY24" s="629"/>
      <c r="WCZ24" s="629"/>
      <c r="WDA24" s="629"/>
      <c r="WDB24" s="629"/>
      <c r="WDC24" s="629"/>
      <c r="WDD24" s="629"/>
      <c r="WDE24" s="629"/>
      <c r="WDF24" s="629"/>
      <c r="WDG24" s="629"/>
      <c r="WDH24" s="629"/>
      <c r="WDI24" s="629"/>
      <c r="WDJ24" s="629"/>
      <c r="WDK24" s="629"/>
      <c r="WDL24" s="629"/>
      <c r="WDM24" s="629"/>
      <c r="WDN24" s="629"/>
      <c r="WDO24" s="629"/>
      <c r="WDP24" s="629"/>
      <c r="WDQ24" s="629"/>
      <c r="WDR24" s="629"/>
      <c r="WDS24" s="629"/>
      <c r="WDT24" s="629"/>
      <c r="WDU24" s="629"/>
      <c r="WDV24" s="629"/>
      <c r="WDW24" s="629"/>
      <c r="WDX24" s="629"/>
      <c r="WDY24" s="629"/>
      <c r="WDZ24" s="629"/>
      <c r="WEA24" s="629"/>
      <c r="WEB24" s="629"/>
      <c r="WEC24" s="629"/>
      <c r="WED24" s="629"/>
      <c r="WEE24" s="629"/>
      <c r="WEF24" s="629"/>
      <c r="WEG24" s="629"/>
      <c r="WEH24" s="629"/>
      <c r="WEI24" s="629"/>
      <c r="WEJ24" s="629"/>
      <c r="WEK24" s="629"/>
      <c r="WEL24" s="629"/>
      <c r="WEM24" s="629"/>
      <c r="WEN24" s="629"/>
      <c r="WEO24" s="629"/>
      <c r="WEP24" s="629"/>
      <c r="WEQ24" s="629"/>
      <c r="WER24" s="629"/>
      <c r="WES24" s="629"/>
      <c r="WET24" s="629"/>
      <c r="WEU24" s="629"/>
      <c r="WEV24" s="629"/>
      <c r="WEW24" s="629"/>
      <c r="WEX24" s="629"/>
      <c r="WEY24" s="629"/>
      <c r="WEZ24" s="629"/>
      <c r="WFA24" s="629"/>
      <c r="WFB24" s="629"/>
      <c r="WFC24" s="629"/>
      <c r="WFD24" s="629"/>
      <c r="WFE24" s="629"/>
      <c r="WFF24" s="629"/>
      <c r="WFG24" s="629"/>
      <c r="WFH24" s="629"/>
      <c r="WFI24" s="629"/>
      <c r="WFJ24" s="629"/>
      <c r="WFK24" s="629"/>
      <c r="WFL24" s="629"/>
      <c r="WFM24" s="629"/>
      <c r="WFN24" s="629"/>
      <c r="WFO24" s="629"/>
      <c r="WFP24" s="629"/>
      <c r="WFQ24" s="629"/>
      <c r="WFR24" s="629"/>
      <c r="WFS24" s="629"/>
      <c r="WFT24" s="629"/>
      <c r="WFU24" s="629"/>
      <c r="WFV24" s="629"/>
      <c r="WFW24" s="629"/>
      <c r="WFX24" s="629"/>
      <c r="WFY24" s="629"/>
      <c r="WFZ24" s="629"/>
      <c r="WGA24" s="629"/>
      <c r="WGB24" s="629"/>
      <c r="WGC24" s="629"/>
      <c r="WGD24" s="629"/>
      <c r="WGE24" s="629"/>
      <c r="WGF24" s="629"/>
      <c r="WGG24" s="629"/>
      <c r="WGH24" s="629"/>
      <c r="WGI24" s="629"/>
      <c r="WGJ24" s="629"/>
      <c r="WGK24" s="629"/>
      <c r="WGL24" s="629"/>
      <c r="WGM24" s="629"/>
      <c r="WGN24" s="629"/>
      <c r="WGO24" s="629"/>
      <c r="WGP24" s="629"/>
      <c r="WGQ24" s="629"/>
      <c r="WGR24" s="629"/>
      <c r="WGS24" s="629"/>
      <c r="WGT24" s="629"/>
      <c r="WGU24" s="629"/>
      <c r="WGV24" s="629"/>
      <c r="WGW24" s="629"/>
      <c r="WGX24" s="629"/>
      <c r="WGY24" s="629"/>
      <c r="WGZ24" s="629"/>
      <c r="WHA24" s="629"/>
      <c r="WHB24" s="629"/>
      <c r="WHC24" s="629"/>
      <c r="WHD24" s="629"/>
      <c r="WHE24" s="629"/>
      <c r="WHF24" s="629"/>
      <c r="WHG24" s="629"/>
      <c r="WHH24" s="629"/>
      <c r="WHI24" s="629"/>
      <c r="WHJ24" s="629"/>
      <c r="WHK24" s="629"/>
      <c r="WHL24" s="629"/>
      <c r="WHM24" s="629"/>
      <c r="WHN24" s="629"/>
      <c r="WHO24" s="629"/>
      <c r="WHP24" s="629"/>
      <c r="WHQ24" s="629"/>
      <c r="WHR24" s="629"/>
      <c r="WHS24" s="629"/>
      <c r="WHT24" s="629"/>
      <c r="WHU24" s="629"/>
      <c r="WHV24" s="629"/>
      <c r="WHW24" s="629"/>
      <c r="WHX24" s="629"/>
      <c r="WHY24" s="629"/>
      <c r="WHZ24" s="629"/>
      <c r="WIA24" s="629"/>
      <c r="WIB24" s="629"/>
      <c r="WIC24" s="629"/>
      <c r="WID24" s="629"/>
      <c r="WIE24" s="629"/>
      <c r="WIF24" s="629"/>
      <c r="WIG24" s="629"/>
      <c r="WIH24" s="629"/>
      <c r="WII24" s="629"/>
      <c r="WIJ24" s="629"/>
      <c r="WIK24" s="629"/>
      <c r="WIL24" s="629"/>
      <c r="WIM24" s="629"/>
      <c r="WIN24" s="629"/>
      <c r="WIO24" s="629"/>
      <c r="WIP24" s="629"/>
      <c r="WIQ24" s="629"/>
      <c r="WIR24" s="629"/>
      <c r="WIS24" s="629"/>
      <c r="WIT24" s="629"/>
      <c r="WIU24" s="629"/>
      <c r="WIV24" s="629"/>
      <c r="WIW24" s="629"/>
      <c r="WIX24" s="629"/>
      <c r="WIY24" s="629"/>
      <c r="WIZ24" s="629"/>
      <c r="WJA24" s="629"/>
      <c r="WJB24" s="629"/>
      <c r="WJC24" s="629"/>
      <c r="WJD24" s="629"/>
      <c r="WJE24" s="629"/>
      <c r="WJF24" s="629"/>
      <c r="WJG24" s="629"/>
      <c r="WJH24" s="629"/>
      <c r="WJI24" s="629"/>
      <c r="WJJ24" s="629"/>
      <c r="WJK24" s="629"/>
      <c r="WJL24" s="629"/>
      <c r="WJM24" s="629"/>
      <c r="WJN24" s="629"/>
      <c r="WJO24" s="629"/>
      <c r="WJP24" s="629"/>
      <c r="WJQ24" s="629"/>
      <c r="WJR24" s="629"/>
      <c r="WJS24" s="629"/>
      <c r="WJT24" s="629"/>
      <c r="WJU24" s="629"/>
      <c r="WJV24" s="629"/>
      <c r="WJW24" s="629"/>
      <c r="WJX24" s="629"/>
      <c r="WJY24" s="629"/>
      <c r="WJZ24" s="629"/>
      <c r="WKA24" s="629"/>
      <c r="WKB24" s="629"/>
      <c r="WKC24" s="629"/>
      <c r="WKD24" s="629"/>
      <c r="WKE24" s="629"/>
      <c r="WKF24" s="629"/>
      <c r="WKG24" s="629"/>
      <c r="WKH24" s="629"/>
      <c r="WKI24" s="629"/>
      <c r="WKJ24" s="629"/>
      <c r="WKK24" s="629"/>
      <c r="WKL24" s="629"/>
      <c r="WKM24" s="629"/>
      <c r="WKN24" s="629"/>
      <c r="WKO24" s="629"/>
      <c r="WKP24" s="629"/>
      <c r="WKQ24" s="629"/>
      <c r="WKR24" s="629"/>
      <c r="WKS24" s="629"/>
      <c r="WKT24" s="629"/>
      <c r="WKU24" s="629"/>
      <c r="WKV24" s="629"/>
      <c r="WKW24" s="629"/>
      <c r="WKX24" s="629"/>
      <c r="WKY24" s="629"/>
      <c r="WKZ24" s="629"/>
      <c r="WLA24" s="629"/>
      <c r="WLB24" s="629"/>
      <c r="WLC24" s="629"/>
      <c r="WLD24" s="629"/>
      <c r="WLE24" s="629"/>
      <c r="WLF24" s="629"/>
      <c r="WLG24" s="629"/>
      <c r="WLH24" s="629"/>
      <c r="WLI24" s="629"/>
      <c r="WLJ24" s="629"/>
      <c r="WLK24" s="629"/>
      <c r="WLL24" s="629"/>
      <c r="WLM24" s="629"/>
      <c r="WLN24" s="629"/>
      <c r="WLO24" s="629"/>
      <c r="WLP24" s="629"/>
      <c r="WLQ24" s="629"/>
      <c r="WLR24" s="629"/>
      <c r="WLS24" s="629"/>
      <c r="WLT24" s="629"/>
      <c r="WLU24" s="629"/>
      <c r="WLV24" s="629"/>
      <c r="WLW24" s="629"/>
      <c r="WLX24" s="629"/>
      <c r="WLY24" s="629"/>
      <c r="WLZ24" s="629"/>
      <c r="WMA24" s="629"/>
      <c r="WMB24" s="629"/>
      <c r="WMC24" s="629"/>
      <c r="WMD24" s="629"/>
      <c r="WME24" s="629"/>
      <c r="WMF24" s="629"/>
      <c r="WMG24" s="629"/>
      <c r="WMH24" s="629"/>
      <c r="WMI24" s="629"/>
      <c r="WMJ24" s="629"/>
      <c r="WMK24" s="629"/>
      <c r="WML24" s="629"/>
      <c r="WMM24" s="629"/>
      <c r="WMN24" s="629"/>
      <c r="WMO24" s="629"/>
      <c r="WMP24" s="629"/>
      <c r="WMQ24" s="629"/>
      <c r="WMR24" s="629"/>
      <c r="WMS24" s="629"/>
      <c r="WMT24" s="629"/>
      <c r="WMU24" s="629"/>
      <c r="WMV24" s="629"/>
      <c r="WMW24" s="629"/>
      <c r="WMX24" s="629"/>
      <c r="WMY24" s="629"/>
      <c r="WMZ24" s="629"/>
      <c r="WNA24" s="629"/>
      <c r="WNB24" s="629"/>
      <c r="WNC24" s="629"/>
      <c r="WND24" s="629"/>
      <c r="WNE24" s="629"/>
      <c r="WNF24" s="629"/>
      <c r="WNG24" s="629"/>
      <c r="WNH24" s="629"/>
      <c r="WNI24" s="629"/>
      <c r="WNJ24" s="629"/>
      <c r="WNK24" s="629"/>
      <c r="WNL24" s="629"/>
      <c r="WNM24" s="629"/>
      <c r="WNN24" s="629"/>
      <c r="WNO24" s="629"/>
      <c r="WNP24" s="629"/>
      <c r="WNQ24" s="629"/>
      <c r="WNR24" s="629"/>
      <c r="WNS24" s="629"/>
      <c r="WNT24" s="629"/>
      <c r="WNU24" s="629"/>
      <c r="WNV24" s="629"/>
      <c r="WNW24" s="629"/>
      <c r="WNX24" s="629"/>
      <c r="WNY24" s="629"/>
      <c r="WNZ24" s="629"/>
      <c r="WOA24" s="629"/>
      <c r="WOB24" s="629"/>
      <c r="WOC24" s="629"/>
      <c r="WOD24" s="629"/>
      <c r="WOE24" s="629"/>
      <c r="WOF24" s="629"/>
      <c r="WOG24" s="629"/>
      <c r="WOH24" s="629"/>
      <c r="WOI24" s="629"/>
      <c r="WOJ24" s="629"/>
      <c r="WOK24" s="629"/>
      <c r="WOL24" s="629"/>
      <c r="WOM24" s="629"/>
      <c r="WON24" s="629"/>
      <c r="WOO24" s="629"/>
      <c r="WOP24" s="629"/>
      <c r="WOQ24" s="629"/>
      <c r="WOR24" s="629"/>
      <c r="WOS24" s="629"/>
      <c r="WOT24" s="629"/>
      <c r="WOU24" s="629"/>
      <c r="WOV24" s="629"/>
      <c r="WOW24" s="629"/>
      <c r="WOX24" s="629"/>
      <c r="WOY24" s="629"/>
      <c r="WOZ24" s="629"/>
      <c r="WPA24" s="629"/>
      <c r="WPB24" s="629"/>
      <c r="WPC24" s="629"/>
      <c r="WPD24" s="629"/>
      <c r="WPE24" s="629"/>
      <c r="WPF24" s="629"/>
      <c r="WPG24" s="629"/>
      <c r="WPH24" s="629"/>
      <c r="WPI24" s="629"/>
      <c r="WPJ24" s="629"/>
      <c r="WPK24" s="629"/>
      <c r="WPL24" s="629"/>
      <c r="WPM24" s="629"/>
      <c r="WPN24" s="629"/>
      <c r="WPO24" s="629"/>
      <c r="WPP24" s="629"/>
      <c r="WPQ24" s="629"/>
      <c r="WPR24" s="629"/>
      <c r="WPS24" s="629"/>
      <c r="WPT24" s="629"/>
      <c r="WPU24" s="629"/>
      <c r="WPV24" s="629"/>
      <c r="WPW24" s="629"/>
      <c r="WPX24" s="629"/>
      <c r="WPY24" s="629"/>
      <c r="WPZ24" s="629"/>
      <c r="WQA24" s="629"/>
      <c r="WQB24" s="629"/>
      <c r="WQC24" s="629"/>
      <c r="WQD24" s="629"/>
      <c r="WQE24" s="629"/>
      <c r="WQF24" s="629"/>
      <c r="WQG24" s="629"/>
      <c r="WQH24" s="629"/>
      <c r="WQI24" s="629"/>
      <c r="WQJ24" s="629"/>
      <c r="WQK24" s="629"/>
      <c r="WQL24" s="629"/>
      <c r="WQM24" s="629"/>
      <c r="WQN24" s="629"/>
      <c r="WQO24" s="629"/>
      <c r="WQP24" s="629"/>
      <c r="WQQ24" s="629"/>
      <c r="WQR24" s="629"/>
      <c r="WQS24" s="629"/>
      <c r="WQT24" s="629"/>
      <c r="WQU24" s="629"/>
      <c r="WQV24" s="629"/>
      <c r="WQW24" s="629"/>
      <c r="WQX24" s="629"/>
      <c r="WQY24" s="629"/>
      <c r="WQZ24" s="629"/>
      <c r="WRA24" s="629"/>
      <c r="WRB24" s="629"/>
      <c r="WRC24" s="629"/>
      <c r="WRD24" s="629"/>
      <c r="WRE24" s="629"/>
      <c r="WRF24" s="629"/>
      <c r="WRG24" s="629"/>
      <c r="WRH24" s="629"/>
      <c r="WRI24" s="629"/>
      <c r="WRJ24" s="629"/>
      <c r="WRK24" s="629"/>
      <c r="WRL24" s="629"/>
      <c r="WRM24" s="629"/>
      <c r="WRN24" s="629"/>
      <c r="WRO24" s="629"/>
      <c r="WRP24" s="629"/>
      <c r="WRQ24" s="629"/>
      <c r="WRR24" s="629"/>
      <c r="WRS24" s="629"/>
      <c r="WRT24" s="629"/>
      <c r="WRU24" s="629"/>
      <c r="WRV24" s="629"/>
      <c r="WRW24" s="629"/>
      <c r="WRX24" s="629"/>
      <c r="WRY24" s="629"/>
      <c r="WRZ24" s="629"/>
      <c r="WSA24" s="629"/>
      <c r="WSB24" s="629"/>
      <c r="WSC24" s="629"/>
      <c r="WSD24" s="629"/>
      <c r="WSE24" s="629"/>
      <c r="WSF24" s="629"/>
      <c r="WSG24" s="629"/>
      <c r="WSH24" s="629"/>
      <c r="WSI24" s="629"/>
      <c r="WSJ24" s="629"/>
      <c r="WSK24" s="629"/>
      <c r="WSL24" s="629"/>
      <c r="WSM24" s="629"/>
      <c r="WSN24" s="629"/>
      <c r="WSO24" s="629"/>
      <c r="WSP24" s="629"/>
      <c r="WSQ24" s="629"/>
      <c r="WSR24" s="629"/>
      <c r="WSS24" s="629"/>
      <c r="WST24" s="629"/>
      <c r="WSU24" s="629"/>
      <c r="WSV24" s="629"/>
      <c r="WSW24" s="629"/>
      <c r="WSX24" s="629"/>
      <c r="WSY24" s="629"/>
      <c r="WSZ24" s="629"/>
      <c r="WTA24" s="629"/>
      <c r="WTB24" s="629"/>
      <c r="WTC24" s="629"/>
      <c r="WTD24" s="629"/>
      <c r="WTE24" s="629"/>
      <c r="WTF24" s="629"/>
      <c r="WTG24" s="629"/>
      <c r="WTH24" s="629"/>
      <c r="WTI24" s="629"/>
      <c r="WTJ24" s="629"/>
      <c r="WTK24" s="629"/>
      <c r="WTL24" s="629"/>
      <c r="WTM24" s="629"/>
      <c r="WTN24" s="629"/>
      <c r="WTO24" s="629"/>
      <c r="WTP24" s="629"/>
      <c r="WTQ24" s="629"/>
      <c r="WTR24" s="629"/>
      <c r="WTS24" s="629"/>
      <c r="WTT24" s="629"/>
      <c r="WTU24" s="629"/>
      <c r="WTV24" s="629"/>
      <c r="WTW24" s="629"/>
      <c r="WTX24" s="629"/>
      <c r="WTY24" s="629"/>
      <c r="WTZ24" s="629"/>
      <c r="WUA24" s="629"/>
      <c r="WUB24" s="629"/>
      <c r="WUC24" s="629"/>
      <c r="WUD24" s="629"/>
      <c r="WUE24" s="629"/>
      <c r="WUF24" s="629"/>
      <c r="WUG24" s="629"/>
      <c r="WUH24" s="629"/>
      <c r="WUI24" s="629"/>
      <c r="WUJ24" s="629"/>
      <c r="WUK24" s="629"/>
      <c r="WUL24" s="629"/>
      <c r="WUM24" s="629"/>
      <c r="WUN24" s="629"/>
      <c r="WUO24" s="629"/>
      <c r="WUP24" s="629"/>
      <c r="WUQ24" s="629"/>
      <c r="WUR24" s="629"/>
      <c r="WUS24" s="629"/>
      <c r="WUT24" s="629"/>
      <c r="WUU24" s="629"/>
      <c r="WUV24" s="629"/>
      <c r="WUW24" s="629"/>
      <c r="WUX24" s="629"/>
      <c r="WUY24" s="629"/>
      <c r="WUZ24" s="629"/>
      <c r="WVA24" s="629"/>
      <c r="WVB24" s="629"/>
      <c r="WVC24" s="629"/>
      <c r="WVD24" s="629"/>
      <c r="WVE24" s="629"/>
      <c r="WVF24" s="629"/>
      <c r="WVG24" s="629"/>
      <c r="WVH24" s="629"/>
      <c r="WVI24" s="629"/>
      <c r="WVJ24" s="629"/>
      <c r="WVK24" s="629"/>
      <c r="WVL24" s="629"/>
      <c r="WVM24" s="629"/>
      <c r="WVN24" s="629"/>
      <c r="WVO24" s="629"/>
      <c r="WVP24" s="629"/>
      <c r="WVQ24" s="629"/>
      <c r="WVR24" s="629"/>
      <c r="WVS24" s="629"/>
      <c r="WVT24" s="629"/>
      <c r="WVU24" s="629"/>
      <c r="WVV24" s="629"/>
      <c r="WVW24" s="629"/>
      <c r="WVX24" s="629"/>
      <c r="WVY24" s="629"/>
      <c r="WVZ24" s="629"/>
      <c r="WWA24" s="629"/>
      <c r="WWB24" s="629"/>
      <c r="WWC24" s="629"/>
      <c r="WWD24" s="629"/>
      <c r="WWE24" s="629"/>
      <c r="WWF24" s="629"/>
      <c r="WWG24" s="629"/>
      <c r="WWH24" s="629"/>
      <c r="WWI24" s="629"/>
      <c r="WWJ24" s="629"/>
      <c r="WWK24" s="629"/>
      <c r="WWL24" s="629"/>
      <c r="WWM24" s="629"/>
      <c r="WWN24" s="629"/>
      <c r="WWO24" s="629"/>
      <c r="WWP24" s="629"/>
      <c r="WWQ24" s="629"/>
      <c r="WWR24" s="629"/>
      <c r="WWS24" s="629"/>
      <c r="WWT24" s="629"/>
      <c r="WWU24" s="629"/>
      <c r="WWV24" s="629"/>
      <c r="WWW24" s="629"/>
      <c r="WWX24" s="629"/>
      <c r="WWY24" s="629"/>
      <c r="WWZ24" s="629"/>
      <c r="WXA24" s="629"/>
      <c r="WXB24" s="629"/>
      <c r="WXC24" s="629"/>
      <c r="WXD24" s="629"/>
      <c r="WXE24" s="629"/>
      <c r="WXF24" s="629"/>
      <c r="WXG24" s="629"/>
      <c r="WXH24" s="629"/>
      <c r="WXI24" s="629"/>
      <c r="WXJ24" s="629"/>
      <c r="WXK24" s="629"/>
      <c r="WXL24" s="629"/>
      <c r="WXM24" s="629"/>
      <c r="WXN24" s="629"/>
      <c r="WXO24" s="629"/>
      <c r="WXP24" s="629"/>
      <c r="WXQ24" s="629"/>
      <c r="WXR24" s="629"/>
      <c r="WXS24" s="629"/>
      <c r="WXT24" s="629"/>
      <c r="WXU24" s="629"/>
      <c r="WXV24" s="629"/>
      <c r="WXW24" s="629"/>
      <c r="WXX24" s="629"/>
      <c r="WXY24" s="629"/>
      <c r="WXZ24" s="629"/>
      <c r="WYA24" s="629"/>
      <c r="WYB24" s="629"/>
      <c r="WYC24" s="629"/>
      <c r="WYD24" s="629"/>
      <c r="WYE24" s="629"/>
      <c r="WYF24" s="629"/>
      <c r="WYG24" s="629"/>
      <c r="WYH24" s="629"/>
      <c r="WYI24" s="629"/>
      <c r="WYJ24" s="629"/>
      <c r="WYK24" s="629"/>
      <c r="WYL24" s="629"/>
      <c r="WYM24" s="629"/>
      <c r="WYN24" s="629"/>
      <c r="WYO24" s="629"/>
      <c r="WYP24" s="629"/>
      <c r="WYQ24" s="629"/>
      <c r="WYR24" s="629"/>
      <c r="WYS24" s="629"/>
      <c r="WYT24" s="629"/>
      <c r="WYU24" s="629"/>
      <c r="WYV24" s="629"/>
      <c r="WYW24" s="629"/>
      <c r="WYX24" s="629"/>
      <c r="WYY24" s="629"/>
      <c r="WYZ24" s="629"/>
      <c r="WZA24" s="629"/>
      <c r="WZB24" s="629"/>
      <c r="WZC24" s="629"/>
      <c r="WZD24" s="629"/>
      <c r="WZE24" s="629"/>
      <c r="WZF24" s="629"/>
      <c r="WZG24" s="629"/>
      <c r="WZH24" s="629"/>
      <c r="WZI24" s="629"/>
      <c r="WZJ24" s="629"/>
      <c r="WZK24" s="629"/>
      <c r="WZL24" s="629"/>
      <c r="WZM24" s="629"/>
      <c r="WZN24" s="629"/>
      <c r="WZO24" s="629"/>
      <c r="WZP24" s="629"/>
      <c r="WZQ24" s="629"/>
      <c r="WZR24" s="629"/>
      <c r="WZS24" s="629"/>
      <c r="WZT24" s="629"/>
      <c r="WZU24" s="629"/>
      <c r="WZV24" s="629"/>
      <c r="WZW24" s="629"/>
      <c r="WZX24" s="629"/>
      <c r="WZY24" s="629"/>
      <c r="WZZ24" s="629"/>
      <c r="XAA24" s="629"/>
      <c r="XAB24" s="629"/>
      <c r="XAC24" s="629"/>
      <c r="XAD24" s="629"/>
      <c r="XAE24" s="629"/>
      <c r="XAF24" s="629"/>
      <c r="XAG24" s="629"/>
      <c r="XAH24" s="629"/>
      <c r="XAI24" s="629"/>
      <c r="XAJ24" s="629"/>
      <c r="XAK24" s="629"/>
      <c r="XAL24" s="629"/>
      <c r="XAM24" s="629"/>
      <c r="XAN24" s="629"/>
      <c r="XAO24" s="629"/>
      <c r="XAP24" s="629"/>
      <c r="XAQ24" s="629"/>
      <c r="XAR24" s="629"/>
      <c r="XAS24" s="629"/>
      <c r="XAT24" s="629"/>
      <c r="XAU24" s="629"/>
      <c r="XAV24" s="629"/>
      <c r="XAW24" s="629"/>
      <c r="XAX24" s="629"/>
      <c r="XAY24" s="629"/>
      <c r="XAZ24" s="629"/>
      <c r="XBA24" s="629"/>
      <c r="XBB24" s="629"/>
      <c r="XBC24" s="629"/>
      <c r="XBD24" s="629"/>
      <c r="XBE24" s="629"/>
      <c r="XBF24" s="629"/>
      <c r="XBG24" s="629"/>
      <c r="XBH24" s="629"/>
      <c r="XBI24" s="629"/>
      <c r="XBJ24" s="629"/>
      <c r="XBK24" s="629"/>
      <c r="XBL24" s="629"/>
      <c r="XBM24" s="629"/>
      <c r="XBN24" s="629"/>
      <c r="XBO24" s="629"/>
      <c r="XBP24" s="629"/>
      <c r="XBQ24" s="629"/>
      <c r="XBR24" s="629"/>
      <c r="XBS24" s="629"/>
      <c r="XBT24" s="629"/>
      <c r="XBU24" s="629"/>
      <c r="XBV24" s="629"/>
      <c r="XBW24" s="629"/>
      <c r="XBX24" s="629"/>
      <c r="XBY24" s="629"/>
      <c r="XBZ24" s="629"/>
      <c r="XCA24" s="629"/>
      <c r="XCB24" s="629"/>
      <c r="XCC24" s="629"/>
      <c r="XCD24" s="629"/>
      <c r="XCE24" s="629"/>
      <c r="XCF24" s="629"/>
      <c r="XCG24" s="629"/>
      <c r="XCH24" s="629"/>
      <c r="XCI24" s="629"/>
      <c r="XCJ24" s="629"/>
      <c r="XCK24" s="629"/>
      <c r="XCL24" s="629"/>
      <c r="XCM24" s="629"/>
      <c r="XCN24" s="629"/>
      <c r="XCO24" s="629"/>
      <c r="XCP24" s="629"/>
      <c r="XCQ24" s="629"/>
      <c r="XCR24" s="629"/>
      <c r="XCS24" s="629"/>
      <c r="XCT24" s="629"/>
      <c r="XCU24" s="629"/>
      <c r="XCV24" s="629"/>
      <c r="XCW24" s="629"/>
      <c r="XCX24" s="629"/>
      <c r="XCY24" s="629"/>
      <c r="XCZ24" s="629"/>
      <c r="XDA24" s="629"/>
      <c r="XDB24" s="629"/>
      <c r="XDC24" s="629"/>
      <c r="XDD24" s="629"/>
      <c r="XDE24" s="629"/>
      <c r="XDF24" s="629"/>
      <c r="XDG24" s="629"/>
      <c r="XDH24" s="629"/>
      <c r="XDI24" s="629"/>
      <c r="XDJ24" s="629"/>
      <c r="XDK24" s="629"/>
      <c r="XDL24" s="629"/>
      <c r="XDM24" s="629"/>
      <c r="XDN24" s="629"/>
      <c r="XDO24" s="629"/>
      <c r="XDP24" s="629"/>
      <c r="XDQ24" s="629"/>
      <c r="XDR24" s="629"/>
      <c r="XDS24" s="629"/>
      <c r="XDT24" s="629"/>
      <c r="XDU24" s="629"/>
      <c r="XDV24" s="629"/>
      <c r="XDW24" s="629"/>
      <c r="XDX24" s="629"/>
      <c r="XDY24" s="629"/>
      <c r="XDZ24" s="629"/>
      <c r="XEA24" s="629"/>
      <c r="XEB24" s="629"/>
      <c r="XEC24" s="629"/>
      <c r="XED24" s="629"/>
      <c r="XEE24" s="629"/>
      <c r="XEF24" s="629"/>
      <c r="XEG24" s="629"/>
      <c r="XEH24" s="629"/>
      <c r="XEI24" s="629"/>
      <c r="XEJ24" s="629"/>
      <c r="XEK24" s="629"/>
      <c r="XEL24" s="629"/>
      <c r="XEM24" s="629"/>
      <c r="XEN24" s="629"/>
      <c r="XEO24" s="629"/>
      <c r="XEP24" s="629"/>
      <c r="XEQ24" s="629"/>
      <c r="XER24" s="629"/>
      <c r="XES24" s="629"/>
      <c r="XET24" s="629"/>
      <c r="XEU24" s="629"/>
      <c r="XEV24" s="629"/>
      <c r="XEW24" s="629"/>
      <c r="XEX24" s="629"/>
      <c r="XEY24" s="629"/>
      <c r="XEZ24" s="629"/>
      <c r="XFA24" s="629"/>
      <c r="XFB24" s="629"/>
      <c r="XFC24" s="629"/>
    </row>
    <row r="25" spans="1:16383" s="630" customFormat="1">
      <c r="A25" s="2095" t="s">
        <v>521</v>
      </c>
      <c r="B25" s="2096"/>
      <c r="C25" s="2097"/>
      <c r="D25" s="2098">
        <f>('IT details'!L10+'IT details'!L14+'IT details'!L17+'IT details'!L27+'IT details'!L30)/1000</f>
        <v>0</v>
      </c>
      <c r="E25" s="2098">
        <f>('IT details'!Z10+'IT details'!Z14+'IT details'!Z17+'IT details'!Z27+'IT details'!Z30)/1000</f>
        <v>0</v>
      </c>
      <c r="F25" s="2098">
        <f>('IT details'!AN10+'IT details'!AN14+'IT details'!AN17+'IT details'!AN27+'IT details'!AN30)/1000</f>
        <v>0</v>
      </c>
      <c r="G25" s="2098">
        <f>('IT details'!BB10+'IT details'!BB14+'IT details'!BB17+'IT details'!BB27+'IT details'!BB30)/1000</f>
        <v>0</v>
      </c>
      <c r="H25" s="2098">
        <f>('IT details'!BP10+'IT details'!BP14+'IT details'!BP17+'IT details'!BP27+'IT details'!BP30)/1000</f>
        <v>0</v>
      </c>
      <c r="I25" s="2098">
        <f t="shared" si="1"/>
        <v>0</v>
      </c>
    </row>
    <row r="26" spans="1:16383" s="630" customFormat="1" ht="11.25" customHeight="1">
      <c r="A26" s="2095" t="s">
        <v>522</v>
      </c>
      <c r="B26" s="2113"/>
      <c r="C26" s="2097"/>
      <c r="D26" s="2098">
        <f>'IT details'!L43/1000</f>
        <v>0</v>
      </c>
      <c r="E26" s="2098">
        <f>'IT details'!Z43/1000</f>
        <v>0</v>
      </c>
      <c r="F26" s="2098">
        <f>'IT details'!AN43/1000</f>
        <v>0</v>
      </c>
      <c r="G26" s="2098">
        <f>'IT details'!BB43/1000</f>
        <v>0</v>
      </c>
      <c r="H26" s="2098">
        <f>'IT details'!BP43/1000</f>
        <v>0</v>
      </c>
      <c r="I26" s="2098">
        <f t="shared" si="1"/>
        <v>0</v>
      </c>
    </row>
    <row r="27" spans="1:16383" s="630" customFormat="1" ht="11.25" customHeight="1">
      <c r="A27" s="2095" t="s">
        <v>327</v>
      </c>
      <c r="B27" s="2113"/>
      <c r="C27" s="2097"/>
      <c r="D27" s="2098">
        <f>'IT details'!L51/1000</f>
        <v>0</v>
      </c>
      <c r="E27" s="2098">
        <f>'IT details'!Z51/1000</f>
        <v>0</v>
      </c>
      <c r="F27" s="2098">
        <f>'IT details'!AN51/1000</f>
        <v>0</v>
      </c>
      <c r="G27" s="2098">
        <f>'IT details'!BB51/1000</f>
        <v>0</v>
      </c>
      <c r="H27" s="2098">
        <f>'IT details'!BP51/1000</f>
        <v>0</v>
      </c>
      <c r="I27" s="2098">
        <f t="shared" si="1"/>
        <v>0</v>
      </c>
    </row>
    <row r="28" spans="1:16383" s="648" customFormat="1">
      <c r="A28" s="2104" t="s">
        <v>328</v>
      </c>
      <c r="B28" s="2105"/>
      <c r="C28" s="2106"/>
      <c r="D28" s="2107">
        <f>SUM(D24:D27)</f>
        <v>0</v>
      </c>
      <c r="E28" s="2107">
        <f>SUM(E24:E27)</f>
        <v>0</v>
      </c>
      <c r="F28" s="2107">
        <f t="shared" ref="F28:H28" si="5">SUM(F24:F27)</f>
        <v>0</v>
      </c>
      <c r="G28" s="2107">
        <f t="shared" si="5"/>
        <v>0</v>
      </c>
      <c r="H28" s="2107">
        <f t="shared" si="5"/>
        <v>0</v>
      </c>
      <c r="I28" s="2107">
        <f t="shared" si="1"/>
        <v>0</v>
      </c>
    </row>
    <row r="29" spans="1:16383" s="648" customFormat="1">
      <c r="A29" s="652" t="s">
        <v>525</v>
      </c>
      <c r="B29" s="653"/>
      <c r="C29" s="654"/>
      <c r="D29" s="655">
        <f>D23+D28</f>
        <v>0</v>
      </c>
      <c r="E29" s="655">
        <f>E23+E28</f>
        <v>0</v>
      </c>
      <c r="F29" s="655">
        <f t="shared" ref="F29:H29" si="6">F23+F28</f>
        <v>0</v>
      </c>
      <c r="G29" s="655">
        <f t="shared" si="6"/>
        <v>0</v>
      </c>
      <c r="H29" s="655">
        <f t="shared" si="6"/>
        <v>0</v>
      </c>
      <c r="I29" s="655">
        <f t="shared" si="1"/>
        <v>0</v>
      </c>
    </row>
    <row r="30" spans="1:16383" s="630" customFormat="1">
      <c r="A30" s="629"/>
      <c r="B30" s="629"/>
      <c r="C30" s="629"/>
      <c r="D30" s="656"/>
      <c r="E30" s="656"/>
      <c r="F30" s="656"/>
      <c r="G30" s="656"/>
      <c r="H30" s="656"/>
      <c r="I30" s="2026"/>
    </row>
    <row r="31" spans="1:16383" s="630" customFormat="1">
      <c r="A31" s="2108" t="s">
        <v>329</v>
      </c>
      <c r="B31" s="2109"/>
      <c r="C31" s="2110"/>
      <c r="D31" s="2111">
        <f>'IT details'!F82/1000</f>
        <v>0</v>
      </c>
      <c r="E31" s="2111">
        <f>'IT details'!T82/1000</f>
        <v>0</v>
      </c>
      <c r="F31" s="2111">
        <f>'IT details'!AH82/1000</f>
        <v>0</v>
      </c>
      <c r="G31" s="2111">
        <f>'IT details'!AV82/1000</f>
        <v>0</v>
      </c>
      <c r="H31" s="2111">
        <f>'IT details'!BJ82/1000</f>
        <v>0</v>
      </c>
      <c r="I31" s="2149">
        <f t="shared" si="1"/>
        <v>0</v>
      </c>
    </row>
    <row r="32" spans="1:16383" s="630" customFormat="1">
      <c r="D32" s="657"/>
      <c r="E32" s="657"/>
      <c r="F32" s="657"/>
      <c r="G32" s="657"/>
      <c r="H32" s="657"/>
      <c r="I32" s="642"/>
    </row>
    <row r="33" spans="1:9" s="630" customFormat="1" ht="18">
      <c r="A33" s="3061" t="s">
        <v>330</v>
      </c>
      <c r="B33" s="3062"/>
      <c r="C33" s="3063"/>
      <c r="D33" s="2042"/>
      <c r="E33" s="2043"/>
      <c r="F33" s="2043"/>
      <c r="G33" s="2043"/>
      <c r="H33" s="2043"/>
      <c r="I33" s="2044"/>
    </row>
    <row r="34" spans="1:9" s="630" customFormat="1" ht="15.75">
      <c r="A34" s="639"/>
      <c r="B34" s="640"/>
      <c r="C34" s="2024" t="s">
        <v>4</v>
      </c>
      <c r="D34" s="2045">
        <f>'IT details'!D6</f>
        <v>2014</v>
      </c>
      <c r="E34" s="2046">
        <f>D34+1</f>
        <v>2015</v>
      </c>
      <c r="F34" s="2046">
        <f t="shared" ref="F34:H34" si="7">E34+1</f>
        <v>2016</v>
      </c>
      <c r="G34" s="2046">
        <f t="shared" si="7"/>
        <v>2017</v>
      </c>
      <c r="H34" s="2046">
        <f t="shared" si="7"/>
        <v>2018</v>
      </c>
      <c r="I34" s="2046" t="s">
        <v>176</v>
      </c>
    </row>
    <row r="35" spans="1:9" s="630" customFormat="1">
      <c r="A35" s="2095" t="s">
        <v>331</v>
      </c>
      <c r="B35" s="2096"/>
      <c r="C35" s="2097"/>
      <c r="D35" s="2098">
        <f>'IT details'!F33/1000</f>
        <v>0</v>
      </c>
      <c r="E35" s="2098">
        <f>'IT details'!T33/1000</f>
        <v>0</v>
      </c>
      <c r="F35" s="2098">
        <f>'IT details'!AH33/1000</f>
        <v>0</v>
      </c>
      <c r="G35" s="2098">
        <f>'IT details'!AV33/1000</f>
        <v>0</v>
      </c>
      <c r="H35" s="2098">
        <f>'IT details'!BJ33/1000</f>
        <v>0</v>
      </c>
      <c r="I35" s="2098">
        <f t="shared" ref="I35:I37" si="8">SUM(D35:H35)</f>
        <v>0</v>
      </c>
    </row>
    <row r="36" spans="1:9" s="630" customFormat="1">
      <c r="A36" s="2095" t="s">
        <v>332</v>
      </c>
      <c r="B36" s="2096"/>
      <c r="C36" s="2099"/>
      <c r="D36" s="2098">
        <f>'IT details'!F46/1000</f>
        <v>0</v>
      </c>
      <c r="E36" s="2098">
        <f>'IT details'!T46/1000</f>
        <v>0</v>
      </c>
      <c r="F36" s="2098">
        <f>'IT details'!AH46/1000</f>
        <v>0</v>
      </c>
      <c r="G36" s="2098">
        <f>'IT details'!AV46/1000</f>
        <v>0</v>
      </c>
      <c r="H36" s="2098">
        <f>'IT details'!BJ46/1000</f>
        <v>0</v>
      </c>
      <c r="I36" s="2098">
        <f t="shared" si="8"/>
        <v>0</v>
      </c>
    </row>
    <row r="37" spans="1:9" s="648" customFormat="1">
      <c r="A37" s="644" t="s">
        <v>334</v>
      </c>
      <c r="B37" s="645"/>
      <c r="C37" s="646"/>
      <c r="D37" s="647">
        <f t="shared" ref="D37" si="9">SUM(D35:D36)</f>
        <v>0</v>
      </c>
      <c r="E37" s="647">
        <f t="shared" ref="E37:H37" si="10">SUM(E35:E36)</f>
        <v>0</v>
      </c>
      <c r="F37" s="647">
        <f t="shared" si="10"/>
        <v>0</v>
      </c>
      <c r="G37" s="647">
        <f t="shared" si="10"/>
        <v>0</v>
      </c>
      <c r="H37" s="647">
        <f t="shared" si="10"/>
        <v>0</v>
      </c>
      <c r="I37" s="647">
        <f t="shared" si="8"/>
        <v>0</v>
      </c>
    </row>
    <row r="38" spans="1:9" s="629" customFormat="1" ht="6.75" customHeight="1">
      <c r="A38" s="643"/>
      <c r="B38" s="643"/>
      <c r="C38" s="649"/>
      <c r="D38" s="650"/>
      <c r="E38" s="650"/>
      <c r="F38" s="650"/>
      <c r="G38" s="650"/>
      <c r="H38" s="650"/>
      <c r="I38" s="650"/>
    </row>
    <row r="39" spans="1:9" s="630" customFormat="1">
      <c r="A39" s="2100" t="s">
        <v>1101</v>
      </c>
      <c r="B39" s="2101"/>
      <c r="C39" s="2102"/>
      <c r="D39" s="2103">
        <f>('IT details'!I59+'IT details'!I33+'IT details'!I46)/1000</f>
        <v>0</v>
      </c>
      <c r="E39" s="2103">
        <f>('IT details'!W59+'IT details'!W33+'IT details'!W46)/1000</f>
        <v>0</v>
      </c>
      <c r="F39" s="2103">
        <f>('IT details'!AK59+'IT details'!AK33+'IT details'!AK46)/1000</f>
        <v>0</v>
      </c>
      <c r="G39" s="2103">
        <f>('IT details'!AY59+'IT details'!AY33+'IT details'!AY46)/1000</f>
        <v>0</v>
      </c>
      <c r="H39" s="2103">
        <f>('IT details'!BM59+'IT details'!BM33+'IT details'!BM46)/1000</f>
        <v>0</v>
      </c>
      <c r="I39" s="2103">
        <f t="shared" ref="I39:I46" si="11">SUM(D39:H39)</f>
        <v>0</v>
      </c>
    </row>
    <row r="40" spans="1:9" s="630" customFormat="1">
      <c r="A40" s="2095" t="s">
        <v>1100</v>
      </c>
      <c r="B40" s="2096"/>
      <c r="C40" s="2097"/>
      <c r="D40" s="2098">
        <f>'IT details'!I72/1000</f>
        <v>0</v>
      </c>
      <c r="E40" s="2098">
        <f>'IT details'!W72/1000</f>
        <v>0</v>
      </c>
      <c r="F40" s="2098">
        <f>'IT details'!AK72/1000</f>
        <v>0</v>
      </c>
      <c r="G40" s="2098">
        <f>'IT details'!AY72/1000</f>
        <v>0</v>
      </c>
      <c r="H40" s="2098">
        <f>'IT details'!BM72/1000</f>
        <v>0</v>
      </c>
      <c r="I40" s="2098">
        <f t="shared" si="11"/>
        <v>0</v>
      </c>
    </row>
    <row r="41" spans="1:9" s="648" customFormat="1">
      <c r="A41" s="2104" t="s">
        <v>1098</v>
      </c>
      <c r="B41" s="2105"/>
      <c r="C41" s="2106"/>
      <c r="D41" s="2107">
        <f>SUM(D39:D40)</f>
        <v>0</v>
      </c>
      <c r="E41" s="2107">
        <f t="shared" ref="E41:H41" si="12">SUM(E39:E40)</f>
        <v>0</v>
      </c>
      <c r="F41" s="2107">
        <f t="shared" si="12"/>
        <v>0</v>
      </c>
      <c r="G41" s="2107">
        <f t="shared" si="12"/>
        <v>0</v>
      </c>
      <c r="H41" s="2107">
        <f t="shared" si="12"/>
        <v>0</v>
      </c>
      <c r="I41" s="2107">
        <f t="shared" si="11"/>
        <v>0</v>
      </c>
    </row>
    <row r="42" spans="1:9" s="630" customFormat="1">
      <c r="A42" s="2095" t="s">
        <v>521</v>
      </c>
      <c r="B42" s="2096"/>
      <c r="C42" s="2097"/>
      <c r="D42" s="2098">
        <f>'IT details'!L33/1000</f>
        <v>0</v>
      </c>
      <c r="E42" s="2098">
        <f>'IT details'!Z33/1000</f>
        <v>0</v>
      </c>
      <c r="F42" s="2098">
        <f>'IT details'!AN33/1000</f>
        <v>0</v>
      </c>
      <c r="G42" s="2098">
        <f>'IT details'!BB33/1000</f>
        <v>0</v>
      </c>
      <c r="H42" s="2098">
        <f>'IT details'!BP33/1000</f>
        <v>0</v>
      </c>
      <c r="I42" s="2098">
        <f t="shared" si="11"/>
        <v>0</v>
      </c>
    </row>
    <row r="43" spans="1:9" s="630" customFormat="1" ht="11.25" customHeight="1">
      <c r="A43" s="2095" t="s">
        <v>522</v>
      </c>
      <c r="B43" s="2113"/>
      <c r="C43" s="2097"/>
      <c r="D43" s="2098">
        <f>'IT details'!L46/1000</f>
        <v>0</v>
      </c>
      <c r="E43" s="2098">
        <f>'IT details'!Z46/1000</f>
        <v>0</v>
      </c>
      <c r="F43" s="2098">
        <f>'IT details'!AN46/1000</f>
        <v>0</v>
      </c>
      <c r="G43" s="2098">
        <f>'IT details'!BB46/1000</f>
        <v>0</v>
      </c>
      <c r="H43" s="2098">
        <f>'IT details'!BP46/1000</f>
        <v>0</v>
      </c>
      <c r="I43" s="2098">
        <f t="shared" si="11"/>
        <v>0</v>
      </c>
    </row>
    <row r="44" spans="1:9" s="630" customFormat="1" ht="11.25" customHeight="1">
      <c r="A44" s="2095" t="s">
        <v>523</v>
      </c>
      <c r="B44" s="2113"/>
      <c r="C44" s="2097"/>
      <c r="D44" s="2098">
        <f>'IT details'!L55/1000</f>
        <v>0</v>
      </c>
      <c r="E44" s="2098">
        <f>'IT details'!Z55/1000</f>
        <v>0</v>
      </c>
      <c r="F44" s="2098">
        <f>'IT details'!AN55/1000</f>
        <v>0</v>
      </c>
      <c r="G44" s="2098">
        <f>'IT details'!BB55/1000</f>
        <v>0</v>
      </c>
      <c r="H44" s="2098">
        <f>'IT details'!BP55/1000</f>
        <v>0</v>
      </c>
      <c r="I44" s="2098">
        <f t="shared" si="11"/>
        <v>0</v>
      </c>
    </row>
    <row r="45" spans="1:9" s="648" customFormat="1">
      <c r="A45" s="2104" t="s">
        <v>328</v>
      </c>
      <c r="B45" s="2105"/>
      <c r="C45" s="2106"/>
      <c r="D45" s="2107">
        <f>SUM(D42:D44)</f>
        <v>0</v>
      </c>
      <c r="E45" s="2107">
        <f t="shared" ref="E45:H45" si="13">SUM(E42:E44)</f>
        <v>0</v>
      </c>
      <c r="F45" s="2107">
        <f t="shared" si="13"/>
        <v>0</v>
      </c>
      <c r="G45" s="2107">
        <f t="shared" si="13"/>
        <v>0</v>
      </c>
      <c r="H45" s="2107">
        <f t="shared" si="13"/>
        <v>0</v>
      </c>
      <c r="I45" s="2107">
        <f t="shared" si="11"/>
        <v>0</v>
      </c>
    </row>
    <row r="46" spans="1:9" s="648" customFormat="1">
      <c r="A46" s="652" t="s">
        <v>526</v>
      </c>
      <c r="B46" s="653"/>
      <c r="C46" s="654"/>
      <c r="D46" s="655">
        <f>SUM(D41,D45)</f>
        <v>0</v>
      </c>
      <c r="E46" s="655">
        <f t="shared" ref="E46:H46" si="14">SUM(E41,E45)</f>
        <v>0</v>
      </c>
      <c r="F46" s="655">
        <f t="shared" si="14"/>
        <v>0</v>
      </c>
      <c r="G46" s="655">
        <f t="shared" si="14"/>
        <v>0</v>
      </c>
      <c r="H46" s="655">
        <f t="shared" si="14"/>
        <v>0</v>
      </c>
      <c r="I46" s="655">
        <f t="shared" si="11"/>
        <v>0</v>
      </c>
    </row>
    <row r="47" spans="1:9" s="630" customFormat="1">
      <c r="A47" s="629"/>
      <c r="B47" s="629"/>
      <c r="C47" s="629"/>
      <c r="D47" s="656"/>
      <c r="E47" s="656"/>
      <c r="F47" s="656"/>
      <c r="G47" s="656"/>
      <c r="H47" s="656"/>
      <c r="I47" s="642"/>
    </row>
    <row r="48" spans="1:9" s="630" customFormat="1" ht="20.25">
      <c r="A48" s="658" t="s">
        <v>335</v>
      </c>
      <c r="B48" s="625"/>
      <c r="C48" s="625"/>
      <c r="D48" s="2042"/>
      <c r="E48" s="2043"/>
      <c r="F48" s="2043"/>
      <c r="G48" s="2043"/>
      <c r="H48" s="2043"/>
      <c r="I48" s="2047"/>
    </row>
    <row r="49" spans="1:9" s="630" customFormat="1" ht="15.75">
      <c r="A49" s="625"/>
      <c r="B49" s="625"/>
      <c r="C49" s="659" t="s">
        <v>4</v>
      </c>
      <c r="D49" s="2041">
        <f>'IT details'!D6</f>
        <v>2014</v>
      </c>
      <c r="E49" s="2041">
        <f>D49+1</f>
        <v>2015</v>
      </c>
      <c r="F49" s="2041">
        <f t="shared" ref="F49:H49" si="15">E49+1</f>
        <v>2016</v>
      </c>
      <c r="G49" s="2041">
        <f t="shared" si="15"/>
        <v>2017</v>
      </c>
      <c r="H49" s="2041">
        <f t="shared" si="15"/>
        <v>2018</v>
      </c>
      <c r="I49" s="2048" t="s">
        <v>176</v>
      </c>
    </row>
    <row r="50" spans="1:9" s="664" customFormat="1" ht="18" customHeight="1">
      <c r="A50" s="660" t="s">
        <v>1096</v>
      </c>
      <c r="B50" s="661"/>
      <c r="C50" s="662"/>
      <c r="D50" s="663">
        <f>'IT details'!F77/1000</f>
        <v>0</v>
      </c>
      <c r="E50" s="663">
        <f>'IT details'!T77/1000</f>
        <v>0</v>
      </c>
      <c r="F50" s="663">
        <f>'IT details'!AH77/1000</f>
        <v>0</v>
      </c>
      <c r="G50" s="663">
        <f>'IT details'!AV77/1000</f>
        <v>0</v>
      </c>
      <c r="H50" s="663">
        <f>'IT details'!BJ77/1000</f>
        <v>0</v>
      </c>
      <c r="I50" s="663">
        <f t="shared" ref="I50:I54" si="16">SUM(D50:H50)</f>
        <v>0</v>
      </c>
    </row>
    <row r="51" spans="1:9" s="664" customFormat="1" ht="18" customHeight="1">
      <c r="A51" s="660" t="s">
        <v>1097</v>
      </c>
      <c r="B51" s="661"/>
      <c r="C51" s="662"/>
      <c r="D51" s="663">
        <f>'IT details'!F78/1000</f>
        <v>0</v>
      </c>
      <c r="E51" s="663">
        <f>'IT details'!T78/1000</f>
        <v>0</v>
      </c>
      <c r="F51" s="663">
        <f>'IT details'!AH78/1000</f>
        <v>0</v>
      </c>
      <c r="G51" s="663">
        <f>'IT details'!AV78/1000</f>
        <v>0</v>
      </c>
      <c r="H51" s="663">
        <f>'IT details'!BJ78/1000</f>
        <v>0</v>
      </c>
      <c r="I51" s="663">
        <f t="shared" si="16"/>
        <v>0</v>
      </c>
    </row>
    <row r="52" spans="1:9" s="664" customFormat="1" ht="18" customHeight="1">
      <c r="A52" s="660" t="s">
        <v>1103</v>
      </c>
      <c r="B52" s="661"/>
      <c r="C52" s="662"/>
      <c r="D52" s="663">
        <f>'IT details'!F80/1000</f>
        <v>0</v>
      </c>
      <c r="E52" s="663">
        <f>'IT details'!T80/1000</f>
        <v>0</v>
      </c>
      <c r="F52" s="663">
        <f>'IT details'!AH80/1000</f>
        <v>0</v>
      </c>
      <c r="G52" s="663">
        <f>'IT details'!AV80/1000</f>
        <v>0</v>
      </c>
      <c r="H52" s="663">
        <f>'IT details'!BJ80/1000</f>
        <v>0</v>
      </c>
      <c r="I52" s="663">
        <f t="shared" si="16"/>
        <v>0</v>
      </c>
    </row>
    <row r="53" spans="1:9" s="664" customFormat="1" ht="18" customHeight="1">
      <c r="A53" s="660" t="s">
        <v>1104</v>
      </c>
      <c r="B53" s="661"/>
      <c r="C53" s="662"/>
      <c r="D53" s="663">
        <f>'IT details'!F81/1000</f>
        <v>0</v>
      </c>
      <c r="E53" s="663">
        <f>'IT details'!T81/1000</f>
        <v>0</v>
      </c>
      <c r="F53" s="663">
        <f>'IT details'!AH81/1000</f>
        <v>0</v>
      </c>
      <c r="G53" s="663">
        <f>'IT details'!AV81/1000</f>
        <v>0</v>
      </c>
      <c r="H53" s="663">
        <f>'IT details'!BJ81/1000</f>
        <v>0</v>
      </c>
      <c r="I53" s="663">
        <f t="shared" si="16"/>
        <v>0</v>
      </c>
    </row>
    <row r="54" spans="1:9" s="664" customFormat="1" ht="18" customHeight="1">
      <c r="A54" s="660" t="s">
        <v>1102</v>
      </c>
      <c r="B54" s="661"/>
      <c r="C54" s="662"/>
      <c r="D54" s="663">
        <f>('IT details'!I77+'IT details'!L77)/1000</f>
        <v>0</v>
      </c>
      <c r="E54" s="663">
        <f>('IT details'!W77+'IT details'!Z77)/1000</f>
        <v>0</v>
      </c>
      <c r="F54" s="663">
        <f>('IT details'!AK77+'IT details'!AN77)/1000</f>
        <v>0</v>
      </c>
      <c r="G54" s="663">
        <f>('IT details'!AY77+'IT details'!BB77)/1000</f>
        <v>0</v>
      </c>
      <c r="H54" s="663">
        <f>('IT details'!BM77+'IT details'!BP77)/1000</f>
        <v>0</v>
      </c>
      <c r="I54" s="663">
        <f t="shared" si="16"/>
        <v>0</v>
      </c>
    </row>
    <row r="55" spans="1:9" s="664" customFormat="1" ht="18" customHeight="1">
      <c r="A55" s="660" t="s">
        <v>336</v>
      </c>
      <c r="B55" s="661"/>
      <c r="C55" s="662"/>
      <c r="D55" s="2112"/>
      <c r="E55" s="2112"/>
      <c r="F55" s="2112"/>
      <c r="G55" s="2112"/>
      <c r="H55" s="2112"/>
      <c r="I55" s="2112"/>
    </row>
    <row r="56" spans="1:9" s="630" customFormat="1">
      <c r="A56" s="629"/>
      <c r="B56" s="629"/>
      <c r="C56" s="629"/>
      <c r="D56" s="2026"/>
      <c r="I56" s="631"/>
    </row>
    <row r="57" spans="1:9" s="630" customFormat="1">
      <c r="A57" s="3066" t="s">
        <v>337</v>
      </c>
      <c r="B57" s="3067"/>
      <c r="C57" s="3067"/>
      <c r="D57" s="2026"/>
      <c r="I57" s="631"/>
    </row>
    <row r="58" spans="1:9" s="630" customFormat="1" ht="21.95" customHeight="1">
      <c r="A58" s="665" t="s">
        <v>237</v>
      </c>
      <c r="B58" s="666"/>
      <c r="C58" s="667"/>
      <c r="D58" s="2026"/>
      <c r="I58" s="631"/>
    </row>
    <row r="59" spans="1:9" s="630" customFormat="1" ht="54" customHeight="1">
      <c r="A59" s="665" t="s">
        <v>59</v>
      </c>
      <c r="B59" s="668"/>
      <c r="C59" s="669"/>
      <c r="D59" s="2029"/>
      <c r="E59" s="670"/>
      <c r="F59" s="670"/>
      <c r="G59" s="670"/>
      <c r="H59" s="670"/>
      <c r="I59" s="671"/>
    </row>
    <row r="60" spans="1:9" s="630" customFormat="1">
      <c r="A60" s="651"/>
      <c r="B60" s="651"/>
      <c r="C60" s="651"/>
      <c r="D60" s="2030"/>
      <c r="G60" s="629"/>
      <c r="H60" s="629"/>
      <c r="I60" s="651"/>
    </row>
    <row r="61" spans="1:9" s="630" customFormat="1">
      <c r="A61" s="629"/>
      <c r="B61" s="629"/>
      <c r="C61" s="629"/>
      <c r="D61" s="2026"/>
      <c r="G61" s="629"/>
      <c r="H61" s="629"/>
      <c r="I61" s="629"/>
    </row>
    <row r="62" spans="1:9" s="630" customFormat="1">
      <c r="A62" s="629"/>
      <c r="B62" s="629"/>
      <c r="C62" s="629"/>
      <c r="D62" s="2026"/>
      <c r="G62" s="629"/>
      <c r="H62" s="629"/>
      <c r="I62" s="629"/>
    </row>
    <row r="63" spans="1:9" s="630" customFormat="1">
      <c r="D63" s="2028"/>
      <c r="G63" s="629"/>
      <c r="H63" s="629"/>
    </row>
    <row r="64" spans="1:9" s="630" customFormat="1">
      <c r="A64" s="629"/>
      <c r="B64" s="629"/>
      <c r="C64" s="629"/>
      <c r="D64" s="2026"/>
      <c r="I64" s="629"/>
    </row>
    <row r="65" spans="1:9" s="630" customFormat="1">
      <c r="A65" s="629"/>
      <c r="B65" s="629"/>
      <c r="C65" s="629"/>
      <c r="D65" s="2026"/>
      <c r="I65" s="629"/>
    </row>
    <row r="66" spans="1:9" s="630" customFormat="1">
      <c r="A66" s="629"/>
      <c r="B66" s="629"/>
      <c r="C66" s="629"/>
      <c r="D66" s="2026"/>
      <c r="I66" s="629"/>
    </row>
    <row r="67" spans="1:9" s="630" customFormat="1">
      <c r="A67" s="629"/>
      <c r="B67" s="629"/>
      <c r="C67" s="629"/>
      <c r="D67" s="2026"/>
      <c r="I67" s="629"/>
    </row>
    <row r="68" spans="1:9" s="630" customFormat="1">
      <c r="A68" s="629"/>
      <c r="B68" s="629"/>
      <c r="C68" s="629"/>
      <c r="D68" s="2026"/>
      <c r="I68" s="629"/>
    </row>
    <row r="69" spans="1:9" s="630" customFormat="1">
      <c r="A69" s="629"/>
      <c r="B69" s="629"/>
      <c r="C69" s="629"/>
      <c r="D69" s="2026"/>
      <c r="I69" s="629"/>
    </row>
    <row r="70" spans="1:9" s="630" customFormat="1">
      <c r="A70" s="629"/>
      <c r="B70" s="629"/>
      <c r="C70" s="629"/>
      <c r="D70" s="2026"/>
      <c r="I70" s="629"/>
    </row>
    <row r="71" spans="1:9" s="630" customFormat="1">
      <c r="A71" s="629"/>
      <c r="B71" s="629"/>
      <c r="C71" s="629"/>
      <c r="D71" s="2026"/>
      <c r="I71" s="629"/>
    </row>
    <row r="72" spans="1:9" s="630" customFormat="1">
      <c r="A72" s="629"/>
      <c r="B72" s="629"/>
      <c r="C72" s="629"/>
      <c r="D72" s="2026"/>
      <c r="I72" s="629"/>
    </row>
    <row r="73" spans="1:9">
      <c r="A73" s="672"/>
      <c r="B73" s="672"/>
      <c r="C73" s="672"/>
      <c r="D73" s="2031"/>
      <c r="I73" s="672"/>
    </row>
    <row r="74" spans="1:9" s="630" customFormat="1">
      <c r="A74" s="629"/>
      <c r="B74" s="629"/>
      <c r="C74" s="629"/>
      <c r="D74" s="2026"/>
      <c r="I74" s="629"/>
    </row>
    <row r="75" spans="1:9" s="630" customFormat="1">
      <c r="A75" s="629"/>
      <c r="B75" s="629"/>
      <c r="C75" s="629"/>
      <c r="D75" s="2026"/>
      <c r="I75" s="629"/>
    </row>
    <row r="76" spans="1:9" s="630" customFormat="1">
      <c r="A76" s="629"/>
      <c r="B76" s="629"/>
      <c r="C76" s="629"/>
      <c r="D76" s="2026"/>
      <c r="I76" s="629"/>
    </row>
    <row r="77" spans="1:9" s="630" customFormat="1">
      <c r="A77" s="629"/>
      <c r="B77" s="629"/>
      <c r="C77" s="629"/>
      <c r="D77" s="2026"/>
      <c r="I77" s="629"/>
    </row>
    <row r="78" spans="1:9" s="630" customFormat="1">
      <c r="A78" s="629"/>
      <c r="B78" s="629"/>
      <c r="C78" s="629"/>
      <c r="D78" s="2026"/>
      <c r="I78" s="629"/>
    </row>
    <row r="79" spans="1:9" s="630" customFormat="1">
      <c r="A79" s="629"/>
      <c r="B79" s="629"/>
      <c r="C79" s="629"/>
      <c r="D79" s="2026"/>
      <c r="I79" s="629"/>
    </row>
    <row r="80" spans="1:9" s="630" customFormat="1">
      <c r="A80" s="629"/>
      <c r="B80" s="629"/>
      <c r="C80" s="629"/>
      <c r="D80" s="2026"/>
      <c r="I80" s="629"/>
    </row>
    <row r="81" spans="1:9" s="630" customFormat="1">
      <c r="A81" s="629"/>
      <c r="B81" s="629"/>
      <c r="C81" s="629"/>
      <c r="D81" s="2026"/>
      <c r="I81" s="629"/>
    </row>
    <row r="82" spans="1:9" s="630" customFormat="1">
      <c r="A82" s="629"/>
      <c r="B82" s="629"/>
      <c r="C82" s="629"/>
      <c r="D82" s="2026"/>
      <c r="I82" s="629"/>
    </row>
    <row r="83" spans="1:9" s="630" customFormat="1">
      <c r="A83" s="629"/>
      <c r="B83" s="629"/>
      <c r="C83" s="629"/>
      <c r="D83" s="2026"/>
      <c r="I83" s="629"/>
    </row>
    <row r="84" spans="1:9" s="630" customFormat="1">
      <c r="A84" s="629"/>
      <c r="B84" s="629"/>
      <c r="C84" s="629"/>
      <c r="D84" s="2026"/>
      <c r="I84" s="629"/>
    </row>
    <row r="85" spans="1:9" s="630" customFormat="1">
      <c r="A85" s="629"/>
      <c r="B85" s="629"/>
      <c r="C85" s="629"/>
      <c r="D85" s="2026"/>
      <c r="I85" s="629"/>
    </row>
    <row r="86" spans="1:9" s="630" customFormat="1">
      <c r="A86" s="629"/>
      <c r="B86" s="629"/>
      <c r="C86" s="629"/>
      <c r="D86" s="2026"/>
      <c r="I86" s="629"/>
    </row>
    <row r="87" spans="1:9" s="630" customFormat="1">
      <c r="A87" s="629"/>
      <c r="B87" s="629"/>
      <c r="C87" s="629"/>
      <c r="D87" s="2026"/>
      <c r="I87" s="629"/>
    </row>
    <row r="88" spans="1:9" s="630" customFormat="1">
      <c r="A88" s="629"/>
      <c r="B88" s="629"/>
      <c r="C88" s="629"/>
      <c r="D88" s="2026"/>
      <c r="I88" s="629"/>
    </row>
    <row r="89" spans="1:9" s="630" customFormat="1">
      <c r="A89" s="629"/>
      <c r="B89" s="629"/>
      <c r="C89" s="629"/>
      <c r="D89" s="2026"/>
      <c r="I89" s="629"/>
    </row>
    <row r="90" spans="1:9" s="630" customFormat="1">
      <c r="A90" s="629"/>
      <c r="B90" s="629"/>
      <c r="C90" s="629"/>
      <c r="D90" s="2026"/>
      <c r="I90" s="629"/>
    </row>
    <row r="91" spans="1:9" s="630" customFormat="1">
      <c r="A91" s="629"/>
      <c r="B91" s="629"/>
      <c r="C91" s="629"/>
      <c r="D91" s="2026"/>
      <c r="I91" s="629"/>
    </row>
    <row r="92" spans="1:9" s="630" customFormat="1">
      <c r="A92" s="629"/>
      <c r="B92" s="629"/>
      <c r="C92" s="629"/>
      <c r="D92" s="2026"/>
      <c r="I92" s="629"/>
    </row>
    <row r="93" spans="1:9" s="630" customFormat="1">
      <c r="A93" s="629"/>
      <c r="B93" s="629"/>
      <c r="C93" s="629"/>
      <c r="D93" s="2026"/>
      <c r="I93" s="629"/>
    </row>
    <row r="94" spans="1:9" s="630" customFormat="1">
      <c r="A94" s="629"/>
      <c r="B94" s="629"/>
      <c r="C94" s="629"/>
      <c r="D94" s="2026"/>
      <c r="I94" s="629"/>
    </row>
    <row r="95" spans="1:9">
      <c r="A95" s="672"/>
      <c r="B95" s="672"/>
      <c r="C95" s="672"/>
      <c r="D95" s="2031"/>
      <c r="I95" s="672"/>
    </row>
    <row r="96" spans="1:9">
      <c r="A96" s="672"/>
      <c r="B96" s="672"/>
      <c r="C96" s="672"/>
      <c r="D96" s="2031"/>
      <c r="I96" s="672"/>
    </row>
    <row r="97" spans="1:9">
      <c r="A97" s="672"/>
      <c r="B97" s="672"/>
      <c r="C97" s="672"/>
      <c r="D97" s="2031"/>
      <c r="I97" s="672"/>
    </row>
    <row r="98" spans="1:9">
      <c r="A98" s="672"/>
      <c r="B98" s="672"/>
      <c r="C98" s="672"/>
      <c r="D98" s="2031"/>
      <c r="I98" s="672"/>
    </row>
    <row r="99" spans="1:9">
      <c r="A99" s="672"/>
      <c r="B99" s="672"/>
      <c r="C99" s="672"/>
      <c r="D99" s="2031"/>
      <c r="I99" s="672"/>
    </row>
    <row r="100" spans="1:9">
      <c r="A100" s="672"/>
      <c r="B100" s="672"/>
      <c r="C100" s="672"/>
      <c r="D100" s="2031"/>
      <c r="I100" s="672"/>
    </row>
    <row r="101" spans="1:9">
      <c r="A101" s="672"/>
      <c r="B101" s="672"/>
      <c r="C101" s="672"/>
      <c r="D101" s="2031"/>
      <c r="I101" s="672"/>
    </row>
    <row r="102" spans="1:9">
      <c r="A102" s="672"/>
      <c r="B102" s="672"/>
      <c r="C102" s="672"/>
      <c r="D102" s="2031"/>
      <c r="I102" s="672"/>
    </row>
    <row r="103" spans="1:9">
      <c r="A103" s="672"/>
      <c r="B103" s="672"/>
      <c r="C103" s="672"/>
      <c r="D103" s="2031"/>
      <c r="I103" s="672"/>
    </row>
    <row r="104" spans="1:9">
      <c r="A104" s="672"/>
      <c r="B104" s="672"/>
      <c r="C104" s="672"/>
      <c r="D104" s="2031"/>
      <c r="I104" s="672"/>
    </row>
    <row r="105" spans="1:9">
      <c r="A105" s="672"/>
      <c r="B105" s="672"/>
      <c r="C105" s="672"/>
      <c r="D105" s="2031"/>
      <c r="I105" s="672"/>
    </row>
    <row r="106" spans="1:9">
      <c r="A106" s="672"/>
      <c r="B106" s="672"/>
      <c r="C106" s="672"/>
      <c r="D106" s="2031"/>
      <c r="I106" s="672"/>
    </row>
    <row r="107" spans="1:9">
      <c r="A107" s="672"/>
      <c r="B107" s="672"/>
      <c r="C107" s="672"/>
      <c r="D107" s="2031"/>
      <c r="I107" s="672"/>
    </row>
    <row r="108" spans="1:9">
      <c r="A108" s="672"/>
      <c r="B108" s="672"/>
      <c r="C108" s="672"/>
      <c r="D108" s="2031"/>
      <c r="I108" s="672"/>
    </row>
    <row r="109" spans="1:9">
      <c r="A109" s="672"/>
      <c r="B109" s="672"/>
      <c r="C109" s="672"/>
      <c r="D109" s="2031"/>
      <c r="I109" s="672"/>
    </row>
    <row r="110" spans="1:9">
      <c r="A110" s="672"/>
      <c r="B110" s="672"/>
      <c r="C110" s="672"/>
      <c r="D110" s="2031"/>
      <c r="I110" s="672"/>
    </row>
    <row r="111" spans="1:9">
      <c r="A111" s="672"/>
      <c r="B111" s="672"/>
      <c r="C111" s="672"/>
      <c r="D111" s="2031"/>
      <c r="I111" s="672"/>
    </row>
    <row r="112" spans="1:9">
      <c r="A112" s="672"/>
      <c r="B112" s="672"/>
      <c r="C112" s="672"/>
      <c r="D112" s="2031"/>
      <c r="I112" s="672"/>
    </row>
    <row r="113" spans="1:9">
      <c r="A113" s="672"/>
      <c r="B113" s="672"/>
      <c r="C113" s="672"/>
      <c r="D113" s="2031"/>
      <c r="I113" s="672"/>
    </row>
    <row r="114" spans="1:9">
      <c r="A114" s="672"/>
      <c r="B114" s="672"/>
      <c r="C114" s="672"/>
      <c r="D114" s="2031"/>
      <c r="I114" s="672"/>
    </row>
    <row r="115" spans="1:9">
      <c r="A115" s="672"/>
      <c r="B115" s="672"/>
      <c r="C115" s="672"/>
      <c r="D115" s="2031"/>
      <c r="I115" s="672"/>
    </row>
    <row r="116" spans="1:9">
      <c r="A116" s="672"/>
      <c r="B116" s="672"/>
      <c r="C116" s="672"/>
      <c r="D116" s="2031"/>
      <c r="I116" s="672"/>
    </row>
    <row r="117" spans="1:9">
      <c r="A117" s="672"/>
      <c r="B117" s="672"/>
      <c r="C117" s="672"/>
      <c r="D117" s="2031"/>
      <c r="I117" s="672"/>
    </row>
    <row r="118" spans="1:9">
      <c r="A118" s="672"/>
      <c r="B118" s="672"/>
      <c r="C118" s="672"/>
      <c r="D118" s="2031"/>
      <c r="I118" s="672"/>
    </row>
  </sheetData>
  <mergeCells count="5">
    <mergeCell ref="A10:C10"/>
    <mergeCell ref="B16:C16"/>
    <mergeCell ref="A33:C33"/>
    <mergeCell ref="A57:C57"/>
    <mergeCell ref="B1:I1"/>
  </mergeCells>
  <dataValidations count="2">
    <dataValidation showInputMessage="1" showErrorMessage="1" sqref="I5"/>
    <dataValidation type="list" allowBlank="1" showInputMessage="1" showErrorMessage="1" sqref="D8">
      <formula1>"OUI,NON"</formula1>
    </dataValidation>
  </dataValidations>
  <pageMargins left="0.27559055118110237" right="0.27559055118110237" top="0" bottom="0" header="0.35433070866141736" footer="0.35433070866141736"/>
  <pageSetup paperSize="9" scale="87" fitToHeight="0" orientation="portrait" r:id="rId1"/>
  <headerFooter alignWithMargins="0">
    <oddFooter>&amp;R4/9</oddFooter>
  </headerFooter>
  <drawing r:id="rId2"/>
</worksheet>
</file>

<file path=xl/worksheets/sheet35.xml><?xml version="1.0" encoding="utf-8"?>
<worksheet xmlns="http://schemas.openxmlformats.org/spreadsheetml/2006/main" xmlns:r="http://schemas.openxmlformats.org/officeDocument/2006/relationships">
  <sheetPr codeName="Feuil6">
    <tabColor rgb="FF00B050"/>
    <pageSetUpPr fitToPage="1"/>
  </sheetPr>
  <dimension ref="A1:BR85"/>
  <sheetViews>
    <sheetView workbookViewId="0">
      <selection activeCell="E51" sqref="E51"/>
    </sheetView>
  </sheetViews>
  <sheetFormatPr baseColWidth="10" defaultColWidth="10.85546875" defaultRowHeight="12.75"/>
  <cols>
    <col min="1" max="1" width="3" style="676" customWidth="1"/>
    <col min="2" max="2" width="41.28515625" style="676" customWidth="1"/>
    <col min="3" max="3" width="3.7109375" style="676" customWidth="1"/>
    <col min="4" max="4" width="9.7109375" style="676" customWidth="1"/>
    <col min="5" max="5" width="5.140625" style="676" customWidth="1"/>
    <col min="6" max="6" width="10.85546875" style="2063" customWidth="1"/>
    <col min="7" max="7" width="10.42578125" style="676" customWidth="1"/>
    <col min="8" max="8" width="5.140625" style="676" customWidth="1"/>
    <col min="9" max="9" width="10.85546875" style="2063" customWidth="1"/>
    <col min="10" max="10" width="9.7109375" style="676" customWidth="1"/>
    <col min="11" max="11" width="5.140625" style="676" customWidth="1"/>
    <col min="12" max="12" width="12.28515625" style="2063" customWidth="1"/>
    <col min="13" max="13" width="26.7109375" style="707" customWidth="1"/>
    <col min="14" max="15" width="3" style="676" customWidth="1"/>
    <col min="16" max="16" width="41.28515625" style="676" customWidth="1"/>
    <col min="17" max="17" width="3.7109375" style="676" customWidth="1"/>
    <col min="18" max="18" width="9.7109375" style="676" customWidth="1"/>
    <col min="19" max="19" width="5.140625" style="676" customWidth="1"/>
    <col min="20" max="20" width="10.85546875" style="2063" customWidth="1"/>
    <col min="21" max="21" width="10.42578125" style="676" customWidth="1"/>
    <col min="22" max="22" width="5.140625" style="676" customWidth="1"/>
    <col min="23" max="23" width="10.85546875" style="2063" customWidth="1"/>
    <col min="24" max="24" width="9.7109375" style="676" customWidth="1"/>
    <col min="25" max="25" width="5.140625" style="676" customWidth="1"/>
    <col min="26" max="26" width="12.28515625" style="2063" customWidth="1"/>
    <col min="27" max="27" width="26.7109375" style="707" customWidth="1"/>
    <col min="28" max="29" width="3" style="676" customWidth="1"/>
    <col min="30" max="30" width="41.28515625" style="676" customWidth="1"/>
    <col min="31" max="31" width="3.7109375" style="676" customWidth="1"/>
    <col min="32" max="32" width="9.7109375" style="676" customWidth="1"/>
    <col min="33" max="33" width="5.140625" style="676" customWidth="1"/>
    <col min="34" max="34" width="10.85546875" style="2063" customWidth="1"/>
    <col min="35" max="35" width="10.42578125" style="676" customWidth="1"/>
    <col min="36" max="36" width="5.140625" style="676" customWidth="1"/>
    <col min="37" max="37" width="10.85546875" style="2063" customWidth="1"/>
    <col min="38" max="38" width="9.7109375" style="676" customWidth="1"/>
    <col min="39" max="39" width="5.140625" style="676" customWidth="1"/>
    <col min="40" max="40" width="12.28515625" style="2063" customWidth="1"/>
    <col min="41" max="41" width="26.7109375" style="707" customWidth="1"/>
    <col min="42" max="43" width="3" style="676" customWidth="1"/>
    <col min="44" max="44" width="41.28515625" style="676" customWidth="1"/>
    <col min="45" max="45" width="3.7109375" style="676" customWidth="1"/>
    <col min="46" max="46" width="9.7109375" style="676" customWidth="1"/>
    <col min="47" max="47" width="5.140625" style="676" customWidth="1"/>
    <col min="48" max="48" width="10.85546875" style="2063" customWidth="1"/>
    <col min="49" max="49" width="10.42578125" style="676" customWidth="1"/>
    <col min="50" max="50" width="5.140625" style="676" customWidth="1"/>
    <col min="51" max="51" width="10.85546875" style="2063" customWidth="1"/>
    <col min="52" max="52" width="9.7109375" style="676" customWidth="1"/>
    <col min="53" max="53" width="5.140625" style="676" customWidth="1"/>
    <col min="54" max="54" width="12.28515625" style="2063" customWidth="1"/>
    <col min="55" max="55" width="26.7109375" style="707" customWidth="1"/>
    <col min="56" max="57" width="3" style="676" customWidth="1"/>
    <col min="58" max="58" width="41.28515625" style="676" customWidth="1"/>
    <col min="59" max="59" width="3.7109375" style="676" customWidth="1"/>
    <col min="60" max="60" width="9.7109375" style="676" customWidth="1"/>
    <col min="61" max="61" width="5.140625" style="676" customWidth="1"/>
    <col min="62" max="62" width="10.85546875" style="2063" customWidth="1"/>
    <col min="63" max="63" width="10.42578125" style="676" customWidth="1"/>
    <col min="64" max="64" width="5.140625" style="676" customWidth="1"/>
    <col min="65" max="65" width="10.85546875" style="2063" customWidth="1"/>
    <col min="66" max="66" width="9.7109375" style="676" customWidth="1"/>
    <col min="67" max="67" width="5.140625" style="676" customWidth="1"/>
    <col min="68" max="68" width="12.28515625" style="2063" customWidth="1"/>
    <col min="69" max="69" width="26.7109375" style="707" customWidth="1"/>
    <col min="70" max="70" width="3" style="676" customWidth="1"/>
    <col min="71" max="16384" width="10.85546875" style="676"/>
  </cols>
  <sheetData>
    <row r="1" spans="1:70" s="674" customFormat="1" ht="18.75" thickBot="1">
      <c r="A1" s="3132" t="s">
        <v>338</v>
      </c>
      <c r="B1" s="3133"/>
      <c r="C1" s="1944"/>
      <c r="D1" s="3134" t="str">
        <f>+'Synthèse projet'!C3</f>
        <v>xxxxxx</v>
      </c>
      <c r="E1" s="3135"/>
      <c r="F1" s="3135"/>
      <c r="G1" s="3135"/>
      <c r="H1" s="3135"/>
      <c r="I1" s="3135"/>
      <c r="J1" s="3135"/>
      <c r="K1" s="3135"/>
      <c r="L1" s="3135"/>
      <c r="M1" s="673" t="s">
        <v>339</v>
      </c>
      <c r="O1" s="1968"/>
      <c r="P1" s="1968"/>
      <c r="Q1" s="1968"/>
      <c r="R1" s="1972"/>
      <c r="S1" s="1972"/>
      <c r="T1" s="2080"/>
      <c r="U1" s="1972"/>
      <c r="V1" s="1972"/>
      <c r="W1" s="2080"/>
      <c r="X1" s="1972"/>
      <c r="Y1" s="1972"/>
      <c r="Z1" s="2080"/>
      <c r="AA1" s="1990"/>
      <c r="AB1" s="2017"/>
      <c r="AC1" s="1968"/>
      <c r="AD1" s="1968"/>
      <c r="AE1" s="1968"/>
      <c r="AF1" s="1972"/>
      <c r="AG1" s="1972"/>
      <c r="AH1" s="2080"/>
      <c r="AI1" s="1972"/>
      <c r="AJ1" s="1972"/>
      <c r="AK1" s="2080"/>
      <c r="AL1" s="1972"/>
      <c r="AM1" s="1972"/>
      <c r="AN1" s="2080"/>
      <c r="AO1" s="1990"/>
      <c r="AP1" s="2017"/>
      <c r="AQ1" s="1968"/>
      <c r="AR1" s="1968"/>
      <c r="AS1" s="1968"/>
      <c r="AT1" s="1972"/>
      <c r="AU1" s="1972"/>
      <c r="AV1" s="2080"/>
      <c r="AW1" s="1972"/>
      <c r="AX1" s="1972"/>
      <c r="AY1" s="2080"/>
      <c r="AZ1" s="1972"/>
      <c r="BA1" s="1972"/>
      <c r="BB1" s="2080"/>
      <c r="BC1" s="1990"/>
      <c r="BD1" s="2017"/>
      <c r="BE1" s="1968"/>
      <c r="BF1" s="1968"/>
      <c r="BG1" s="1968"/>
      <c r="BH1" s="1972"/>
      <c r="BI1" s="1972"/>
      <c r="BJ1" s="2080"/>
      <c r="BK1" s="1972"/>
      <c r="BL1" s="1972"/>
      <c r="BM1" s="2080"/>
      <c r="BN1" s="1972"/>
      <c r="BO1" s="1972"/>
      <c r="BP1" s="2080"/>
      <c r="BQ1" s="1990"/>
      <c r="BR1" s="2017"/>
    </row>
    <row r="2" spans="1:70" ht="20.100000000000001" customHeight="1">
      <c r="A2" s="3136" t="s">
        <v>340</v>
      </c>
      <c r="B2" s="675" t="s">
        <v>341</v>
      </c>
      <c r="C2" s="1945"/>
      <c r="D2" s="3138" t="str">
        <f>+'Synthèse projet'!I6</f>
        <v>Argentine</v>
      </c>
      <c r="E2" s="3139"/>
      <c r="F2" s="3139"/>
      <c r="G2" s="3139"/>
      <c r="H2" s="3139"/>
      <c r="I2" s="3139"/>
      <c r="J2" s="3139"/>
      <c r="K2" s="3139"/>
      <c r="L2" s="3139"/>
      <c r="M2" s="3140"/>
      <c r="O2" s="2019"/>
      <c r="P2" s="2020"/>
      <c r="Q2" s="2020"/>
      <c r="R2" s="1990"/>
      <c r="S2" s="1990"/>
      <c r="T2" s="2081"/>
      <c r="U2" s="1990"/>
      <c r="V2" s="1990"/>
      <c r="W2" s="2081"/>
      <c r="X2" s="1990"/>
      <c r="Y2" s="1990"/>
      <c r="Z2" s="2081"/>
      <c r="AA2" s="2021"/>
      <c r="AB2" s="2018"/>
      <c r="AC2" s="2019"/>
      <c r="AD2" s="2020"/>
      <c r="AE2" s="2020"/>
      <c r="AF2" s="1990"/>
      <c r="AG2" s="1990"/>
      <c r="AH2" s="2081"/>
      <c r="AI2" s="1990"/>
      <c r="AJ2" s="1990"/>
      <c r="AK2" s="2081"/>
      <c r="AL2" s="1990"/>
      <c r="AM2" s="1990"/>
      <c r="AN2" s="2081"/>
      <c r="AO2" s="2021"/>
      <c r="AP2" s="2018"/>
      <c r="AQ2" s="2019"/>
      <c r="AR2" s="2020"/>
      <c r="AS2" s="2020"/>
      <c r="AT2" s="1990"/>
      <c r="AU2" s="1990"/>
      <c r="AV2" s="2081"/>
      <c r="AW2" s="1990"/>
      <c r="AX2" s="1990"/>
      <c r="AY2" s="2081"/>
      <c r="AZ2" s="1990"/>
      <c r="BA2" s="1990"/>
      <c r="BB2" s="2081"/>
      <c r="BC2" s="2021"/>
      <c r="BD2" s="2018"/>
      <c r="BE2" s="2019"/>
      <c r="BF2" s="2020"/>
      <c r="BG2" s="2020"/>
      <c r="BH2" s="1990"/>
      <c r="BI2" s="1990"/>
      <c r="BJ2" s="2081"/>
      <c r="BK2" s="1990"/>
      <c r="BL2" s="1990"/>
      <c r="BM2" s="2081"/>
      <c r="BN2" s="1990"/>
      <c r="BO2" s="1990"/>
      <c r="BP2" s="2081"/>
      <c r="BQ2" s="2021"/>
      <c r="BR2" s="2018"/>
    </row>
    <row r="3" spans="1:70" ht="20.100000000000001" customHeight="1">
      <c r="A3" s="3137"/>
      <c r="B3" s="677" t="s">
        <v>342</v>
      </c>
      <c r="C3" s="1945"/>
      <c r="D3" s="3142"/>
      <c r="E3" s="3142"/>
      <c r="F3" s="3142"/>
      <c r="G3" s="3142"/>
      <c r="H3" s="3142"/>
      <c r="I3" s="3142"/>
      <c r="J3" s="3142"/>
      <c r="K3" s="3142"/>
      <c r="L3" s="3142"/>
      <c r="M3" s="3141"/>
      <c r="O3" s="2019"/>
      <c r="P3" s="2020"/>
      <c r="Q3" s="2020"/>
      <c r="R3" s="2022"/>
      <c r="S3" s="2022"/>
      <c r="T3" s="2082"/>
      <c r="U3" s="2022"/>
      <c r="V3" s="2022"/>
      <c r="W3" s="2082"/>
      <c r="X3" s="2022"/>
      <c r="Y3" s="2022"/>
      <c r="Z3" s="2082"/>
      <c r="AA3" s="2021"/>
      <c r="AB3" s="2018"/>
      <c r="AC3" s="2019"/>
      <c r="AD3" s="2020"/>
      <c r="AE3" s="2020"/>
      <c r="AF3" s="2022"/>
      <c r="AG3" s="2022"/>
      <c r="AH3" s="2082"/>
      <c r="AI3" s="2022"/>
      <c r="AJ3" s="2022"/>
      <c r="AK3" s="2082"/>
      <c r="AL3" s="2022"/>
      <c r="AM3" s="2022"/>
      <c r="AN3" s="2082"/>
      <c r="AO3" s="2021"/>
      <c r="AP3" s="2018"/>
      <c r="AQ3" s="2019"/>
      <c r="AR3" s="2020"/>
      <c r="AS3" s="2020"/>
      <c r="AT3" s="2022"/>
      <c r="AU3" s="2022"/>
      <c r="AV3" s="2082"/>
      <c r="AW3" s="2022"/>
      <c r="AX3" s="2022"/>
      <c r="AY3" s="2082"/>
      <c r="AZ3" s="2022"/>
      <c r="BA3" s="2022"/>
      <c r="BB3" s="2082"/>
      <c r="BC3" s="2021"/>
      <c r="BD3" s="2018"/>
      <c r="BE3" s="2019"/>
      <c r="BF3" s="2020"/>
      <c r="BG3" s="2020"/>
      <c r="BH3" s="2022"/>
      <c r="BI3" s="2022"/>
      <c r="BJ3" s="2082"/>
      <c r="BK3" s="2022"/>
      <c r="BL3" s="2022"/>
      <c r="BM3" s="2082"/>
      <c r="BN3" s="2022"/>
      <c r="BO3" s="2022"/>
      <c r="BP3" s="2082"/>
      <c r="BQ3" s="2021"/>
      <c r="BR3" s="2018"/>
    </row>
    <row r="4" spans="1:70" ht="20.100000000000001" customHeight="1">
      <c r="A4" s="3137"/>
      <c r="B4" s="678"/>
      <c r="C4" s="1946"/>
      <c r="D4" s="3142"/>
      <c r="E4" s="3142"/>
      <c r="F4" s="3142"/>
      <c r="G4" s="3142"/>
      <c r="H4" s="3142"/>
      <c r="I4" s="3142"/>
      <c r="J4" s="3142"/>
      <c r="K4" s="3142"/>
      <c r="L4" s="3142"/>
      <c r="M4" s="3141"/>
      <c r="O4" s="2019"/>
      <c r="P4" s="2023"/>
      <c r="Q4" s="2023"/>
      <c r="R4" s="2022"/>
      <c r="S4" s="2022"/>
      <c r="T4" s="2082"/>
      <c r="U4" s="2022"/>
      <c r="V4" s="2022"/>
      <c r="W4" s="2082"/>
      <c r="X4" s="2022"/>
      <c r="Y4" s="2022"/>
      <c r="Z4" s="2082"/>
      <c r="AA4" s="2021"/>
      <c r="AB4" s="2018"/>
      <c r="AC4" s="2019"/>
      <c r="AD4" s="2023"/>
      <c r="AE4" s="2023"/>
      <c r="AF4" s="2022"/>
      <c r="AG4" s="2022"/>
      <c r="AH4" s="2082"/>
      <c r="AI4" s="2022"/>
      <c r="AJ4" s="2022"/>
      <c r="AK4" s="2082"/>
      <c r="AL4" s="2022"/>
      <c r="AM4" s="2022"/>
      <c r="AN4" s="2082"/>
      <c r="AO4" s="2021"/>
      <c r="AP4" s="2018"/>
      <c r="AQ4" s="2019"/>
      <c r="AR4" s="2023"/>
      <c r="AS4" s="2023"/>
      <c r="AT4" s="2022"/>
      <c r="AU4" s="2022"/>
      <c r="AV4" s="2082"/>
      <c r="AW4" s="2022"/>
      <c r="AX4" s="2022"/>
      <c r="AY4" s="2082"/>
      <c r="AZ4" s="2022"/>
      <c r="BA4" s="2022"/>
      <c r="BB4" s="2082"/>
      <c r="BC4" s="2021"/>
      <c r="BD4" s="2018"/>
      <c r="BE4" s="2019"/>
      <c r="BF4" s="2023"/>
      <c r="BG4" s="2023"/>
      <c r="BH4" s="2022"/>
      <c r="BI4" s="2022"/>
      <c r="BJ4" s="2082"/>
      <c r="BK4" s="2022"/>
      <c r="BL4" s="2022"/>
      <c r="BM4" s="2082"/>
      <c r="BN4" s="2022"/>
      <c r="BO4" s="2022"/>
      <c r="BP4" s="2082"/>
      <c r="BQ4" s="2021"/>
      <c r="BR4" s="2018"/>
    </row>
    <row r="5" spans="1:70" ht="20.100000000000001" customHeight="1" thickBot="1">
      <c r="A5" s="3137"/>
      <c r="B5" s="678"/>
      <c r="C5" s="1946"/>
      <c r="D5" s="3143"/>
      <c r="E5" s="3143"/>
      <c r="F5" s="3143"/>
      <c r="G5" s="3143"/>
      <c r="H5" s="3143"/>
      <c r="I5" s="3143"/>
      <c r="J5" s="3143"/>
      <c r="K5" s="3143"/>
      <c r="L5" s="3143"/>
      <c r="M5" s="3141"/>
      <c r="O5" s="2019"/>
      <c r="P5" s="2023"/>
      <c r="Q5" s="2023"/>
      <c r="R5" s="2022"/>
      <c r="S5" s="2022"/>
      <c r="T5" s="2082"/>
      <c r="U5" s="2022"/>
      <c r="V5" s="2022"/>
      <c r="W5" s="2082"/>
      <c r="X5" s="2022"/>
      <c r="Y5" s="2022"/>
      <c r="Z5" s="2082"/>
      <c r="AA5" s="2021"/>
      <c r="AB5" s="2018"/>
      <c r="AC5" s="2019"/>
      <c r="AD5" s="2023"/>
      <c r="AE5" s="2023"/>
      <c r="AF5" s="2022"/>
      <c r="AG5" s="2022"/>
      <c r="AH5" s="2082"/>
      <c r="AI5" s="2022"/>
      <c r="AJ5" s="2022"/>
      <c r="AK5" s="2082"/>
      <c r="AL5" s="2022"/>
      <c r="AM5" s="2022"/>
      <c r="AN5" s="2082"/>
      <c r="AO5" s="2021"/>
      <c r="AP5" s="2018"/>
      <c r="AQ5" s="2019"/>
      <c r="AR5" s="2023"/>
      <c r="AS5" s="2023"/>
      <c r="AT5" s="2022"/>
      <c r="AU5" s="2022"/>
      <c r="AV5" s="2082"/>
      <c r="AW5" s="2022"/>
      <c r="AX5" s="2022"/>
      <c r="AY5" s="2082"/>
      <c r="AZ5" s="2022"/>
      <c r="BA5" s="2022"/>
      <c r="BB5" s="2082"/>
      <c r="BC5" s="2021"/>
      <c r="BD5" s="2018"/>
      <c r="BE5" s="2019"/>
      <c r="BF5" s="2023"/>
      <c r="BG5" s="2023"/>
      <c r="BH5" s="2022"/>
      <c r="BI5" s="2022"/>
      <c r="BJ5" s="2082"/>
      <c r="BK5" s="2022"/>
      <c r="BL5" s="2022"/>
      <c r="BM5" s="2082"/>
      <c r="BN5" s="2022"/>
      <c r="BO5" s="2022"/>
      <c r="BP5" s="2082"/>
      <c r="BQ5" s="2021"/>
      <c r="BR5" s="2018"/>
    </row>
    <row r="6" spans="1:70" ht="16.5" thickBot="1">
      <c r="A6" s="3108"/>
      <c r="B6" s="1969"/>
      <c r="C6" s="1970"/>
      <c r="D6" s="3110">
        <f>'Cpte exploitation 1+2+3'!D13</f>
        <v>2014</v>
      </c>
      <c r="E6" s="3110"/>
      <c r="F6" s="3110"/>
      <c r="G6" s="3110"/>
      <c r="H6" s="3110"/>
      <c r="I6" s="3110"/>
      <c r="J6" s="3110"/>
      <c r="K6" s="3110"/>
      <c r="L6" s="3110"/>
      <c r="M6" s="1971"/>
      <c r="N6" s="679"/>
      <c r="O6" s="3107"/>
      <c r="P6" s="1969"/>
      <c r="Q6" s="1970"/>
      <c r="R6" s="3110">
        <f>D6+1</f>
        <v>2015</v>
      </c>
      <c r="S6" s="3110"/>
      <c r="T6" s="3110"/>
      <c r="U6" s="3110"/>
      <c r="V6" s="3110"/>
      <c r="W6" s="3110"/>
      <c r="X6" s="3110"/>
      <c r="Y6" s="3110"/>
      <c r="Z6" s="3111"/>
      <c r="AA6" s="2016"/>
      <c r="AB6" s="679"/>
      <c r="AC6" s="3107"/>
      <c r="AD6" s="1969"/>
      <c r="AE6" s="1970"/>
      <c r="AF6" s="3110">
        <f>R6+1</f>
        <v>2016</v>
      </c>
      <c r="AG6" s="3110"/>
      <c r="AH6" s="3110"/>
      <c r="AI6" s="3110"/>
      <c r="AJ6" s="3110"/>
      <c r="AK6" s="3110"/>
      <c r="AL6" s="3110"/>
      <c r="AM6" s="3110"/>
      <c r="AN6" s="3111"/>
      <c r="AO6" s="2016"/>
      <c r="AP6" s="679"/>
      <c r="AQ6" s="3107"/>
      <c r="AR6" s="1969"/>
      <c r="AS6" s="1970"/>
      <c r="AT6" s="3110">
        <f>AF6+1</f>
        <v>2017</v>
      </c>
      <c r="AU6" s="3110"/>
      <c r="AV6" s="3110"/>
      <c r="AW6" s="3110"/>
      <c r="AX6" s="3110"/>
      <c r="AY6" s="3110"/>
      <c r="AZ6" s="3110"/>
      <c r="BA6" s="3110"/>
      <c r="BB6" s="3111"/>
      <c r="BC6" s="2016"/>
      <c r="BD6" s="679"/>
      <c r="BE6" s="3107"/>
      <c r="BF6" s="1969"/>
      <c r="BG6" s="1970"/>
      <c r="BH6" s="3110">
        <f>AT6+1</f>
        <v>2018</v>
      </c>
      <c r="BI6" s="3110"/>
      <c r="BJ6" s="3110"/>
      <c r="BK6" s="3110"/>
      <c r="BL6" s="3110"/>
      <c r="BM6" s="3110"/>
      <c r="BN6" s="3110"/>
      <c r="BO6" s="3110"/>
      <c r="BP6" s="3111"/>
      <c r="BQ6" s="2016"/>
      <c r="BR6" s="679"/>
    </row>
    <row r="7" spans="1:70" ht="16.5" customHeight="1">
      <c r="A7" s="3108"/>
      <c r="B7" s="3144" t="s">
        <v>1088</v>
      </c>
      <c r="C7" s="1973"/>
      <c r="D7" s="3114" t="s">
        <v>1077</v>
      </c>
      <c r="E7" s="3115"/>
      <c r="F7" s="3116"/>
      <c r="G7" s="3114" t="s">
        <v>343</v>
      </c>
      <c r="H7" s="3115"/>
      <c r="I7" s="3116"/>
      <c r="J7" s="3086" t="s">
        <v>1081</v>
      </c>
      <c r="K7" s="3124"/>
      <c r="L7" s="3146"/>
      <c r="M7" s="3120" t="s">
        <v>344</v>
      </c>
      <c r="O7" s="3108"/>
      <c r="P7" s="3112"/>
      <c r="Q7" s="1973"/>
      <c r="R7" s="3114" t="s">
        <v>1077</v>
      </c>
      <c r="S7" s="3115"/>
      <c r="T7" s="3116"/>
      <c r="U7" s="3126" t="s">
        <v>343</v>
      </c>
      <c r="V7" s="3127"/>
      <c r="W7" s="3128"/>
      <c r="X7" s="3086" t="s">
        <v>1081</v>
      </c>
      <c r="Y7" s="3124"/>
      <c r="Z7" s="3125"/>
      <c r="AA7" s="3120" t="s">
        <v>344</v>
      </c>
      <c r="AC7" s="3108"/>
      <c r="AD7" s="3112"/>
      <c r="AE7" s="1973"/>
      <c r="AF7" s="3114" t="s">
        <v>1077</v>
      </c>
      <c r="AG7" s="3115"/>
      <c r="AH7" s="3116"/>
      <c r="AI7" s="3114" t="s">
        <v>343</v>
      </c>
      <c r="AJ7" s="3115"/>
      <c r="AK7" s="3116"/>
      <c r="AL7" s="3086" t="s">
        <v>1081</v>
      </c>
      <c r="AM7" s="3124"/>
      <c r="AN7" s="3125"/>
      <c r="AO7" s="3120" t="s">
        <v>344</v>
      </c>
      <c r="AQ7" s="3108"/>
      <c r="AR7" s="3112"/>
      <c r="AS7" s="1973"/>
      <c r="AT7" s="3114" t="s">
        <v>1077</v>
      </c>
      <c r="AU7" s="3115"/>
      <c r="AV7" s="3116"/>
      <c r="AW7" s="3114" t="s">
        <v>343</v>
      </c>
      <c r="AX7" s="3115"/>
      <c r="AY7" s="3116"/>
      <c r="AZ7" s="3086" t="s">
        <v>1081</v>
      </c>
      <c r="BA7" s="3124"/>
      <c r="BB7" s="3125"/>
      <c r="BC7" s="3120" t="s">
        <v>344</v>
      </c>
      <c r="BE7" s="3108"/>
      <c r="BF7" s="3112"/>
      <c r="BG7" s="1973"/>
      <c r="BH7" s="3114" t="s">
        <v>1077</v>
      </c>
      <c r="BI7" s="3115"/>
      <c r="BJ7" s="3116"/>
      <c r="BK7" s="3114" t="s">
        <v>343</v>
      </c>
      <c r="BL7" s="3115"/>
      <c r="BM7" s="3116"/>
      <c r="BN7" s="3117" t="s">
        <v>1081</v>
      </c>
      <c r="BO7" s="3118"/>
      <c r="BP7" s="3119"/>
      <c r="BQ7" s="3120" t="s">
        <v>344</v>
      </c>
    </row>
    <row r="8" spans="1:70" ht="39" customHeight="1" thickBot="1">
      <c r="A8" s="3108"/>
      <c r="B8" s="3145"/>
      <c r="C8" s="1974"/>
      <c r="D8" s="680" t="s">
        <v>345</v>
      </c>
      <c r="E8" s="681" t="s">
        <v>346</v>
      </c>
      <c r="F8" s="2049" t="s">
        <v>347</v>
      </c>
      <c r="G8" s="680" t="s">
        <v>345</v>
      </c>
      <c r="H8" s="681" t="s">
        <v>346</v>
      </c>
      <c r="I8" s="2049" t="s">
        <v>347</v>
      </c>
      <c r="J8" s="680" t="s">
        <v>345</v>
      </c>
      <c r="K8" s="681" t="s">
        <v>346</v>
      </c>
      <c r="L8" s="2049" t="s">
        <v>347</v>
      </c>
      <c r="M8" s="3121"/>
      <c r="O8" s="3109"/>
      <c r="P8" s="3113"/>
      <c r="Q8" s="1974"/>
      <c r="R8" s="680" t="s">
        <v>345</v>
      </c>
      <c r="S8" s="681" t="s">
        <v>346</v>
      </c>
      <c r="T8" s="2049" t="s">
        <v>347</v>
      </c>
      <c r="U8" s="680" t="s">
        <v>345</v>
      </c>
      <c r="V8" s="681" t="s">
        <v>346</v>
      </c>
      <c r="W8" s="2049" t="s">
        <v>347</v>
      </c>
      <c r="X8" s="680" t="s">
        <v>345</v>
      </c>
      <c r="Y8" s="681" t="s">
        <v>346</v>
      </c>
      <c r="Z8" s="2049" t="s">
        <v>347</v>
      </c>
      <c r="AA8" s="3121"/>
      <c r="AC8" s="3109"/>
      <c r="AD8" s="3113"/>
      <c r="AE8" s="1974"/>
      <c r="AF8" s="680" t="s">
        <v>345</v>
      </c>
      <c r="AG8" s="681" t="s">
        <v>346</v>
      </c>
      <c r="AH8" s="2049" t="s">
        <v>347</v>
      </c>
      <c r="AI8" s="680" t="s">
        <v>345</v>
      </c>
      <c r="AJ8" s="681" t="s">
        <v>346</v>
      </c>
      <c r="AK8" s="2049" t="s">
        <v>347</v>
      </c>
      <c r="AL8" s="680" t="s">
        <v>345</v>
      </c>
      <c r="AM8" s="681" t="s">
        <v>346</v>
      </c>
      <c r="AN8" s="2049" t="s">
        <v>347</v>
      </c>
      <c r="AO8" s="3121"/>
      <c r="AQ8" s="3109"/>
      <c r="AR8" s="3113"/>
      <c r="AS8" s="1974"/>
      <c r="AT8" s="680" t="s">
        <v>345</v>
      </c>
      <c r="AU8" s="681" t="s">
        <v>346</v>
      </c>
      <c r="AV8" s="2049" t="s">
        <v>347</v>
      </c>
      <c r="AW8" s="680" t="s">
        <v>345</v>
      </c>
      <c r="AX8" s="681" t="s">
        <v>346</v>
      </c>
      <c r="AY8" s="2049" t="s">
        <v>347</v>
      </c>
      <c r="AZ8" s="680" t="s">
        <v>345</v>
      </c>
      <c r="BA8" s="681" t="s">
        <v>346</v>
      </c>
      <c r="BB8" s="2049" t="s">
        <v>347</v>
      </c>
      <c r="BC8" s="3121"/>
      <c r="BE8" s="3109"/>
      <c r="BF8" s="3113"/>
      <c r="BG8" s="1974"/>
      <c r="BH8" s="680" t="s">
        <v>345</v>
      </c>
      <c r="BI8" s="681" t="s">
        <v>346</v>
      </c>
      <c r="BJ8" s="2049" t="s">
        <v>347</v>
      </c>
      <c r="BK8" s="680" t="s">
        <v>345</v>
      </c>
      <c r="BL8" s="681" t="s">
        <v>346</v>
      </c>
      <c r="BM8" s="2049" t="s">
        <v>347</v>
      </c>
      <c r="BN8" s="680" t="s">
        <v>345</v>
      </c>
      <c r="BO8" s="681" t="s">
        <v>346</v>
      </c>
      <c r="BP8" s="2049" t="s">
        <v>347</v>
      </c>
      <c r="BQ8" s="3121"/>
    </row>
    <row r="9" spans="1:70" s="683" customFormat="1" ht="22.5" customHeight="1">
      <c r="A9" s="3090" t="s">
        <v>1068</v>
      </c>
      <c r="B9" s="2005" t="s">
        <v>1072</v>
      </c>
      <c r="C9" s="1947" t="s">
        <v>1076</v>
      </c>
      <c r="D9" s="1960" t="s">
        <v>1071</v>
      </c>
      <c r="E9" s="1991"/>
      <c r="F9" s="2050">
        <f>F10+F14+F17+F27+F30+F33</f>
        <v>0</v>
      </c>
      <c r="G9" s="1960" t="s">
        <v>1066</v>
      </c>
      <c r="H9" s="1916"/>
      <c r="I9" s="2050">
        <f>I10+I14+I17+I27+I30+I33</f>
        <v>0</v>
      </c>
      <c r="J9" s="1960" t="s">
        <v>1067</v>
      </c>
      <c r="K9" s="1916"/>
      <c r="L9" s="2050">
        <f>L10+L14+L17+L27+L30+L33</f>
        <v>0</v>
      </c>
      <c r="M9" s="682"/>
      <c r="O9" s="3090" t="s">
        <v>1068</v>
      </c>
      <c r="P9" s="2005" t="s">
        <v>1072</v>
      </c>
      <c r="Q9" s="1947" t="s">
        <v>1076</v>
      </c>
      <c r="R9" s="1960" t="s">
        <v>1071</v>
      </c>
      <c r="S9" s="1991"/>
      <c r="T9" s="2050">
        <f>T10+T14+T17+T27+T30+T33</f>
        <v>0</v>
      </c>
      <c r="U9" s="1960" t="s">
        <v>1066</v>
      </c>
      <c r="V9" s="1916"/>
      <c r="W9" s="2050">
        <f>W10+W14+W17+W27+W30+W33</f>
        <v>0</v>
      </c>
      <c r="X9" s="1960" t="s">
        <v>1067</v>
      </c>
      <c r="Y9" s="1916"/>
      <c r="Z9" s="2050">
        <f>Z10+Z14+Z17+Z27+Z30+Z33</f>
        <v>0</v>
      </c>
      <c r="AA9" s="682"/>
      <c r="AC9" s="3090" t="s">
        <v>1068</v>
      </c>
      <c r="AD9" s="2005" t="s">
        <v>1072</v>
      </c>
      <c r="AE9" s="1947" t="s">
        <v>1076</v>
      </c>
      <c r="AF9" s="1960" t="s">
        <v>1071</v>
      </c>
      <c r="AG9" s="1991"/>
      <c r="AH9" s="2050">
        <f>AH10+AH14+AH17+AH27+AH30+AH33</f>
        <v>0</v>
      </c>
      <c r="AI9" s="1960" t="s">
        <v>1066</v>
      </c>
      <c r="AJ9" s="1916"/>
      <c r="AK9" s="2050">
        <f>AK10+AK14+AK17+AK27+AK30+AK33</f>
        <v>0</v>
      </c>
      <c r="AL9" s="1960" t="s">
        <v>1067</v>
      </c>
      <c r="AM9" s="1916"/>
      <c r="AN9" s="2050">
        <f>AN10+AN14+AN17+AN27+AN30+AN33</f>
        <v>0</v>
      </c>
      <c r="AO9" s="682"/>
      <c r="AQ9" s="3090" t="s">
        <v>1068</v>
      </c>
      <c r="AR9" s="2005" t="s">
        <v>1072</v>
      </c>
      <c r="AS9" s="1947" t="s">
        <v>1076</v>
      </c>
      <c r="AT9" s="1960" t="s">
        <v>1071</v>
      </c>
      <c r="AU9" s="1991"/>
      <c r="AV9" s="2050">
        <f>AV10+AV14+AV17+AV27+AV30+AV33</f>
        <v>0</v>
      </c>
      <c r="AW9" s="1960" t="s">
        <v>1066</v>
      </c>
      <c r="AX9" s="1916"/>
      <c r="AY9" s="2050">
        <f>AY10+AY14+AY17+AY27+AY30+AY33</f>
        <v>0</v>
      </c>
      <c r="AZ9" s="1960" t="s">
        <v>1067</v>
      </c>
      <c r="BA9" s="1916"/>
      <c r="BB9" s="2050">
        <f>BB10+BB14+BB17+BB27+BB30+BB33</f>
        <v>0</v>
      </c>
      <c r="BC9" s="682"/>
      <c r="BE9" s="3090" t="s">
        <v>1068</v>
      </c>
      <c r="BF9" s="2005" t="s">
        <v>1072</v>
      </c>
      <c r="BG9" s="1947" t="s">
        <v>1076</v>
      </c>
      <c r="BH9" s="1960" t="s">
        <v>1071</v>
      </c>
      <c r="BI9" s="1991"/>
      <c r="BJ9" s="2050">
        <f>BJ10+BJ14+BJ17+BJ27+BJ30+BJ33</f>
        <v>0</v>
      </c>
      <c r="BK9" s="1960" t="s">
        <v>1066</v>
      </c>
      <c r="BL9" s="1916"/>
      <c r="BM9" s="2050">
        <f>BM10+BM14+BM17+BM27+BM30+BM33</f>
        <v>0</v>
      </c>
      <c r="BN9" s="1960" t="s">
        <v>1067</v>
      </c>
      <c r="BO9" s="1916"/>
      <c r="BP9" s="2050">
        <f>BP10+BP14+BP17+BP27+BP30+BP33</f>
        <v>0</v>
      </c>
      <c r="BQ9" s="682"/>
    </row>
    <row r="10" spans="1:70" s="1938" customFormat="1" ht="12.75" customHeight="1">
      <c r="A10" s="3122"/>
      <c r="B10" s="1934" t="s">
        <v>348</v>
      </c>
      <c r="C10" s="1936"/>
      <c r="D10" s="1939"/>
      <c r="E10" s="1935"/>
      <c r="F10" s="2051">
        <f>SUM(F11:F13)</f>
        <v>0</v>
      </c>
      <c r="G10" s="1939"/>
      <c r="H10" s="1935"/>
      <c r="I10" s="2051">
        <f>SUM(I11:I13)</f>
        <v>0</v>
      </c>
      <c r="J10" s="1939"/>
      <c r="K10" s="1935"/>
      <c r="L10" s="2051">
        <f>SUM(L11:L13)</f>
        <v>0</v>
      </c>
      <c r="M10" s="1937"/>
      <c r="O10" s="3122"/>
      <c r="P10" s="1934" t="s">
        <v>348</v>
      </c>
      <c r="Q10" s="1936"/>
      <c r="R10" s="1939"/>
      <c r="S10" s="1935"/>
      <c r="T10" s="2051">
        <f>SUM(T11:T13)</f>
        <v>0</v>
      </c>
      <c r="U10" s="1939"/>
      <c r="V10" s="1935"/>
      <c r="W10" s="2051">
        <f>SUM(W11:W13)</f>
        <v>0</v>
      </c>
      <c r="X10" s="1939"/>
      <c r="Y10" s="1935"/>
      <c r="Z10" s="2051">
        <f>SUM(Z11:Z13)</f>
        <v>0</v>
      </c>
      <c r="AA10" s="1937"/>
      <c r="AC10" s="3122"/>
      <c r="AD10" s="1934" t="s">
        <v>348</v>
      </c>
      <c r="AE10" s="1936"/>
      <c r="AF10" s="1939"/>
      <c r="AG10" s="1935"/>
      <c r="AH10" s="2051">
        <f>SUM(AH11:AH13)</f>
        <v>0</v>
      </c>
      <c r="AI10" s="1939"/>
      <c r="AJ10" s="1935"/>
      <c r="AK10" s="2051">
        <f>SUM(AK11:AK13)</f>
        <v>0</v>
      </c>
      <c r="AL10" s="1939"/>
      <c r="AM10" s="1935"/>
      <c r="AN10" s="2051">
        <f>SUM(AN11:AN13)</f>
        <v>0</v>
      </c>
      <c r="AO10" s="1937"/>
      <c r="AQ10" s="3122"/>
      <c r="AR10" s="1934" t="s">
        <v>348</v>
      </c>
      <c r="AS10" s="1936"/>
      <c r="AT10" s="1939"/>
      <c r="AU10" s="1935"/>
      <c r="AV10" s="2051">
        <f>SUM(AV11:AV13)</f>
        <v>0</v>
      </c>
      <c r="AW10" s="1939"/>
      <c r="AX10" s="1935"/>
      <c r="AY10" s="2051">
        <f>SUM(AY11:AY13)</f>
        <v>0</v>
      </c>
      <c r="AZ10" s="1939"/>
      <c r="BA10" s="1935"/>
      <c r="BB10" s="2051">
        <f>SUM(BB11:BB13)</f>
        <v>0</v>
      </c>
      <c r="BC10" s="1937"/>
      <c r="BE10" s="3122"/>
      <c r="BF10" s="1934" t="s">
        <v>348</v>
      </c>
      <c r="BG10" s="1936"/>
      <c r="BH10" s="1939"/>
      <c r="BI10" s="1935"/>
      <c r="BJ10" s="2051">
        <f>SUM(BJ11:BJ13)</f>
        <v>0</v>
      </c>
      <c r="BK10" s="1939"/>
      <c r="BL10" s="1935"/>
      <c r="BM10" s="2051">
        <f>SUM(BM11:BM13)</f>
        <v>0</v>
      </c>
      <c r="BN10" s="1939"/>
      <c r="BO10" s="1935"/>
      <c r="BP10" s="2051">
        <f>SUM(BP11:BP13)</f>
        <v>0</v>
      </c>
      <c r="BQ10" s="1937"/>
    </row>
    <row r="11" spans="1:70" ht="16.5" customHeight="1">
      <c r="A11" s="3122"/>
      <c r="B11" s="688" t="s">
        <v>505</v>
      </c>
      <c r="C11" s="1915"/>
      <c r="D11" s="685"/>
      <c r="E11" s="686"/>
      <c r="F11" s="2052">
        <f t="shared" ref="F11:F41" si="0">D11*E11</f>
        <v>0</v>
      </c>
      <c r="G11" s="2008"/>
      <c r="H11" s="686"/>
      <c r="I11" s="2052">
        <f>G11*H11</f>
        <v>0</v>
      </c>
      <c r="J11" s="2008"/>
      <c r="K11" s="686"/>
      <c r="L11" s="2052">
        <f t="shared" ref="L11:L32" si="1">J11*K11</f>
        <v>0</v>
      </c>
      <c r="M11" s="687"/>
      <c r="O11" s="3122"/>
      <c r="P11" s="688" t="s">
        <v>505</v>
      </c>
      <c r="Q11" s="1915"/>
      <c r="R11" s="685"/>
      <c r="S11" s="686"/>
      <c r="T11" s="2052">
        <f t="shared" ref="T11:T13" si="2">R11*S11</f>
        <v>0</v>
      </c>
      <c r="U11" s="2008"/>
      <c r="V11" s="686"/>
      <c r="W11" s="2052">
        <f>U11*V11</f>
        <v>0</v>
      </c>
      <c r="X11" s="2008"/>
      <c r="Y11" s="686"/>
      <c r="Z11" s="2052">
        <f t="shared" ref="Z11:Z13" si="3">X11*Y11</f>
        <v>0</v>
      </c>
      <c r="AA11" s="687"/>
      <c r="AC11" s="3122"/>
      <c r="AD11" s="688" t="s">
        <v>505</v>
      </c>
      <c r="AE11" s="1915"/>
      <c r="AF11" s="685"/>
      <c r="AG11" s="686"/>
      <c r="AH11" s="2052">
        <f t="shared" ref="AH11:AH13" si="4">AF11*AG11</f>
        <v>0</v>
      </c>
      <c r="AI11" s="2008"/>
      <c r="AJ11" s="686"/>
      <c r="AK11" s="2052">
        <f>AI11*AJ11</f>
        <v>0</v>
      </c>
      <c r="AL11" s="2008"/>
      <c r="AM11" s="686"/>
      <c r="AN11" s="2052">
        <f t="shared" ref="AN11:AN13" si="5">AL11*AM11</f>
        <v>0</v>
      </c>
      <c r="AO11" s="687"/>
      <c r="AQ11" s="3122"/>
      <c r="AR11" s="688" t="s">
        <v>505</v>
      </c>
      <c r="AS11" s="1915"/>
      <c r="AT11" s="685"/>
      <c r="AU11" s="686"/>
      <c r="AV11" s="2052">
        <f t="shared" ref="AV11:AV13" si="6">AT11*AU11</f>
        <v>0</v>
      </c>
      <c r="AW11" s="2008"/>
      <c r="AX11" s="686"/>
      <c r="AY11" s="2052">
        <f>AW11*AX11</f>
        <v>0</v>
      </c>
      <c r="AZ11" s="2008"/>
      <c r="BA11" s="686"/>
      <c r="BB11" s="2052">
        <f t="shared" ref="BB11:BB13" si="7">AZ11*BA11</f>
        <v>0</v>
      </c>
      <c r="BC11" s="687"/>
      <c r="BE11" s="3122"/>
      <c r="BF11" s="688" t="s">
        <v>505</v>
      </c>
      <c r="BG11" s="1915"/>
      <c r="BH11" s="685"/>
      <c r="BI11" s="686"/>
      <c r="BJ11" s="2052">
        <f t="shared" ref="BJ11:BJ13" si="8">BH11*BI11</f>
        <v>0</v>
      </c>
      <c r="BK11" s="2008"/>
      <c r="BL11" s="686"/>
      <c r="BM11" s="2052">
        <f>BK11*BL11</f>
        <v>0</v>
      </c>
      <c r="BN11" s="2008"/>
      <c r="BO11" s="686"/>
      <c r="BP11" s="2052">
        <f t="shared" ref="BP11:BP13" si="9">BN11*BO11</f>
        <v>0</v>
      </c>
      <c r="BQ11" s="687"/>
    </row>
    <row r="12" spans="1:70" ht="15.75" customHeight="1">
      <c r="A12" s="3122"/>
      <c r="B12" s="688" t="s">
        <v>506</v>
      </c>
      <c r="C12" s="688"/>
      <c r="D12" s="685"/>
      <c r="E12" s="686"/>
      <c r="F12" s="2052">
        <f t="shared" si="0"/>
        <v>0</v>
      </c>
      <c r="G12" s="2008"/>
      <c r="H12" s="686"/>
      <c r="I12" s="2052">
        <f t="shared" ref="I12:I13" si="10">G12*H12</f>
        <v>0</v>
      </c>
      <c r="J12" s="2008"/>
      <c r="K12" s="686"/>
      <c r="L12" s="2052">
        <f t="shared" si="1"/>
        <v>0</v>
      </c>
      <c r="M12" s="687"/>
      <c r="O12" s="3122"/>
      <c r="P12" s="688" t="s">
        <v>506</v>
      </c>
      <c r="Q12" s="688"/>
      <c r="R12" s="685"/>
      <c r="S12" s="686"/>
      <c r="T12" s="2052">
        <f t="shared" si="2"/>
        <v>0</v>
      </c>
      <c r="U12" s="2008"/>
      <c r="V12" s="686"/>
      <c r="W12" s="2052">
        <f t="shared" ref="W12:W13" si="11">U12*V12</f>
        <v>0</v>
      </c>
      <c r="X12" s="2008"/>
      <c r="Y12" s="686"/>
      <c r="Z12" s="2052">
        <f t="shared" si="3"/>
        <v>0</v>
      </c>
      <c r="AA12" s="687"/>
      <c r="AC12" s="3122"/>
      <c r="AD12" s="688" t="s">
        <v>506</v>
      </c>
      <c r="AE12" s="688"/>
      <c r="AF12" s="685"/>
      <c r="AG12" s="686"/>
      <c r="AH12" s="2052">
        <f t="shared" si="4"/>
        <v>0</v>
      </c>
      <c r="AI12" s="2008"/>
      <c r="AJ12" s="686"/>
      <c r="AK12" s="2052">
        <f t="shared" ref="AK12:AK13" si="12">AI12*AJ12</f>
        <v>0</v>
      </c>
      <c r="AL12" s="2008"/>
      <c r="AM12" s="686"/>
      <c r="AN12" s="2052">
        <f t="shared" si="5"/>
        <v>0</v>
      </c>
      <c r="AO12" s="687"/>
      <c r="AQ12" s="3122"/>
      <c r="AR12" s="688" t="s">
        <v>506</v>
      </c>
      <c r="AS12" s="688"/>
      <c r="AT12" s="685"/>
      <c r="AU12" s="686"/>
      <c r="AV12" s="2052">
        <f t="shared" si="6"/>
        <v>0</v>
      </c>
      <c r="AW12" s="2008"/>
      <c r="AX12" s="686"/>
      <c r="AY12" s="2052">
        <f t="shared" ref="AY12:AY13" si="13">AW12*AX12</f>
        <v>0</v>
      </c>
      <c r="AZ12" s="2008"/>
      <c r="BA12" s="686"/>
      <c r="BB12" s="2052">
        <f t="shared" si="7"/>
        <v>0</v>
      </c>
      <c r="BC12" s="687"/>
      <c r="BE12" s="3122"/>
      <c r="BF12" s="688" t="s">
        <v>506</v>
      </c>
      <c r="BG12" s="688"/>
      <c r="BH12" s="685"/>
      <c r="BI12" s="686"/>
      <c r="BJ12" s="2052">
        <f t="shared" si="8"/>
        <v>0</v>
      </c>
      <c r="BK12" s="2008"/>
      <c r="BL12" s="686"/>
      <c r="BM12" s="2052">
        <f t="shared" ref="BM12:BM13" si="14">BK12*BL12</f>
        <v>0</v>
      </c>
      <c r="BN12" s="2008"/>
      <c r="BO12" s="686"/>
      <c r="BP12" s="2052">
        <f t="shared" si="9"/>
        <v>0</v>
      </c>
      <c r="BQ12" s="687"/>
    </row>
    <row r="13" spans="1:70" ht="15.75" customHeight="1">
      <c r="A13" s="3122"/>
      <c r="B13" s="1915" t="s">
        <v>488</v>
      </c>
      <c r="C13" s="1915"/>
      <c r="D13" s="685"/>
      <c r="E13" s="686"/>
      <c r="F13" s="2052">
        <f t="shared" si="0"/>
        <v>0</v>
      </c>
      <c r="G13" s="2008"/>
      <c r="H13" s="686"/>
      <c r="I13" s="2052">
        <f t="shared" si="10"/>
        <v>0</v>
      </c>
      <c r="J13" s="2008"/>
      <c r="K13" s="686"/>
      <c r="L13" s="2052">
        <f t="shared" si="1"/>
        <v>0</v>
      </c>
      <c r="M13" s="687"/>
      <c r="O13" s="3122"/>
      <c r="P13" s="1915" t="s">
        <v>488</v>
      </c>
      <c r="Q13" s="1915"/>
      <c r="R13" s="685"/>
      <c r="S13" s="686"/>
      <c r="T13" s="2052">
        <f t="shared" si="2"/>
        <v>0</v>
      </c>
      <c r="U13" s="2008"/>
      <c r="V13" s="686"/>
      <c r="W13" s="2052">
        <f t="shared" si="11"/>
        <v>0</v>
      </c>
      <c r="X13" s="2008"/>
      <c r="Y13" s="686"/>
      <c r="Z13" s="2052">
        <f t="shared" si="3"/>
        <v>0</v>
      </c>
      <c r="AA13" s="687"/>
      <c r="AC13" s="3122"/>
      <c r="AD13" s="1915" t="s">
        <v>488</v>
      </c>
      <c r="AE13" s="1915"/>
      <c r="AF13" s="685"/>
      <c r="AG13" s="686"/>
      <c r="AH13" s="2052">
        <f t="shared" si="4"/>
        <v>0</v>
      </c>
      <c r="AI13" s="2008"/>
      <c r="AJ13" s="686"/>
      <c r="AK13" s="2052">
        <f t="shared" si="12"/>
        <v>0</v>
      </c>
      <c r="AL13" s="2008"/>
      <c r="AM13" s="686"/>
      <c r="AN13" s="2052">
        <f t="shared" si="5"/>
        <v>0</v>
      </c>
      <c r="AO13" s="687"/>
      <c r="AQ13" s="3122"/>
      <c r="AR13" s="1915" t="s">
        <v>488</v>
      </c>
      <c r="AS13" s="1915"/>
      <c r="AT13" s="685"/>
      <c r="AU13" s="686"/>
      <c r="AV13" s="2052">
        <f t="shared" si="6"/>
        <v>0</v>
      </c>
      <c r="AW13" s="2008"/>
      <c r="AX13" s="686"/>
      <c r="AY13" s="2052">
        <f t="shared" si="13"/>
        <v>0</v>
      </c>
      <c r="AZ13" s="2008"/>
      <c r="BA13" s="686"/>
      <c r="BB13" s="2052">
        <f t="shared" si="7"/>
        <v>0</v>
      </c>
      <c r="BC13" s="687"/>
      <c r="BE13" s="3122"/>
      <c r="BF13" s="1915" t="s">
        <v>488</v>
      </c>
      <c r="BG13" s="1915"/>
      <c r="BH13" s="685"/>
      <c r="BI13" s="686"/>
      <c r="BJ13" s="2052">
        <f t="shared" si="8"/>
        <v>0</v>
      </c>
      <c r="BK13" s="2008"/>
      <c r="BL13" s="686"/>
      <c r="BM13" s="2052">
        <f t="shared" si="14"/>
        <v>0</v>
      </c>
      <c r="BN13" s="2008"/>
      <c r="BO13" s="686"/>
      <c r="BP13" s="2052">
        <f t="shared" si="9"/>
        <v>0</v>
      </c>
      <c r="BQ13" s="687"/>
    </row>
    <row r="14" spans="1:70" s="1992" customFormat="1" ht="15.75" customHeight="1">
      <c r="A14" s="3122"/>
      <c r="B14" s="939" t="s">
        <v>496</v>
      </c>
      <c r="C14" s="941"/>
      <c r="D14" s="940"/>
      <c r="E14" s="1983"/>
      <c r="F14" s="2114">
        <f>SUM(F15:F16)</f>
        <v>0</v>
      </c>
      <c r="G14" s="940"/>
      <c r="H14" s="1983"/>
      <c r="I14" s="2114">
        <f>SUM(I15:I16)</f>
        <v>0</v>
      </c>
      <c r="J14" s="940"/>
      <c r="K14" s="1983"/>
      <c r="L14" s="2114">
        <f>SUM(L15:L16)</f>
        <v>0</v>
      </c>
      <c r="M14" s="942"/>
      <c r="O14" s="3122"/>
      <c r="P14" s="939" t="s">
        <v>496</v>
      </c>
      <c r="Q14" s="941"/>
      <c r="R14" s="940"/>
      <c r="S14" s="1983"/>
      <c r="T14" s="2114">
        <f>SUM(T15:T16)</f>
        <v>0</v>
      </c>
      <c r="U14" s="940"/>
      <c r="V14" s="1983"/>
      <c r="W14" s="2114">
        <f>SUM(W15:W16)</f>
        <v>0</v>
      </c>
      <c r="X14" s="940"/>
      <c r="Y14" s="1983"/>
      <c r="Z14" s="2114">
        <f>SUM(Z15:Z16)</f>
        <v>0</v>
      </c>
      <c r="AA14" s="942"/>
      <c r="AC14" s="3122"/>
      <c r="AD14" s="939" t="s">
        <v>496</v>
      </c>
      <c r="AE14" s="941"/>
      <c r="AF14" s="940"/>
      <c r="AG14" s="1983"/>
      <c r="AH14" s="2114">
        <f>SUM(AH15:AH16)</f>
        <v>0</v>
      </c>
      <c r="AI14" s="940"/>
      <c r="AJ14" s="1983"/>
      <c r="AK14" s="2114">
        <f>SUM(AK15:AK16)</f>
        <v>0</v>
      </c>
      <c r="AL14" s="940"/>
      <c r="AM14" s="1983"/>
      <c r="AN14" s="2114">
        <f>SUM(AN15:AN16)</f>
        <v>0</v>
      </c>
      <c r="AO14" s="942"/>
      <c r="AQ14" s="3122"/>
      <c r="AR14" s="939" t="s">
        <v>496</v>
      </c>
      <c r="AS14" s="941"/>
      <c r="AT14" s="940"/>
      <c r="AU14" s="1983"/>
      <c r="AV14" s="2114">
        <f>SUM(AV15:AV16)</f>
        <v>0</v>
      </c>
      <c r="AW14" s="940"/>
      <c r="AX14" s="1983"/>
      <c r="AY14" s="2114">
        <f>SUM(AY15:AY16)</f>
        <v>0</v>
      </c>
      <c r="AZ14" s="940"/>
      <c r="BA14" s="1983"/>
      <c r="BB14" s="2114">
        <f>SUM(BB15:BB16)</f>
        <v>0</v>
      </c>
      <c r="BC14" s="942"/>
      <c r="BE14" s="3122"/>
      <c r="BF14" s="939" t="s">
        <v>496</v>
      </c>
      <c r="BG14" s="941"/>
      <c r="BH14" s="940"/>
      <c r="BI14" s="1983"/>
      <c r="BJ14" s="2114">
        <f>SUM(BJ15:BJ16)</f>
        <v>0</v>
      </c>
      <c r="BK14" s="940"/>
      <c r="BL14" s="1983"/>
      <c r="BM14" s="2114">
        <f>SUM(BM15:BM16)</f>
        <v>0</v>
      </c>
      <c r="BN14" s="940"/>
      <c r="BO14" s="1983"/>
      <c r="BP14" s="2114">
        <f>SUM(BP15:BP16)</f>
        <v>0</v>
      </c>
      <c r="BQ14" s="942"/>
    </row>
    <row r="15" spans="1:70" s="683" customFormat="1" ht="15.75" customHeight="1">
      <c r="A15" s="3122"/>
      <c r="B15" s="684" t="s">
        <v>349</v>
      </c>
      <c r="C15" s="684"/>
      <c r="D15" s="685"/>
      <c r="E15" s="686"/>
      <c r="F15" s="2052">
        <f t="shared" si="0"/>
        <v>0</v>
      </c>
      <c r="G15" s="2008"/>
      <c r="H15" s="686"/>
      <c r="I15" s="2052">
        <f>G15*H15</f>
        <v>0</v>
      </c>
      <c r="J15" s="2008"/>
      <c r="K15" s="686"/>
      <c r="L15" s="2052">
        <f t="shared" si="1"/>
        <v>0</v>
      </c>
      <c r="M15" s="687"/>
      <c r="O15" s="3122"/>
      <c r="P15" s="684" t="s">
        <v>349</v>
      </c>
      <c r="Q15" s="684"/>
      <c r="R15" s="685"/>
      <c r="S15" s="686"/>
      <c r="T15" s="2052">
        <f t="shared" ref="T15:T16" si="15">R15*S15</f>
        <v>0</v>
      </c>
      <c r="U15" s="2008"/>
      <c r="V15" s="686"/>
      <c r="W15" s="2052">
        <f>U15*V15</f>
        <v>0</v>
      </c>
      <c r="X15" s="2008"/>
      <c r="Y15" s="686"/>
      <c r="Z15" s="2052">
        <f t="shared" ref="Z15:Z16" si="16">X15*Y15</f>
        <v>0</v>
      </c>
      <c r="AA15" s="687"/>
      <c r="AC15" s="3122"/>
      <c r="AD15" s="684" t="s">
        <v>349</v>
      </c>
      <c r="AE15" s="684"/>
      <c r="AF15" s="685"/>
      <c r="AG15" s="686"/>
      <c r="AH15" s="2052">
        <f t="shared" ref="AH15:AH16" si="17">AF15*AG15</f>
        <v>0</v>
      </c>
      <c r="AI15" s="2008"/>
      <c r="AJ15" s="686"/>
      <c r="AK15" s="2052">
        <f>AI15*AJ15</f>
        <v>0</v>
      </c>
      <c r="AL15" s="2008"/>
      <c r="AM15" s="686"/>
      <c r="AN15" s="2052">
        <f t="shared" ref="AN15:AN16" si="18">AL15*AM15</f>
        <v>0</v>
      </c>
      <c r="AO15" s="687"/>
      <c r="AQ15" s="3122"/>
      <c r="AR15" s="684" t="s">
        <v>349</v>
      </c>
      <c r="AS15" s="684"/>
      <c r="AT15" s="685"/>
      <c r="AU15" s="686"/>
      <c r="AV15" s="2052">
        <f t="shared" ref="AV15:AV16" si="19">AT15*AU15</f>
        <v>0</v>
      </c>
      <c r="AW15" s="2008"/>
      <c r="AX15" s="686"/>
      <c r="AY15" s="2052">
        <f>AW15*AX15</f>
        <v>0</v>
      </c>
      <c r="AZ15" s="2008"/>
      <c r="BA15" s="686"/>
      <c r="BB15" s="2052">
        <f t="shared" ref="BB15:BB16" si="20">AZ15*BA15</f>
        <v>0</v>
      </c>
      <c r="BC15" s="687"/>
      <c r="BE15" s="3122"/>
      <c r="BF15" s="684" t="s">
        <v>349</v>
      </c>
      <c r="BG15" s="684"/>
      <c r="BH15" s="685"/>
      <c r="BI15" s="686"/>
      <c r="BJ15" s="2052">
        <f t="shared" ref="BJ15:BJ16" si="21">BH15*BI15</f>
        <v>0</v>
      </c>
      <c r="BK15" s="2008"/>
      <c r="BL15" s="686"/>
      <c r="BM15" s="2052">
        <f>BK15*BL15</f>
        <v>0</v>
      </c>
      <c r="BN15" s="2008"/>
      <c r="BO15" s="686"/>
      <c r="BP15" s="2052">
        <f t="shared" ref="BP15:BP16" si="22">BN15*BO15</f>
        <v>0</v>
      </c>
      <c r="BQ15" s="687"/>
    </row>
    <row r="16" spans="1:70" ht="15.75" customHeight="1">
      <c r="A16" s="3122"/>
      <c r="B16" s="1915" t="s">
        <v>488</v>
      </c>
      <c r="C16" s="1915"/>
      <c r="D16" s="685"/>
      <c r="E16" s="686"/>
      <c r="F16" s="2052">
        <f t="shared" si="0"/>
        <v>0</v>
      </c>
      <c r="G16" s="2008"/>
      <c r="H16" s="686"/>
      <c r="I16" s="2052">
        <f>G16*H16</f>
        <v>0</v>
      </c>
      <c r="J16" s="2008"/>
      <c r="K16" s="686"/>
      <c r="L16" s="2052">
        <f t="shared" si="1"/>
        <v>0</v>
      </c>
      <c r="M16" s="687"/>
      <c r="O16" s="3122"/>
      <c r="P16" s="1915" t="s">
        <v>488</v>
      </c>
      <c r="Q16" s="1915"/>
      <c r="R16" s="685"/>
      <c r="S16" s="686"/>
      <c r="T16" s="2052">
        <f t="shared" si="15"/>
        <v>0</v>
      </c>
      <c r="U16" s="2008"/>
      <c r="V16" s="686"/>
      <c r="W16" s="2052">
        <f>U16*V16</f>
        <v>0</v>
      </c>
      <c r="X16" s="2008"/>
      <c r="Y16" s="686"/>
      <c r="Z16" s="2052">
        <f t="shared" si="16"/>
        <v>0</v>
      </c>
      <c r="AA16" s="687"/>
      <c r="AC16" s="3122"/>
      <c r="AD16" s="1915" t="s">
        <v>488</v>
      </c>
      <c r="AE16" s="1915"/>
      <c r="AF16" s="685"/>
      <c r="AG16" s="686"/>
      <c r="AH16" s="2052">
        <f t="shared" si="17"/>
        <v>0</v>
      </c>
      <c r="AI16" s="2008"/>
      <c r="AJ16" s="686"/>
      <c r="AK16" s="2052">
        <f>AI16*AJ16</f>
        <v>0</v>
      </c>
      <c r="AL16" s="2008"/>
      <c r="AM16" s="686"/>
      <c r="AN16" s="2052">
        <f t="shared" si="18"/>
        <v>0</v>
      </c>
      <c r="AO16" s="687"/>
      <c r="AQ16" s="3122"/>
      <c r="AR16" s="1915" t="s">
        <v>488</v>
      </c>
      <c r="AS16" s="1915"/>
      <c r="AT16" s="685"/>
      <c r="AU16" s="686"/>
      <c r="AV16" s="2052">
        <f t="shared" si="19"/>
        <v>0</v>
      </c>
      <c r="AW16" s="2008"/>
      <c r="AX16" s="686"/>
      <c r="AY16" s="2052">
        <f>AW16*AX16</f>
        <v>0</v>
      </c>
      <c r="AZ16" s="2008"/>
      <c r="BA16" s="686"/>
      <c r="BB16" s="2052">
        <f t="shared" si="20"/>
        <v>0</v>
      </c>
      <c r="BC16" s="687"/>
      <c r="BE16" s="3122"/>
      <c r="BF16" s="1915" t="s">
        <v>488</v>
      </c>
      <c r="BG16" s="1915"/>
      <c r="BH16" s="685"/>
      <c r="BI16" s="686"/>
      <c r="BJ16" s="2052">
        <f t="shared" si="21"/>
        <v>0</v>
      </c>
      <c r="BK16" s="2008"/>
      <c r="BL16" s="686"/>
      <c r="BM16" s="2052">
        <f>BK16*BL16</f>
        <v>0</v>
      </c>
      <c r="BN16" s="2008"/>
      <c r="BO16" s="686"/>
      <c r="BP16" s="2052">
        <f t="shared" si="22"/>
        <v>0</v>
      </c>
      <c r="BQ16" s="687"/>
    </row>
    <row r="17" spans="1:69" s="1992" customFormat="1" ht="15.75" customHeight="1">
      <c r="A17" s="3122"/>
      <c r="B17" s="939" t="s">
        <v>350</v>
      </c>
      <c r="C17" s="941"/>
      <c r="D17" s="940"/>
      <c r="E17" s="1983"/>
      <c r="F17" s="2115">
        <f>SUM(F18:F26)</f>
        <v>0</v>
      </c>
      <c r="G17" s="940"/>
      <c r="H17" s="1983"/>
      <c r="I17" s="2115">
        <f>SUM(I18:I26)</f>
        <v>0</v>
      </c>
      <c r="J17" s="940"/>
      <c r="K17" s="1983"/>
      <c r="L17" s="2115">
        <f>SUM(L18:L26)</f>
        <v>0</v>
      </c>
      <c r="M17" s="942"/>
      <c r="O17" s="3122"/>
      <c r="P17" s="939" t="s">
        <v>350</v>
      </c>
      <c r="Q17" s="941"/>
      <c r="R17" s="940"/>
      <c r="S17" s="1983"/>
      <c r="T17" s="2115">
        <f>SUM(T18:T26)</f>
        <v>0</v>
      </c>
      <c r="U17" s="940"/>
      <c r="V17" s="1983"/>
      <c r="W17" s="2115">
        <f>SUM(W18:W26)</f>
        <v>0</v>
      </c>
      <c r="X17" s="940"/>
      <c r="Y17" s="1983"/>
      <c r="Z17" s="2115">
        <f>SUM(Z18:Z26)</f>
        <v>0</v>
      </c>
      <c r="AA17" s="942"/>
      <c r="AC17" s="3122"/>
      <c r="AD17" s="939" t="s">
        <v>350</v>
      </c>
      <c r="AE17" s="941"/>
      <c r="AF17" s="940"/>
      <c r="AG17" s="1983"/>
      <c r="AH17" s="2115">
        <f>SUM(AH18:AH26)</f>
        <v>0</v>
      </c>
      <c r="AI17" s="940"/>
      <c r="AJ17" s="1983"/>
      <c r="AK17" s="2115">
        <f>SUM(AK18:AK26)</f>
        <v>0</v>
      </c>
      <c r="AL17" s="940"/>
      <c r="AM17" s="1983"/>
      <c r="AN17" s="2115">
        <f>SUM(AN18:AN26)</f>
        <v>0</v>
      </c>
      <c r="AO17" s="942"/>
      <c r="AQ17" s="3122"/>
      <c r="AR17" s="939" t="s">
        <v>350</v>
      </c>
      <c r="AS17" s="941"/>
      <c r="AT17" s="940"/>
      <c r="AU17" s="1983"/>
      <c r="AV17" s="2115">
        <f>SUM(AV18:AV26)</f>
        <v>0</v>
      </c>
      <c r="AW17" s="940"/>
      <c r="AX17" s="1983"/>
      <c r="AY17" s="2115">
        <f>SUM(AY18:AY26)</f>
        <v>0</v>
      </c>
      <c r="AZ17" s="940"/>
      <c r="BA17" s="1983"/>
      <c r="BB17" s="2115">
        <f>SUM(BB18:BB26)</f>
        <v>0</v>
      </c>
      <c r="BC17" s="942"/>
      <c r="BE17" s="3122"/>
      <c r="BF17" s="939" t="s">
        <v>350</v>
      </c>
      <c r="BG17" s="941"/>
      <c r="BH17" s="940"/>
      <c r="BI17" s="1983"/>
      <c r="BJ17" s="2115">
        <f>SUM(BJ18:BJ26)</f>
        <v>0</v>
      </c>
      <c r="BK17" s="940"/>
      <c r="BL17" s="1983"/>
      <c r="BM17" s="2115">
        <f>SUM(BM18:BM26)</f>
        <v>0</v>
      </c>
      <c r="BN17" s="940"/>
      <c r="BO17" s="1983"/>
      <c r="BP17" s="2115">
        <f>SUM(BP18:BP26)</f>
        <v>0</v>
      </c>
      <c r="BQ17" s="942"/>
    </row>
    <row r="18" spans="1:69" ht="15.75" customHeight="1">
      <c r="A18" s="3122"/>
      <c r="B18" s="688" t="s">
        <v>500</v>
      </c>
      <c r="C18" s="688"/>
      <c r="D18" s="685"/>
      <c r="E18" s="686"/>
      <c r="F18" s="2052">
        <f t="shared" si="0"/>
        <v>0</v>
      </c>
      <c r="G18" s="2008"/>
      <c r="H18" s="686"/>
      <c r="I18" s="2052">
        <f t="shared" ref="I18:I26" si="23">G18*H18</f>
        <v>0</v>
      </c>
      <c r="J18" s="2008"/>
      <c r="K18" s="686"/>
      <c r="L18" s="2052">
        <f t="shared" si="1"/>
        <v>0</v>
      </c>
      <c r="M18" s="687"/>
      <c r="O18" s="3122"/>
      <c r="P18" s="688" t="s">
        <v>500</v>
      </c>
      <c r="Q18" s="688"/>
      <c r="R18" s="685"/>
      <c r="S18" s="686"/>
      <c r="T18" s="2052">
        <f t="shared" ref="T18:T26" si="24">R18*S18</f>
        <v>0</v>
      </c>
      <c r="U18" s="2008"/>
      <c r="V18" s="686"/>
      <c r="W18" s="2052">
        <f t="shared" ref="W18:W26" si="25">U18*V18</f>
        <v>0</v>
      </c>
      <c r="X18" s="2008"/>
      <c r="Y18" s="686"/>
      <c r="Z18" s="2052">
        <f t="shared" ref="Z18:Z26" si="26">X18*Y18</f>
        <v>0</v>
      </c>
      <c r="AA18" s="687"/>
      <c r="AC18" s="3122"/>
      <c r="AD18" s="688" t="s">
        <v>500</v>
      </c>
      <c r="AE18" s="688"/>
      <c r="AF18" s="685"/>
      <c r="AG18" s="686"/>
      <c r="AH18" s="2052">
        <f t="shared" ref="AH18:AH26" si="27">AF18*AG18</f>
        <v>0</v>
      </c>
      <c r="AI18" s="2008"/>
      <c r="AJ18" s="686"/>
      <c r="AK18" s="2052">
        <f t="shared" ref="AK18:AK26" si="28">AI18*AJ18</f>
        <v>0</v>
      </c>
      <c r="AL18" s="2008"/>
      <c r="AM18" s="686"/>
      <c r="AN18" s="2052">
        <f t="shared" ref="AN18:AN26" si="29">AL18*AM18</f>
        <v>0</v>
      </c>
      <c r="AO18" s="687"/>
      <c r="AQ18" s="3122"/>
      <c r="AR18" s="688" t="s">
        <v>500</v>
      </c>
      <c r="AS18" s="688"/>
      <c r="AT18" s="685"/>
      <c r="AU18" s="686"/>
      <c r="AV18" s="2052">
        <f t="shared" ref="AV18:AV26" si="30">AT18*AU18</f>
        <v>0</v>
      </c>
      <c r="AW18" s="2008"/>
      <c r="AX18" s="686"/>
      <c r="AY18" s="2052">
        <f t="shared" ref="AY18:AY26" si="31">AW18*AX18</f>
        <v>0</v>
      </c>
      <c r="AZ18" s="2008"/>
      <c r="BA18" s="686"/>
      <c r="BB18" s="2052">
        <f t="shared" ref="BB18:BB26" si="32">AZ18*BA18</f>
        <v>0</v>
      </c>
      <c r="BC18" s="687"/>
      <c r="BE18" s="3122"/>
      <c r="BF18" s="688" t="s">
        <v>500</v>
      </c>
      <c r="BG18" s="688"/>
      <c r="BH18" s="685"/>
      <c r="BI18" s="686"/>
      <c r="BJ18" s="2052">
        <f t="shared" ref="BJ18:BJ26" si="33">BH18*BI18</f>
        <v>0</v>
      </c>
      <c r="BK18" s="2008"/>
      <c r="BL18" s="686"/>
      <c r="BM18" s="2052">
        <f t="shared" ref="BM18:BM26" si="34">BK18*BL18</f>
        <v>0</v>
      </c>
      <c r="BN18" s="2008"/>
      <c r="BO18" s="686"/>
      <c r="BP18" s="2052">
        <f t="shared" ref="BP18:BP26" si="35">BN18*BO18</f>
        <v>0</v>
      </c>
      <c r="BQ18" s="687"/>
    </row>
    <row r="19" spans="1:69" ht="15.75" customHeight="1">
      <c r="A19" s="3122"/>
      <c r="B19" s="688" t="s">
        <v>501</v>
      </c>
      <c r="C19" s="688"/>
      <c r="D19" s="685"/>
      <c r="E19" s="686"/>
      <c r="F19" s="2052">
        <f t="shared" si="0"/>
        <v>0</v>
      </c>
      <c r="G19" s="2008"/>
      <c r="H19" s="686"/>
      <c r="I19" s="2052">
        <f t="shared" si="23"/>
        <v>0</v>
      </c>
      <c r="J19" s="2008"/>
      <c r="K19" s="686"/>
      <c r="L19" s="2052">
        <f t="shared" si="1"/>
        <v>0</v>
      </c>
      <c r="M19" s="687"/>
      <c r="O19" s="3122"/>
      <c r="P19" s="688" t="s">
        <v>501</v>
      </c>
      <c r="Q19" s="688"/>
      <c r="R19" s="685"/>
      <c r="S19" s="686"/>
      <c r="T19" s="2052">
        <f t="shared" si="24"/>
        <v>0</v>
      </c>
      <c r="U19" s="2008"/>
      <c r="V19" s="686"/>
      <c r="W19" s="2052">
        <f t="shared" si="25"/>
        <v>0</v>
      </c>
      <c r="X19" s="2008"/>
      <c r="Y19" s="686"/>
      <c r="Z19" s="2052">
        <f t="shared" si="26"/>
        <v>0</v>
      </c>
      <c r="AA19" s="687"/>
      <c r="AC19" s="3122"/>
      <c r="AD19" s="688" t="s">
        <v>501</v>
      </c>
      <c r="AE19" s="688"/>
      <c r="AF19" s="685"/>
      <c r="AG19" s="686"/>
      <c r="AH19" s="2052">
        <f t="shared" si="27"/>
        <v>0</v>
      </c>
      <c r="AI19" s="2008"/>
      <c r="AJ19" s="686"/>
      <c r="AK19" s="2052">
        <f t="shared" si="28"/>
        <v>0</v>
      </c>
      <c r="AL19" s="2008"/>
      <c r="AM19" s="686"/>
      <c r="AN19" s="2052">
        <f t="shared" si="29"/>
        <v>0</v>
      </c>
      <c r="AO19" s="687"/>
      <c r="AQ19" s="3122"/>
      <c r="AR19" s="688" t="s">
        <v>501</v>
      </c>
      <c r="AS19" s="688"/>
      <c r="AT19" s="685"/>
      <c r="AU19" s="686"/>
      <c r="AV19" s="2052">
        <f t="shared" si="30"/>
        <v>0</v>
      </c>
      <c r="AW19" s="2008"/>
      <c r="AX19" s="686"/>
      <c r="AY19" s="2052">
        <f t="shared" si="31"/>
        <v>0</v>
      </c>
      <c r="AZ19" s="2008"/>
      <c r="BA19" s="686"/>
      <c r="BB19" s="2052">
        <f t="shared" si="32"/>
        <v>0</v>
      </c>
      <c r="BC19" s="687"/>
      <c r="BE19" s="3122"/>
      <c r="BF19" s="688" t="s">
        <v>501</v>
      </c>
      <c r="BG19" s="688"/>
      <c r="BH19" s="685"/>
      <c r="BI19" s="686"/>
      <c r="BJ19" s="2052">
        <f t="shared" si="33"/>
        <v>0</v>
      </c>
      <c r="BK19" s="2008"/>
      <c r="BL19" s="686"/>
      <c r="BM19" s="2052">
        <f t="shared" si="34"/>
        <v>0</v>
      </c>
      <c r="BN19" s="2008"/>
      <c r="BO19" s="686"/>
      <c r="BP19" s="2052">
        <f t="shared" si="35"/>
        <v>0</v>
      </c>
      <c r="BQ19" s="687"/>
    </row>
    <row r="20" spans="1:69" ht="15.75" customHeight="1">
      <c r="A20" s="3122"/>
      <c r="B20" s="688" t="s">
        <v>502</v>
      </c>
      <c r="C20" s="688"/>
      <c r="D20" s="685"/>
      <c r="E20" s="686"/>
      <c r="F20" s="2052">
        <f t="shared" si="0"/>
        <v>0</v>
      </c>
      <c r="G20" s="2008"/>
      <c r="H20" s="686"/>
      <c r="I20" s="2052">
        <f t="shared" si="23"/>
        <v>0</v>
      </c>
      <c r="J20" s="2008"/>
      <c r="K20" s="686"/>
      <c r="L20" s="2052">
        <f t="shared" si="1"/>
        <v>0</v>
      </c>
      <c r="M20" s="687"/>
      <c r="O20" s="3122"/>
      <c r="P20" s="688" t="s">
        <v>502</v>
      </c>
      <c r="Q20" s="688"/>
      <c r="R20" s="685"/>
      <c r="S20" s="686"/>
      <c r="T20" s="2052">
        <f t="shared" si="24"/>
        <v>0</v>
      </c>
      <c r="U20" s="2008"/>
      <c r="V20" s="686"/>
      <c r="W20" s="2052">
        <f t="shared" si="25"/>
        <v>0</v>
      </c>
      <c r="X20" s="2008"/>
      <c r="Y20" s="686"/>
      <c r="Z20" s="2052">
        <f t="shared" si="26"/>
        <v>0</v>
      </c>
      <c r="AA20" s="687"/>
      <c r="AC20" s="3122"/>
      <c r="AD20" s="688" t="s">
        <v>502</v>
      </c>
      <c r="AE20" s="688"/>
      <c r="AF20" s="685"/>
      <c r="AG20" s="686"/>
      <c r="AH20" s="2052">
        <f t="shared" si="27"/>
        <v>0</v>
      </c>
      <c r="AI20" s="2008"/>
      <c r="AJ20" s="686"/>
      <c r="AK20" s="2052">
        <f t="shared" si="28"/>
        <v>0</v>
      </c>
      <c r="AL20" s="2008"/>
      <c r="AM20" s="686"/>
      <c r="AN20" s="2052">
        <f t="shared" si="29"/>
        <v>0</v>
      </c>
      <c r="AO20" s="687"/>
      <c r="AQ20" s="3122"/>
      <c r="AR20" s="688" t="s">
        <v>502</v>
      </c>
      <c r="AS20" s="688"/>
      <c r="AT20" s="685"/>
      <c r="AU20" s="686"/>
      <c r="AV20" s="2052">
        <f t="shared" si="30"/>
        <v>0</v>
      </c>
      <c r="AW20" s="2008"/>
      <c r="AX20" s="686"/>
      <c r="AY20" s="2052">
        <f t="shared" si="31"/>
        <v>0</v>
      </c>
      <c r="AZ20" s="2008"/>
      <c r="BA20" s="686"/>
      <c r="BB20" s="2052">
        <f t="shared" si="32"/>
        <v>0</v>
      </c>
      <c r="BC20" s="687"/>
      <c r="BE20" s="3122"/>
      <c r="BF20" s="688" t="s">
        <v>502</v>
      </c>
      <c r="BG20" s="688"/>
      <c r="BH20" s="685"/>
      <c r="BI20" s="686"/>
      <c r="BJ20" s="2052">
        <f t="shared" si="33"/>
        <v>0</v>
      </c>
      <c r="BK20" s="2008"/>
      <c r="BL20" s="686"/>
      <c r="BM20" s="2052">
        <f t="shared" si="34"/>
        <v>0</v>
      </c>
      <c r="BN20" s="2008"/>
      <c r="BO20" s="686"/>
      <c r="BP20" s="2052">
        <f t="shared" si="35"/>
        <v>0</v>
      </c>
      <c r="BQ20" s="687"/>
    </row>
    <row r="21" spans="1:69" ht="15.75" customHeight="1">
      <c r="A21" s="3122"/>
      <c r="B21" s="684" t="s">
        <v>351</v>
      </c>
      <c r="C21" s="684"/>
      <c r="D21" s="685"/>
      <c r="E21" s="686"/>
      <c r="F21" s="2052">
        <f t="shared" si="0"/>
        <v>0</v>
      </c>
      <c r="G21" s="2008"/>
      <c r="H21" s="686"/>
      <c r="I21" s="2052">
        <f t="shared" si="23"/>
        <v>0</v>
      </c>
      <c r="J21" s="2008"/>
      <c r="K21" s="686"/>
      <c r="L21" s="2052">
        <f t="shared" si="1"/>
        <v>0</v>
      </c>
      <c r="M21" s="687"/>
      <c r="O21" s="3122"/>
      <c r="P21" s="684" t="s">
        <v>351</v>
      </c>
      <c r="Q21" s="684"/>
      <c r="R21" s="685"/>
      <c r="S21" s="686"/>
      <c r="T21" s="2052">
        <f t="shared" si="24"/>
        <v>0</v>
      </c>
      <c r="U21" s="2008"/>
      <c r="V21" s="686"/>
      <c r="W21" s="2052">
        <f t="shared" si="25"/>
        <v>0</v>
      </c>
      <c r="X21" s="2008"/>
      <c r="Y21" s="686"/>
      <c r="Z21" s="2052">
        <f t="shared" si="26"/>
        <v>0</v>
      </c>
      <c r="AA21" s="687"/>
      <c r="AC21" s="3122"/>
      <c r="AD21" s="684" t="s">
        <v>351</v>
      </c>
      <c r="AE21" s="684"/>
      <c r="AF21" s="685"/>
      <c r="AG21" s="686"/>
      <c r="AH21" s="2052">
        <f t="shared" si="27"/>
        <v>0</v>
      </c>
      <c r="AI21" s="2008"/>
      <c r="AJ21" s="686"/>
      <c r="AK21" s="2052">
        <f t="shared" si="28"/>
        <v>0</v>
      </c>
      <c r="AL21" s="2008"/>
      <c r="AM21" s="686"/>
      <c r="AN21" s="2052">
        <f t="shared" si="29"/>
        <v>0</v>
      </c>
      <c r="AO21" s="687"/>
      <c r="AQ21" s="3122"/>
      <c r="AR21" s="684" t="s">
        <v>351</v>
      </c>
      <c r="AS21" s="684"/>
      <c r="AT21" s="685"/>
      <c r="AU21" s="686"/>
      <c r="AV21" s="2052">
        <f t="shared" si="30"/>
        <v>0</v>
      </c>
      <c r="AW21" s="2008"/>
      <c r="AX21" s="686"/>
      <c r="AY21" s="2052">
        <f t="shared" si="31"/>
        <v>0</v>
      </c>
      <c r="AZ21" s="2008"/>
      <c r="BA21" s="686"/>
      <c r="BB21" s="2052">
        <f t="shared" si="32"/>
        <v>0</v>
      </c>
      <c r="BC21" s="687"/>
      <c r="BE21" s="3122"/>
      <c r="BF21" s="684" t="s">
        <v>351</v>
      </c>
      <c r="BG21" s="684"/>
      <c r="BH21" s="685"/>
      <c r="BI21" s="686"/>
      <c r="BJ21" s="2052">
        <f t="shared" si="33"/>
        <v>0</v>
      </c>
      <c r="BK21" s="2008"/>
      <c r="BL21" s="686"/>
      <c r="BM21" s="2052">
        <f t="shared" si="34"/>
        <v>0</v>
      </c>
      <c r="BN21" s="2008"/>
      <c r="BO21" s="686"/>
      <c r="BP21" s="2052">
        <f t="shared" si="35"/>
        <v>0</v>
      </c>
      <c r="BQ21" s="687"/>
    </row>
    <row r="22" spans="1:69" ht="15.75" customHeight="1">
      <c r="A22" s="3122"/>
      <c r="B22" s="684" t="s">
        <v>352</v>
      </c>
      <c r="C22" s="684"/>
      <c r="D22" s="685"/>
      <c r="E22" s="686"/>
      <c r="F22" s="2052">
        <f t="shared" si="0"/>
        <v>0</v>
      </c>
      <c r="G22" s="2008"/>
      <c r="H22" s="686"/>
      <c r="I22" s="2052">
        <f t="shared" si="23"/>
        <v>0</v>
      </c>
      <c r="J22" s="2008"/>
      <c r="K22" s="686"/>
      <c r="L22" s="2052">
        <f t="shared" si="1"/>
        <v>0</v>
      </c>
      <c r="M22" s="687"/>
      <c r="O22" s="3122"/>
      <c r="P22" s="684" t="s">
        <v>352</v>
      </c>
      <c r="Q22" s="684"/>
      <c r="R22" s="685"/>
      <c r="S22" s="686"/>
      <c r="T22" s="2052">
        <f t="shared" si="24"/>
        <v>0</v>
      </c>
      <c r="U22" s="2008"/>
      <c r="V22" s="686"/>
      <c r="W22" s="2052">
        <f t="shared" si="25"/>
        <v>0</v>
      </c>
      <c r="X22" s="2008"/>
      <c r="Y22" s="686"/>
      <c r="Z22" s="2052">
        <f t="shared" si="26"/>
        <v>0</v>
      </c>
      <c r="AA22" s="687"/>
      <c r="AC22" s="3122"/>
      <c r="AD22" s="684" t="s">
        <v>352</v>
      </c>
      <c r="AE22" s="684"/>
      <c r="AF22" s="685"/>
      <c r="AG22" s="686"/>
      <c r="AH22" s="2052">
        <f t="shared" si="27"/>
        <v>0</v>
      </c>
      <c r="AI22" s="2008"/>
      <c r="AJ22" s="686"/>
      <c r="AK22" s="2052">
        <f t="shared" si="28"/>
        <v>0</v>
      </c>
      <c r="AL22" s="2008"/>
      <c r="AM22" s="686"/>
      <c r="AN22" s="2052">
        <f t="shared" si="29"/>
        <v>0</v>
      </c>
      <c r="AO22" s="687"/>
      <c r="AQ22" s="3122"/>
      <c r="AR22" s="684" t="s">
        <v>352</v>
      </c>
      <c r="AS22" s="684"/>
      <c r="AT22" s="685"/>
      <c r="AU22" s="686"/>
      <c r="AV22" s="2052">
        <f t="shared" si="30"/>
        <v>0</v>
      </c>
      <c r="AW22" s="2008"/>
      <c r="AX22" s="686"/>
      <c r="AY22" s="2052">
        <f t="shared" si="31"/>
        <v>0</v>
      </c>
      <c r="AZ22" s="2008"/>
      <c r="BA22" s="686"/>
      <c r="BB22" s="2052">
        <f t="shared" si="32"/>
        <v>0</v>
      </c>
      <c r="BC22" s="687"/>
      <c r="BE22" s="3122"/>
      <c r="BF22" s="684" t="s">
        <v>352</v>
      </c>
      <c r="BG22" s="684"/>
      <c r="BH22" s="685"/>
      <c r="BI22" s="686"/>
      <c r="BJ22" s="2052">
        <f t="shared" si="33"/>
        <v>0</v>
      </c>
      <c r="BK22" s="2008"/>
      <c r="BL22" s="686"/>
      <c r="BM22" s="2052">
        <f t="shared" si="34"/>
        <v>0</v>
      </c>
      <c r="BN22" s="2008"/>
      <c r="BO22" s="686"/>
      <c r="BP22" s="2052">
        <f t="shared" si="35"/>
        <v>0</v>
      </c>
      <c r="BQ22" s="687"/>
    </row>
    <row r="23" spans="1:69" ht="15.75" customHeight="1">
      <c r="A23" s="3122"/>
      <c r="B23" s="688" t="s">
        <v>503</v>
      </c>
      <c r="C23" s="688"/>
      <c r="D23" s="685"/>
      <c r="E23" s="686"/>
      <c r="F23" s="2052">
        <f t="shared" si="0"/>
        <v>0</v>
      </c>
      <c r="G23" s="2008"/>
      <c r="H23" s="686"/>
      <c r="I23" s="2052">
        <f t="shared" si="23"/>
        <v>0</v>
      </c>
      <c r="J23" s="2008"/>
      <c r="K23" s="686"/>
      <c r="L23" s="2052">
        <f t="shared" si="1"/>
        <v>0</v>
      </c>
      <c r="M23" s="687"/>
      <c r="O23" s="3122"/>
      <c r="P23" s="688" t="s">
        <v>503</v>
      </c>
      <c r="Q23" s="688"/>
      <c r="R23" s="685"/>
      <c r="S23" s="686"/>
      <c r="T23" s="2052">
        <f t="shared" si="24"/>
        <v>0</v>
      </c>
      <c r="U23" s="2008"/>
      <c r="V23" s="686"/>
      <c r="W23" s="2052">
        <f t="shared" si="25"/>
        <v>0</v>
      </c>
      <c r="X23" s="2008"/>
      <c r="Y23" s="686"/>
      <c r="Z23" s="2052">
        <f t="shared" si="26"/>
        <v>0</v>
      </c>
      <c r="AA23" s="687"/>
      <c r="AC23" s="3122"/>
      <c r="AD23" s="688" t="s">
        <v>503</v>
      </c>
      <c r="AE23" s="688"/>
      <c r="AF23" s="685"/>
      <c r="AG23" s="686"/>
      <c r="AH23" s="2052">
        <f t="shared" si="27"/>
        <v>0</v>
      </c>
      <c r="AI23" s="2008"/>
      <c r="AJ23" s="686"/>
      <c r="AK23" s="2052">
        <f t="shared" si="28"/>
        <v>0</v>
      </c>
      <c r="AL23" s="2008"/>
      <c r="AM23" s="686"/>
      <c r="AN23" s="2052">
        <f t="shared" si="29"/>
        <v>0</v>
      </c>
      <c r="AO23" s="687"/>
      <c r="AQ23" s="3122"/>
      <c r="AR23" s="688" t="s">
        <v>503</v>
      </c>
      <c r="AS23" s="688"/>
      <c r="AT23" s="685"/>
      <c r="AU23" s="686"/>
      <c r="AV23" s="2052">
        <f t="shared" si="30"/>
        <v>0</v>
      </c>
      <c r="AW23" s="2008"/>
      <c r="AX23" s="686"/>
      <c r="AY23" s="2052">
        <f t="shared" si="31"/>
        <v>0</v>
      </c>
      <c r="AZ23" s="2008"/>
      <c r="BA23" s="686"/>
      <c r="BB23" s="2052">
        <f t="shared" si="32"/>
        <v>0</v>
      </c>
      <c r="BC23" s="687"/>
      <c r="BE23" s="3122"/>
      <c r="BF23" s="688" t="s">
        <v>503</v>
      </c>
      <c r="BG23" s="688"/>
      <c r="BH23" s="685"/>
      <c r="BI23" s="686"/>
      <c r="BJ23" s="2052">
        <f t="shared" si="33"/>
        <v>0</v>
      </c>
      <c r="BK23" s="2008"/>
      <c r="BL23" s="686"/>
      <c r="BM23" s="2052">
        <f t="shared" si="34"/>
        <v>0</v>
      </c>
      <c r="BN23" s="2008"/>
      <c r="BO23" s="686"/>
      <c r="BP23" s="2052">
        <f t="shared" si="35"/>
        <v>0</v>
      </c>
      <c r="BQ23" s="687"/>
    </row>
    <row r="24" spans="1:69" ht="15.75" customHeight="1">
      <c r="A24" s="3122"/>
      <c r="B24" s="688" t="s">
        <v>507</v>
      </c>
      <c r="C24" s="688"/>
      <c r="D24" s="685"/>
      <c r="E24" s="686"/>
      <c r="F24" s="2052">
        <f t="shared" si="0"/>
        <v>0</v>
      </c>
      <c r="G24" s="2008"/>
      <c r="H24" s="686"/>
      <c r="I24" s="2052">
        <f t="shared" si="23"/>
        <v>0</v>
      </c>
      <c r="J24" s="2008"/>
      <c r="K24" s="686"/>
      <c r="L24" s="2052">
        <f t="shared" si="1"/>
        <v>0</v>
      </c>
      <c r="M24" s="687"/>
      <c r="O24" s="3122"/>
      <c r="P24" s="688" t="s">
        <v>507</v>
      </c>
      <c r="Q24" s="688"/>
      <c r="R24" s="685"/>
      <c r="S24" s="686"/>
      <c r="T24" s="2052">
        <f t="shared" si="24"/>
        <v>0</v>
      </c>
      <c r="U24" s="2008"/>
      <c r="V24" s="686"/>
      <c r="W24" s="2052">
        <f t="shared" si="25"/>
        <v>0</v>
      </c>
      <c r="X24" s="2008"/>
      <c r="Y24" s="686"/>
      <c r="Z24" s="2052">
        <f t="shared" si="26"/>
        <v>0</v>
      </c>
      <c r="AA24" s="687"/>
      <c r="AC24" s="3122"/>
      <c r="AD24" s="688" t="s">
        <v>507</v>
      </c>
      <c r="AE24" s="688"/>
      <c r="AF24" s="685"/>
      <c r="AG24" s="686"/>
      <c r="AH24" s="2052">
        <f t="shared" si="27"/>
        <v>0</v>
      </c>
      <c r="AI24" s="2008"/>
      <c r="AJ24" s="686"/>
      <c r="AK24" s="2052">
        <f t="shared" si="28"/>
        <v>0</v>
      </c>
      <c r="AL24" s="2008"/>
      <c r="AM24" s="686"/>
      <c r="AN24" s="2052">
        <f t="shared" si="29"/>
        <v>0</v>
      </c>
      <c r="AO24" s="687"/>
      <c r="AQ24" s="3122"/>
      <c r="AR24" s="688" t="s">
        <v>507</v>
      </c>
      <c r="AS24" s="688"/>
      <c r="AT24" s="685"/>
      <c r="AU24" s="686"/>
      <c r="AV24" s="2052">
        <f t="shared" si="30"/>
        <v>0</v>
      </c>
      <c r="AW24" s="2008"/>
      <c r="AX24" s="686"/>
      <c r="AY24" s="2052">
        <f t="shared" si="31"/>
        <v>0</v>
      </c>
      <c r="AZ24" s="2008"/>
      <c r="BA24" s="686"/>
      <c r="BB24" s="2052">
        <f t="shared" si="32"/>
        <v>0</v>
      </c>
      <c r="BC24" s="687"/>
      <c r="BE24" s="3122"/>
      <c r="BF24" s="688" t="s">
        <v>507</v>
      </c>
      <c r="BG24" s="688"/>
      <c r="BH24" s="685"/>
      <c r="BI24" s="686"/>
      <c r="BJ24" s="2052">
        <f t="shared" si="33"/>
        <v>0</v>
      </c>
      <c r="BK24" s="2008"/>
      <c r="BL24" s="686"/>
      <c r="BM24" s="2052">
        <f t="shared" si="34"/>
        <v>0</v>
      </c>
      <c r="BN24" s="2008"/>
      <c r="BO24" s="686"/>
      <c r="BP24" s="2052">
        <f t="shared" si="35"/>
        <v>0</v>
      </c>
      <c r="BQ24" s="687"/>
    </row>
    <row r="25" spans="1:69" ht="15.75" customHeight="1">
      <c r="A25" s="3122"/>
      <c r="B25" s="688" t="s">
        <v>499</v>
      </c>
      <c r="C25" s="688"/>
      <c r="D25" s="685"/>
      <c r="E25" s="686"/>
      <c r="F25" s="2052">
        <f t="shared" ref="F25" si="36">D25*E25</f>
        <v>0</v>
      </c>
      <c r="G25" s="2008"/>
      <c r="H25" s="686"/>
      <c r="I25" s="2052">
        <f t="shared" ref="I25" si="37">G25*H25</f>
        <v>0</v>
      </c>
      <c r="J25" s="2008"/>
      <c r="K25" s="686"/>
      <c r="L25" s="2052">
        <f t="shared" ref="L25" si="38">J25*K25</f>
        <v>0</v>
      </c>
      <c r="M25" s="687"/>
      <c r="O25" s="3122"/>
      <c r="P25" s="688" t="s">
        <v>499</v>
      </c>
      <c r="Q25" s="688"/>
      <c r="R25" s="685"/>
      <c r="S25" s="686"/>
      <c r="T25" s="2052">
        <f t="shared" si="24"/>
        <v>0</v>
      </c>
      <c r="U25" s="2008"/>
      <c r="V25" s="686"/>
      <c r="W25" s="2052">
        <f t="shared" si="25"/>
        <v>0</v>
      </c>
      <c r="X25" s="2008"/>
      <c r="Y25" s="686"/>
      <c r="Z25" s="2052">
        <f t="shared" si="26"/>
        <v>0</v>
      </c>
      <c r="AA25" s="687"/>
      <c r="AC25" s="3122"/>
      <c r="AD25" s="688" t="s">
        <v>499</v>
      </c>
      <c r="AE25" s="688"/>
      <c r="AF25" s="685"/>
      <c r="AG25" s="686"/>
      <c r="AH25" s="2052">
        <f t="shared" si="27"/>
        <v>0</v>
      </c>
      <c r="AI25" s="2008"/>
      <c r="AJ25" s="686"/>
      <c r="AK25" s="2052">
        <f t="shared" si="28"/>
        <v>0</v>
      </c>
      <c r="AL25" s="2008"/>
      <c r="AM25" s="686"/>
      <c r="AN25" s="2052">
        <f t="shared" si="29"/>
        <v>0</v>
      </c>
      <c r="AO25" s="687"/>
      <c r="AQ25" s="3122"/>
      <c r="AR25" s="688" t="s">
        <v>499</v>
      </c>
      <c r="AS25" s="688"/>
      <c r="AT25" s="685"/>
      <c r="AU25" s="686"/>
      <c r="AV25" s="2052">
        <f t="shared" si="30"/>
        <v>0</v>
      </c>
      <c r="AW25" s="2008"/>
      <c r="AX25" s="686"/>
      <c r="AY25" s="2052">
        <f t="shared" si="31"/>
        <v>0</v>
      </c>
      <c r="AZ25" s="2008"/>
      <c r="BA25" s="686"/>
      <c r="BB25" s="2052">
        <f t="shared" si="32"/>
        <v>0</v>
      </c>
      <c r="BC25" s="687"/>
      <c r="BE25" s="3122"/>
      <c r="BF25" s="688" t="s">
        <v>499</v>
      </c>
      <c r="BG25" s="688"/>
      <c r="BH25" s="685"/>
      <c r="BI25" s="686"/>
      <c r="BJ25" s="2052">
        <f t="shared" si="33"/>
        <v>0</v>
      </c>
      <c r="BK25" s="2008"/>
      <c r="BL25" s="686"/>
      <c r="BM25" s="2052">
        <f t="shared" si="34"/>
        <v>0</v>
      </c>
      <c r="BN25" s="2008"/>
      <c r="BO25" s="686"/>
      <c r="BP25" s="2052">
        <f t="shared" si="35"/>
        <v>0</v>
      </c>
      <c r="BQ25" s="687"/>
    </row>
    <row r="26" spans="1:69" ht="15.75" customHeight="1">
      <c r="A26" s="3122"/>
      <c r="B26" s="1915" t="s">
        <v>488</v>
      </c>
      <c r="C26" s="1915"/>
      <c r="D26" s="685"/>
      <c r="E26" s="686"/>
      <c r="F26" s="2052">
        <f t="shared" si="0"/>
        <v>0</v>
      </c>
      <c r="G26" s="2008"/>
      <c r="H26" s="686"/>
      <c r="I26" s="2052">
        <f t="shared" si="23"/>
        <v>0</v>
      </c>
      <c r="J26" s="2008"/>
      <c r="K26" s="686"/>
      <c r="L26" s="2052">
        <f t="shared" si="1"/>
        <v>0</v>
      </c>
      <c r="M26" s="687"/>
      <c r="O26" s="3122"/>
      <c r="P26" s="1915" t="s">
        <v>488</v>
      </c>
      <c r="Q26" s="1915"/>
      <c r="R26" s="685"/>
      <c r="S26" s="686"/>
      <c r="T26" s="2052">
        <f t="shared" si="24"/>
        <v>0</v>
      </c>
      <c r="U26" s="2008"/>
      <c r="V26" s="686"/>
      <c r="W26" s="2052">
        <f t="shared" si="25"/>
        <v>0</v>
      </c>
      <c r="X26" s="2008"/>
      <c r="Y26" s="686"/>
      <c r="Z26" s="2052">
        <f t="shared" si="26"/>
        <v>0</v>
      </c>
      <c r="AA26" s="687"/>
      <c r="AC26" s="3122"/>
      <c r="AD26" s="1915" t="s">
        <v>488</v>
      </c>
      <c r="AE26" s="1915"/>
      <c r="AF26" s="685"/>
      <c r="AG26" s="686"/>
      <c r="AH26" s="2052">
        <f t="shared" si="27"/>
        <v>0</v>
      </c>
      <c r="AI26" s="2008"/>
      <c r="AJ26" s="686"/>
      <c r="AK26" s="2052">
        <f t="shared" si="28"/>
        <v>0</v>
      </c>
      <c r="AL26" s="2008"/>
      <c r="AM26" s="686"/>
      <c r="AN26" s="2052">
        <f t="shared" si="29"/>
        <v>0</v>
      </c>
      <c r="AO26" s="687"/>
      <c r="AQ26" s="3122"/>
      <c r="AR26" s="1915" t="s">
        <v>488</v>
      </c>
      <c r="AS26" s="1915"/>
      <c r="AT26" s="685"/>
      <c r="AU26" s="686"/>
      <c r="AV26" s="2052">
        <f t="shared" si="30"/>
        <v>0</v>
      </c>
      <c r="AW26" s="2008"/>
      <c r="AX26" s="686"/>
      <c r="AY26" s="2052">
        <f t="shared" si="31"/>
        <v>0</v>
      </c>
      <c r="AZ26" s="2008"/>
      <c r="BA26" s="686"/>
      <c r="BB26" s="2052">
        <f t="shared" si="32"/>
        <v>0</v>
      </c>
      <c r="BC26" s="687"/>
      <c r="BE26" s="3122"/>
      <c r="BF26" s="1915" t="s">
        <v>488</v>
      </c>
      <c r="BG26" s="1915"/>
      <c r="BH26" s="685"/>
      <c r="BI26" s="686"/>
      <c r="BJ26" s="2052">
        <f t="shared" si="33"/>
        <v>0</v>
      </c>
      <c r="BK26" s="2008"/>
      <c r="BL26" s="686"/>
      <c r="BM26" s="2052">
        <f t="shared" si="34"/>
        <v>0</v>
      </c>
      <c r="BN26" s="2008"/>
      <c r="BO26" s="686"/>
      <c r="BP26" s="2052">
        <f t="shared" si="35"/>
        <v>0</v>
      </c>
      <c r="BQ26" s="687"/>
    </row>
    <row r="27" spans="1:69" s="1992" customFormat="1" ht="15.75" customHeight="1">
      <c r="A27" s="3122"/>
      <c r="B27" s="939" t="s">
        <v>353</v>
      </c>
      <c r="C27" s="941"/>
      <c r="D27" s="940"/>
      <c r="E27" s="1983"/>
      <c r="F27" s="2115">
        <f>SUM(F28:F29)</f>
        <v>0</v>
      </c>
      <c r="G27" s="940"/>
      <c r="H27" s="1983"/>
      <c r="I27" s="2115">
        <f>SUM(I28:I29)</f>
        <v>0</v>
      </c>
      <c r="J27" s="940"/>
      <c r="K27" s="1983"/>
      <c r="L27" s="2115">
        <f>SUM(L28:L29)</f>
        <v>0</v>
      </c>
      <c r="M27" s="942"/>
      <c r="O27" s="3122"/>
      <c r="P27" s="939" t="s">
        <v>353</v>
      </c>
      <c r="Q27" s="941"/>
      <c r="R27" s="940"/>
      <c r="S27" s="1983"/>
      <c r="T27" s="2115">
        <f>SUM(T28:T29)</f>
        <v>0</v>
      </c>
      <c r="U27" s="940"/>
      <c r="V27" s="1983"/>
      <c r="W27" s="2115">
        <f>SUM(W28:W29)</f>
        <v>0</v>
      </c>
      <c r="X27" s="940"/>
      <c r="Y27" s="1983"/>
      <c r="Z27" s="2115">
        <f>SUM(Z28:Z29)</f>
        <v>0</v>
      </c>
      <c r="AA27" s="942"/>
      <c r="AC27" s="3122"/>
      <c r="AD27" s="939" t="s">
        <v>353</v>
      </c>
      <c r="AE27" s="941"/>
      <c r="AF27" s="940"/>
      <c r="AG27" s="1983"/>
      <c r="AH27" s="2115">
        <f>SUM(AH28:AH29)</f>
        <v>0</v>
      </c>
      <c r="AI27" s="940"/>
      <c r="AJ27" s="1983"/>
      <c r="AK27" s="2115">
        <f>SUM(AK28:AK29)</f>
        <v>0</v>
      </c>
      <c r="AL27" s="940"/>
      <c r="AM27" s="1983"/>
      <c r="AN27" s="2115">
        <f>SUM(AN28:AN29)</f>
        <v>0</v>
      </c>
      <c r="AO27" s="942"/>
      <c r="AQ27" s="3122"/>
      <c r="AR27" s="939" t="s">
        <v>353</v>
      </c>
      <c r="AS27" s="941"/>
      <c r="AT27" s="940"/>
      <c r="AU27" s="1983"/>
      <c r="AV27" s="2115">
        <f>SUM(AV28:AV29)</f>
        <v>0</v>
      </c>
      <c r="AW27" s="940"/>
      <c r="AX27" s="1983"/>
      <c r="AY27" s="2115">
        <f>SUM(AY28:AY29)</f>
        <v>0</v>
      </c>
      <c r="AZ27" s="940"/>
      <c r="BA27" s="1983"/>
      <c r="BB27" s="2115">
        <f>SUM(BB28:BB29)</f>
        <v>0</v>
      </c>
      <c r="BC27" s="942"/>
      <c r="BE27" s="3122"/>
      <c r="BF27" s="939" t="s">
        <v>353</v>
      </c>
      <c r="BG27" s="941"/>
      <c r="BH27" s="940"/>
      <c r="BI27" s="1983"/>
      <c r="BJ27" s="2115">
        <f>SUM(BJ28:BJ29)</f>
        <v>0</v>
      </c>
      <c r="BK27" s="940"/>
      <c r="BL27" s="1983"/>
      <c r="BM27" s="2115">
        <f>SUM(BM28:BM29)</f>
        <v>0</v>
      </c>
      <c r="BN27" s="940"/>
      <c r="BO27" s="1983"/>
      <c r="BP27" s="2115">
        <f>SUM(BP28:BP29)</f>
        <v>0</v>
      </c>
      <c r="BQ27" s="942"/>
    </row>
    <row r="28" spans="1:69" s="683" customFormat="1" ht="15.75" customHeight="1">
      <c r="A28" s="3122"/>
      <c r="B28" s="688" t="s">
        <v>504</v>
      </c>
      <c r="C28" s="688"/>
      <c r="D28" s="685"/>
      <c r="E28" s="686"/>
      <c r="F28" s="2052">
        <f t="shared" si="0"/>
        <v>0</v>
      </c>
      <c r="G28" s="2008"/>
      <c r="H28" s="686"/>
      <c r="I28" s="2052">
        <f>G28*H28</f>
        <v>0</v>
      </c>
      <c r="J28" s="2008"/>
      <c r="K28" s="686"/>
      <c r="L28" s="2052">
        <f t="shared" si="1"/>
        <v>0</v>
      </c>
      <c r="M28" s="687"/>
      <c r="O28" s="3122"/>
      <c r="P28" s="688" t="s">
        <v>504</v>
      </c>
      <c r="Q28" s="688"/>
      <c r="R28" s="685"/>
      <c r="S28" s="686"/>
      <c r="T28" s="2052">
        <f t="shared" ref="T28:T29" si="39">R28*S28</f>
        <v>0</v>
      </c>
      <c r="U28" s="2008"/>
      <c r="V28" s="686"/>
      <c r="W28" s="2052">
        <f>U28*V28</f>
        <v>0</v>
      </c>
      <c r="X28" s="2008"/>
      <c r="Y28" s="686"/>
      <c r="Z28" s="2052">
        <f t="shared" ref="Z28:Z29" si="40">X28*Y28</f>
        <v>0</v>
      </c>
      <c r="AA28" s="687"/>
      <c r="AC28" s="3122"/>
      <c r="AD28" s="688" t="s">
        <v>504</v>
      </c>
      <c r="AE28" s="688"/>
      <c r="AF28" s="685"/>
      <c r="AG28" s="686"/>
      <c r="AH28" s="2052">
        <f t="shared" ref="AH28:AH29" si="41">AF28*AG28</f>
        <v>0</v>
      </c>
      <c r="AI28" s="2008"/>
      <c r="AJ28" s="686"/>
      <c r="AK28" s="2052">
        <f>AI28*AJ28</f>
        <v>0</v>
      </c>
      <c r="AL28" s="2008"/>
      <c r="AM28" s="686"/>
      <c r="AN28" s="2052">
        <f t="shared" ref="AN28:AN29" si="42">AL28*AM28</f>
        <v>0</v>
      </c>
      <c r="AO28" s="687"/>
      <c r="AQ28" s="3122"/>
      <c r="AR28" s="688" t="s">
        <v>504</v>
      </c>
      <c r="AS28" s="688"/>
      <c r="AT28" s="685"/>
      <c r="AU28" s="686"/>
      <c r="AV28" s="2052">
        <f t="shared" ref="AV28:AV29" si="43">AT28*AU28</f>
        <v>0</v>
      </c>
      <c r="AW28" s="2008"/>
      <c r="AX28" s="686"/>
      <c r="AY28" s="2052">
        <f>AW28*AX28</f>
        <v>0</v>
      </c>
      <c r="AZ28" s="2008"/>
      <c r="BA28" s="686"/>
      <c r="BB28" s="2052">
        <f t="shared" ref="BB28:BB29" si="44">AZ28*BA28</f>
        <v>0</v>
      </c>
      <c r="BC28" s="687"/>
      <c r="BE28" s="3122"/>
      <c r="BF28" s="688" t="s">
        <v>504</v>
      </c>
      <c r="BG28" s="688"/>
      <c r="BH28" s="685"/>
      <c r="BI28" s="686"/>
      <c r="BJ28" s="2052">
        <f t="shared" ref="BJ28:BJ29" si="45">BH28*BI28</f>
        <v>0</v>
      </c>
      <c r="BK28" s="2008"/>
      <c r="BL28" s="686"/>
      <c r="BM28" s="2052">
        <f>BK28*BL28</f>
        <v>0</v>
      </c>
      <c r="BN28" s="2008"/>
      <c r="BO28" s="686"/>
      <c r="BP28" s="2052">
        <f t="shared" ref="BP28:BP29" si="46">BN28*BO28</f>
        <v>0</v>
      </c>
      <c r="BQ28" s="687"/>
    </row>
    <row r="29" spans="1:69" s="683" customFormat="1" ht="15.75" customHeight="1">
      <c r="A29" s="3122"/>
      <c r="B29" s="1915" t="s">
        <v>542</v>
      </c>
      <c r="C29" s="688"/>
      <c r="D29" s="685"/>
      <c r="E29" s="686"/>
      <c r="F29" s="2052">
        <f t="shared" ref="F29" si="47">D29*E29</f>
        <v>0</v>
      </c>
      <c r="G29" s="2008"/>
      <c r="H29" s="686"/>
      <c r="I29" s="2052">
        <f>G29*H29</f>
        <v>0</v>
      </c>
      <c r="J29" s="2008"/>
      <c r="K29" s="686"/>
      <c r="L29" s="2052">
        <f t="shared" ref="L29" si="48">J29*K29</f>
        <v>0</v>
      </c>
      <c r="M29" s="687"/>
      <c r="O29" s="3122"/>
      <c r="P29" s="1915" t="s">
        <v>542</v>
      </c>
      <c r="Q29" s="688"/>
      <c r="R29" s="685"/>
      <c r="S29" s="686"/>
      <c r="T29" s="2052">
        <f t="shared" si="39"/>
        <v>0</v>
      </c>
      <c r="U29" s="2008"/>
      <c r="V29" s="686"/>
      <c r="W29" s="2052">
        <f>U29*V29</f>
        <v>0</v>
      </c>
      <c r="X29" s="2008"/>
      <c r="Y29" s="686"/>
      <c r="Z29" s="2052">
        <f t="shared" si="40"/>
        <v>0</v>
      </c>
      <c r="AA29" s="687"/>
      <c r="AC29" s="3122"/>
      <c r="AD29" s="1915" t="s">
        <v>542</v>
      </c>
      <c r="AE29" s="688"/>
      <c r="AF29" s="685"/>
      <c r="AG29" s="686"/>
      <c r="AH29" s="2052">
        <f t="shared" si="41"/>
        <v>0</v>
      </c>
      <c r="AI29" s="2008"/>
      <c r="AJ29" s="686"/>
      <c r="AK29" s="2052">
        <f>AI29*AJ29</f>
        <v>0</v>
      </c>
      <c r="AL29" s="2008"/>
      <c r="AM29" s="686"/>
      <c r="AN29" s="2052">
        <f t="shared" si="42"/>
        <v>0</v>
      </c>
      <c r="AO29" s="687"/>
      <c r="AQ29" s="3122"/>
      <c r="AR29" s="1915" t="s">
        <v>542</v>
      </c>
      <c r="AS29" s="688"/>
      <c r="AT29" s="685"/>
      <c r="AU29" s="686"/>
      <c r="AV29" s="2052">
        <f t="shared" si="43"/>
        <v>0</v>
      </c>
      <c r="AW29" s="2008"/>
      <c r="AX29" s="686"/>
      <c r="AY29" s="2052">
        <f>AW29*AX29</f>
        <v>0</v>
      </c>
      <c r="AZ29" s="2008"/>
      <c r="BA29" s="686"/>
      <c r="BB29" s="2052">
        <f t="shared" si="44"/>
        <v>0</v>
      </c>
      <c r="BC29" s="687"/>
      <c r="BE29" s="3122"/>
      <c r="BF29" s="1915" t="s">
        <v>542</v>
      </c>
      <c r="BG29" s="688"/>
      <c r="BH29" s="685"/>
      <c r="BI29" s="686"/>
      <c r="BJ29" s="2052">
        <f t="shared" si="45"/>
        <v>0</v>
      </c>
      <c r="BK29" s="2008"/>
      <c r="BL29" s="686"/>
      <c r="BM29" s="2052">
        <f>BK29*BL29</f>
        <v>0</v>
      </c>
      <c r="BN29" s="2008"/>
      <c r="BO29" s="686"/>
      <c r="BP29" s="2052">
        <f t="shared" si="46"/>
        <v>0</v>
      </c>
      <c r="BQ29" s="687"/>
    </row>
    <row r="30" spans="1:69" s="1992" customFormat="1" ht="15.75" customHeight="1">
      <c r="A30" s="3122"/>
      <c r="B30" s="939" t="s">
        <v>354</v>
      </c>
      <c r="C30" s="941"/>
      <c r="D30" s="943"/>
      <c r="E30" s="1983"/>
      <c r="F30" s="2115">
        <f>SUM(F31:F32)</f>
        <v>0</v>
      </c>
      <c r="G30" s="943"/>
      <c r="H30" s="1983"/>
      <c r="I30" s="2115">
        <f>SUM(I31:I32)</f>
        <v>0</v>
      </c>
      <c r="J30" s="943"/>
      <c r="K30" s="1983"/>
      <c r="L30" s="2115">
        <f>SUM(L31:L32)</f>
        <v>0</v>
      </c>
      <c r="M30" s="942"/>
      <c r="O30" s="3122"/>
      <c r="P30" s="939" t="s">
        <v>354</v>
      </c>
      <c r="Q30" s="941"/>
      <c r="R30" s="943"/>
      <c r="S30" s="1983"/>
      <c r="T30" s="2115">
        <f>SUM(T31:T32)</f>
        <v>0</v>
      </c>
      <c r="U30" s="943"/>
      <c r="V30" s="1983"/>
      <c r="W30" s="2115">
        <f>SUM(W31:W32)</f>
        <v>0</v>
      </c>
      <c r="X30" s="943"/>
      <c r="Y30" s="1983"/>
      <c r="Z30" s="2115">
        <f>SUM(Z31:Z32)</f>
        <v>0</v>
      </c>
      <c r="AA30" s="942"/>
      <c r="AC30" s="3122"/>
      <c r="AD30" s="939" t="s">
        <v>354</v>
      </c>
      <c r="AE30" s="941"/>
      <c r="AF30" s="943"/>
      <c r="AG30" s="1983"/>
      <c r="AH30" s="2115">
        <f>SUM(AH31:AH32)</f>
        <v>0</v>
      </c>
      <c r="AI30" s="943"/>
      <c r="AJ30" s="1983"/>
      <c r="AK30" s="2115">
        <f>SUM(AK31:AK32)</f>
        <v>0</v>
      </c>
      <c r="AL30" s="943"/>
      <c r="AM30" s="1983"/>
      <c r="AN30" s="2115">
        <f>SUM(AN31:AN32)</f>
        <v>0</v>
      </c>
      <c r="AO30" s="942"/>
      <c r="AQ30" s="3122"/>
      <c r="AR30" s="939" t="s">
        <v>354</v>
      </c>
      <c r="AS30" s="941"/>
      <c r="AT30" s="943"/>
      <c r="AU30" s="1983"/>
      <c r="AV30" s="2115">
        <f>SUM(AV31:AV32)</f>
        <v>0</v>
      </c>
      <c r="AW30" s="943"/>
      <c r="AX30" s="1983"/>
      <c r="AY30" s="2115">
        <f>SUM(AY31:AY32)</f>
        <v>0</v>
      </c>
      <c r="AZ30" s="943"/>
      <c r="BA30" s="1983"/>
      <c r="BB30" s="2115">
        <f>SUM(BB31:BB32)</f>
        <v>0</v>
      </c>
      <c r="BC30" s="942"/>
      <c r="BE30" s="3122"/>
      <c r="BF30" s="939" t="s">
        <v>354</v>
      </c>
      <c r="BG30" s="941"/>
      <c r="BH30" s="943"/>
      <c r="BI30" s="1983"/>
      <c r="BJ30" s="2115">
        <f>SUM(BJ31:BJ32)</f>
        <v>0</v>
      </c>
      <c r="BK30" s="943"/>
      <c r="BL30" s="1983"/>
      <c r="BM30" s="2115">
        <f>SUM(BM31:BM32)</f>
        <v>0</v>
      </c>
      <c r="BN30" s="943"/>
      <c r="BO30" s="1983"/>
      <c r="BP30" s="2115">
        <f>SUM(BP31:BP32)</f>
        <v>0</v>
      </c>
      <c r="BQ30" s="942"/>
    </row>
    <row r="31" spans="1:69" ht="15.75" customHeight="1">
      <c r="A31" s="3122"/>
      <c r="B31" s="1915" t="s">
        <v>488</v>
      </c>
      <c r="C31" s="1915"/>
      <c r="D31" s="685"/>
      <c r="E31" s="686"/>
      <c r="F31" s="2052">
        <f t="shared" si="0"/>
        <v>0</v>
      </c>
      <c r="G31" s="2008"/>
      <c r="H31" s="686"/>
      <c r="I31" s="2052">
        <f>G31*H31</f>
        <v>0</v>
      </c>
      <c r="J31" s="2008"/>
      <c r="K31" s="689"/>
      <c r="L31" s="2052">
        <f t="shared" si="1"/>
        <v>0</v>
      </c>
      <c r="M31" s="687"/>
      <c r="O31" s="3122"/>
      <c r="P31" s="1915" t="s">
        <v>488</v>
      </c>
      <c r="Q31" s="1915"/>
      <c r="R31" s="685"/>
      <c r="S31" s="686"/>
      <c r="T31" s="2052">
        <f t="shared" ref="T31:T32" si="49">R31*S31</f>
        <v>0</v>
      </c>
      <c r="U31" s="2008"/>
      <c r="V31" s="686"/>
      <c r="W31" s="2052">
        <f>U31*V31</f>
        <v>0</v>
      </c>
      <c r="X31" s="2008"/>
      <c r="Y31" s="689"/>
      <c r="Z31" s="2052">
        <f t="shared" ref="Z31:Z32" si="50">X31*Y31</f>
        <v>0</v>
      </c>
      <c r="AA31" s="687"/>
      <c r="AC31" s="3122"/>
      <c r="AD31" s="1915" t="s">
        <v>488</v>
      </c>
      <c r="AE31" s="1915"/>
      <c r="AF31" s="685"/>
      <c r="AG31" s="686"/>
      <c r="AH31" s="2052">
        <f t="shared" ref="AH31:AH32" si="51">AF31*AG31</f>
        <v>0</v>
      </c>
      <c r="AI31" s="2008"/>
      <c r="AJ31" s="686"/>
      <c r="AK31" s="2052">
        <f>AI31*AJ31</f>
        <v>0</v>
      </c>
      <c r="AL31" s="2008"/>
      <c r="AM31" s="689"/>
      <c r="AN31" s="2052">
        <f t="shared" ref="AN31:AN32" si="52">AL31*AM31</f>
        <v>0</v>
      </c>
      <c r="AO31" s="687"/>
      <c r="AQ31" s="3122"/>
      <c r="AR31" s="1915" t="s">
        <v>488</v>
      </c>
      <c r="AS31" s="1915"/>
      <c r="AT31" s="685"/>
      <c r="AU31" s="686"/>
      <c r="AV31" s="2052">
        <f t="shared" ref="AV31:AV32" si="53">AT31*AU31</f>
        <v>0</v>
      </c>
      <c r="AW31" s="2008"/>
      <c r="AX31" s="686"/>
      <c r="AY31" s="2052">
        <f>AW31*AX31</f>
        <v>0</v>
      </c>
      <c r="AZ31" s="2008"/>
      <c r="BA31" s="689"/>
      <c r="BB31" s="2052">
        <f t="shared" ref="BB31:BB32" si="54">AZ31*BA31</f>
        <v>0</v>
      </c>
      <c r="BC31" s="687"/>
      <c r="BE31" s="3122"/>
      <c r="BF31" s="1915" t="s">
        <v>488</v>
      </c>
      <c r="BG31" s="1915"/>
      <c r="BH31" s="685"/>
      <c r="BI31" s="686"/>
      <c r="BJ31" s="2052">
        <f t="shared" ref="BJ31:BJ32" si="55">BH31*BI31</f>
        <v>0</v>
      </c>
      <c r="BK31" s="2008"/>
      <c r="BL31" s="686"/>
      <c r="BM31" s="2052">
        <f>BK31*BL31</f>
        <v>0</v>
      </c>
      <c r="BN31" s="2008"/>
      <c r="BO31" s="689"/>
      <c r="BP31" s="2052">
        <f t="shared" ref="BP31:BP32" si="56">BN31*BO31</f>
        <v>0</v>
      </c>
      <c r="BQ31" s="687"/>
    </row>
    <row r="32" spans="1:69" ht="15.75" customHeight="1" thickBot="1">
      <c r="A32" s="3122"/>
      <c r="B32" s="1993" t="s">
        <v>488</v>
      </c>
      <c r="C32" s="1993"/>
      <c r="D32" s="1994"/>
      <c r="E32" s="1995"/>
      <c r="F32" s="2053">
        <f t="shared" si="0"/>
        <v>0</v>
      </c>
      <c r="G32" s="2009"/>
      <c r="H32" s="1995"/>
      <c r="I32" s="2053">
        <f>G32*H32</f>
        <v>0</v>
      </c>
      <c r="J32" s="2009"/>
      <c r="K32" s="1996"/>
      <c r="L32" s="2053">
        <f t="shared" si="1"/>
        <v>0</v>
      </c>
      <c r="M32" s="687"/>
      <c r="O32" s="3122"/>
      <c r="P32" s="1993" t="s">
        <v>488</v>
      </c>
      <c r="Q32" s="1993"/>
      <c r="R32" s="1994"/>
      <c r="S32" s="1995"/>
      <c r="T32" s="2053">
        <f t="shared" si="49"/>
        <v>0</v>
      </c>
      <c r="U32" s="2009"/>
      <c r="V32" s="1995"/>
      <c r="W32" s="2053">
        <f>U32*V32</f>
        <v>0</v>
      </c>
      <c r="X32" s="2009"/>
      <c r="Y32" s="1996"/>
      <c r="Z32" s="2053">
        <f t="shared" si="50"/>
        <v>0</v>
      </c>
      <c r="AA32" s="687"/>
      <c r="AC32" s="3122"/>
      <c r="AD32" s="1993" t="s">
        <v>488</v>
      </c>
      <c r="AE32" s="1993"/>
      <c r="AF32" s="1994"/>
      <c r="AG32" s="1995"/>
      <c r="AH32" s="2053">
        <f t="shared" si="51"/>
        <v>0</v>
      </c>
      <c r="AI32" s="2009"/>
      <c r="AJ32" s="1995"/>
      <c r="AK32" s="2053">
        <f>AI32*AJ32</f>
        <v>0</v>
      </c>
      <c r="AL32" s="2009"/>
      <c r="AM32" s="1996"/>
      <c r="AN32" s="2053">
        <f t="shared" si="52"/>
        <v>0</v>
      </c>
      <c r="AO32" s="687"/>
      <c r="AQ32" s="3122"/>
      <c r="AR32" s="1993" t="s">
        <v>488</v>
      </c>
      <c r="AS32" s="1993"/>
      <c r="AT32" s="1994"/>
      <c r="AU32" s="1995"/>
      <c r="AV32" s="2053">
        <f t="shared" si="53"/>
        <v>0</v>
      </c>
      <c r="AW32" s="2009"/>
      <c r="AX32" s="1995"/>
      <c r="AY32" s="2053">
        <f>AW32*AX32</f>
        <v>0</v>
      </c>
      <c r="AZ32" s="2009"/>
      <c r="BA32" s="1996"/>
      <c r="BB32" s="2053">
        <f t="shared" si="54"/>
        <v>0</v>
      </c>
      <c r="BC32" s="687"/>
      <c r="BE32" s="3122"/>
      <c r="BF32" s="1993" t="s">
        <v>488</v>
      </c>
      <c r="BG32" s="1993"/>
      <c r="BH32" s="1994"/>
      <c r="BI32" s="1995"/>
      <c r="BJ32" s="2053">
        <f t="shared" si="55"/>
        <v>0</v>
      </c>
      <c r="BK32" s="2009"/>
      <c r="BL32" s="1995"/>
      <c r="BM32" s="2053">
        <f>BK32*BL32</f>
        <v>0</v>
      </c>
      <c r="BN32" s="2009"/>
      <c r="BO32" s="1996"/>
      <c r="BP32" s="2053">
        <f t="shared" si="56"/>
        <v>0</v>
      </c>
      <c r="BQ32" s="687"/>
    </row>
    <row r="33" spans="1:69" s="683" customFormat="1" ht="15.75" customHeight="1">
      <c r="A33" s="3090" t="s">
        <v>363</v>
      </c>
      <c r="B33" s="1997" t="s">
        <v>363</v>
      </c>
      <c r="C33" s="1998"/>
      <c r="D33" s="1999"/>
      <c r="E33" s="2001"/>
      <c r="F33" s="2054">
        <f>SUM(F34:F41)</f>
        <v>0</v>
      </c>
      <c r="G33" s="1999"/>
      <c r="H33" s="2001"/>
      <c r="I33" s="2054">
        <f>SUM(I34:I41)</f>
        <v>0</v>
      </c>
      <c r="J33" s="1999"/>
      <c r="K33" s="2001"/>
      <c r="L33" s="2054">
        <f>SUM(L34:L41)</f>
        <v>0</v>
      </c>
      <c r="M33" s="942"/>
      <c r="O33" s="3090" t="s">
        <v>363</v>
      </c>
      <c r="P33" s="1997" t="s">
        <v>363</v>
      </c>
      <c r="Q33" s="1998"/>
      <c r="R33" s="1999"/>
      <c r="S33" s="2001"/>
      <c r="T33" s="2054">
        <f>SUM(T34:T41)</f>
        <v>0</v>
      </c>
      <c r="U33" s="1999"/>
      <c r="V33" s="2001"/>
      <c r="W33" s="2054">
        <f>SUM(W34:W41)</f>
        <v>0</v>
      </c>
      <c r="X33" s="1999"/>
      <c r="Y33" s="2001"/>
      <c r="Z33" s="2054">
        <f>SUM(Z34:Z41)</f>
        <v>0</v>
      </c>
      <c r="AA33" s="942"/>
      <c r="AC33" s="3090" t="s">
        <v>363</v>
      </c>
      <c r="AD33" s="1997" t="s">
        <v>363</v>
      </c>
      <c r="AE33" s="1998"/>
      <c r="AF33" s="1999"/>
      <c r="AG33" s="2001"/>
      <c r="AH33" s="2054">
        <f>SUM(AH34:AH41)</f>
        <v>0</v>
      </c>
      <c r="AI33" s="1999"/>
      <c r="AJ33" s="2001"/>
      <c r="AK33" s="2054">
        <f>SUM(AK34:AK41)</f>
        <v>0</v>
      </c>
      <c r="AL33" s="1999"/>
      <c r="AM33" s="2001"/>
      <c r="AN33" s="2054">
        <f>SUM(AN34:AN41)</f>
        <v>0</v>
      </c>
      <c r="AO33" s="942"/>
      <c r="AQ33" s="3090" t="s">
        <v>363</v>
      </c>
      <c r="AR33" s="1997" t="s">
        <v>363</v>
      </c>
      <c r="AS33" s="1998"/>
      <c r="AT33" s="1999"/>
      <c r="AU33" s="2001"/>
      <c r="AV33" s="2054">
        <f>SUM(AV34:AV41)</f>
        <v>0</v>
      </c>
      <c r="AW33" s="1999"/>
      <c r="AX33" s="2001"/>
      <c r="AY33" s="2054">
        <f>SUM(AY34:AY41)</f>
        <v>0</v>
      </c>
      <c r="AZ33" s="1999"/>
      <c r="BA33" s="2001"/>
      <c r="BB33" s="2054">
        <f>SUM(BB34:BB41)</f>
        <v>0</v>
      </c>
      <c r="BC33" s="942"/>
      <c r="BE33" s="3090" t="s">
        <v>363</v>
      </c>
      <c r="BF33" s="1997" t="s">
        <v>363</v>
      </c>
      <c r="BG33" s="1998"/>
      <c r="BH33" s="1999"/>
      <c r="BI33" s="2001"/>
      <c r="BJ33" s="2054">
        <f>SUM(BJ34:BJ41)</f>
        <v>0</v>
      </c>
      <c r="BK33" s="1999"/>
      <c r="BL33" s="2001"/>
      <c r="BM33" s="2054">
        <f>SUM(BM34:BM41)</f>
        <v>0</v>
      </c>
      <c r="BN33" s="1999"/>
      <c r="BO33" s="2001"/>
      <c r="BP33" s="2054">
        <f>SUM(BP34:BP41)</f>
        <v>0</v>
      </c>
      <c r="BQ33" s="942"/>
    </row>
    <row r="34" spans="1:69" s="683" customFormat="1" ht="15.75" customHeight="1">
      <c r="A34" s="3092"/>
      <c r="B34" s="688" t="s">
        <v>508</v>
      </c>
      <c r="C34" s="688"/>
      <c r="D34" s="685"/>
      <c r="E34" s="686"/>
      <c r="F34" s="2052">
        <f t="shared" si="0"/>
        <v>0</v>
      </c>
      <c r="G34" s="2008"/>
      <c r="H34" s="686"/>
      <c r="I34" s="2052">
        <f>G34*H34</f>
        <v>0</v>
      </c>
      <c r="J34" s="2008"/>
      <c r="K34" s="686"/>
      <c r="L34" s="2052">
        <f t="shared" ref="L34:L41" si="57">J34*K34</f>
        <v>0</v>
      </c>
      <c r="M34" s="687"/>
      <c r="O34" s="3092"/>
      <c r="P34" s="688" t="s">
        <v>508</v>
      </c>
      <c r="Q34" s="688"/>
      <c r="R34" s="685"/>
      <c r="S34" s="686"/>
      <c r="T34" s="2052">
        <f t="shared" ref="T34:T41" si="58">R34*S34</f>
        <v>0</v>
      </c>
      <c r="U34" s="2008"/>
      <c r="V34" s="686"/>
      <c r="W34" s="2052">
        <f>U34*V34</f>
        <v>0</v>
      </c>
      <c r="X34" s="2008"/>
      <c r="Y34" s="686"/>
      <c r="Z34" s="2052">
        <f t="shared" ref="Z34:Z41" si="59">X34*Y34</f>
        <v>0</v>
      </c>
      <c r="AA34" s="687"/>
      <c r="AC34" s="3092"/>
      <c r="AD34" s="688" t="s">
        <v>508</v>
      </c>
      <c r="AE34" s="688"/>
      <c r="AF34" s="685"/>
      <c r="AG34" s="686"/>
      <c r="AH34" s="2052">
        <f t="shared" ref="AH34:AH41" si="60">AF34*AG34</f>
        <v>0</v>
      </c>
      <c r="AI34" s="2008"/>
      <c r="AJ34" s="686"/>
      <c r="AK34" s="2052">
        <f>AI34*AJ34</f>
        <v>0</v>
      </c>
      <c r="AL34" s="2008"/>
      <c r="AM34" s="686"/>
      <c r="AN34" s="2052">
        <f t="shared" ref="AN34:AN41" si="61">AL34*AM34</f>
        <v>0</v>
      </c>
      <c r="AO34" s="687"/>
      <c r="AQ34" s="3092"/>
      <c r="AR34" s="688" t="s">
        <v>508</v>
      </c>
      <c r="AS34" s="688"/>
      <c r="AT34" s="685"/>
      <c r="AU34" s="686"/>
      <c r="AV34" s="2052">
        <f t="shared" ref="AV34:AV41" si="62">AT34*AU34</f>
        <v>0</v>
      </c>
      <c r="AW34" s="2008"/>
      <c r="AX34" s="686"/>
      <c r="AY34" s="2052">
        <f>AW34*AX34</f>
        <v>0</v>
      </c>
      <c r="AZ34" s="2008"/>
      <c r="BA34" s="686"/>
      <c r="BB34" s="2052">
        <f t="shared" ref="BB34:BB41" si="63">AZ34*BA34</f>
        <v>0</v>
      </c>
      <c r="BC34" s="687"/>
      <c r="BE34" s="3092"/>
      <c r="BF34" s="688" t="s">
        <v>508</v>
      </c>
      <c r="BG34" s="688"/>
      <c r="BH34" s="685"/>
      <c r="BI34" s="686"/>
      <c r="BJ34" s="2052">
        <f t="shared" ref="BJ34:BJ41" si="64">BH34*BI34</f>
        <v>0</v>
      </c>
      <c r="BK34" s="2008"/>
      <c r="BL34" s="686"/>
      <c r="BM34" s="2052">
        <f>BK34*BL34</f>
        <v>0</v>
      </c>
      <c r="BN34" s="2008"/>
      <c r="BO34" s="686"/>
      <c r="BP34" s="2052">
        <f t="shared" ref="BP34:BP41" si="65">BN34*BO34</f>
        <v>0</v>
      </c>
      <c r="BQ34" s="687"/>
    </row>
    <row r="35" spans="1:69" ht="15.75" customHeight="1">
      <c r="A35" s="3092"/>
      <c r="B35" s="688" t="s">
        <v>509</v>
      </c>
      <c r="C35" s="688"/>
      <c r="D35" s="685"/>
      <c r="E35" s="686"/>
      <c r="F35" s="2052">
        <f t="shared" si="0"/>
        <v>0</v>
      </c>
      <c r="G35" s="2008"/>
      <c r="H35" s="686"/>
      <c r="I35" s="2052">
        <f>G35*H35</f>
        <v>0</v>
      </c>
      <c r="J35" s="2008"/>
      <c r="K35" s="686"/>
      <c r="L35" s="2052">
        <f t="shared" si="57"/>
        <v>0</v>
      </c>
      <c r="M35" s="687"/>
      <c r="O35" s="3092"/>
      <c r="P35" s="688" t="s">
        <v>509</v>
      </c>
      <c r="Q35" s="688"/>
      <c r="R35" s="685"/>
      <c r="S35" s="686"/>
      <c r="T35" s="2052">
        <f t="shared" si="58"/>
        <v>0</v>
      </c>
      <c r="U35" s="2008"/>
      <c r="V35" s="686"/>
      <c r="W35" s="2052">
        <f>U35*V35</f>
        <v>0</v>
      </c>
      <c r="X35" s="2008"/>
      <c r="Y35" s="686"/>
      <c r="Z35" s="2052">
        <f t="shared" si="59"/>
        <v>0</v>
      </c>
      <c r="AA35" s="687"/>
      <c r="AC35" s="3092"/>
      <c r="AD35" s="688" t="s">
        <v>509</v>
      </c>
      <c r="AE35" s="688"/>
      <c r="AF35" s="685"/>
      <c r="AG35" s="686"/>
      <c r="AH35" s="2052">
        <f t="shared" si="60"/>
        <v>0</v>
      </c>
      <c r="AI35" s="2008"/>
      <c r="AJ35" s="686"/>
      <c r="AK35" s="2052">
        <f>AI35*AJ35</f>
        <v>0</v>
      </c>
      <c r="AL35" s="2008"/>
      <c r="AM35" s="686"/>
      <c r="AN35" s="2052">
        <f t="shared" si="61"/>
        <v>0</v>
      </c>
      <c r="AO35" s="687"/>
      <c r="AQ35" s="3092"/>
      <c r="AR35" s="688" t="s">
        <v>509</v>
      </c>
      <c r="AS35" s="688"/>
      <c r="AT35" s="685"/>
      <c r="AU35" s="686"/>
      <c r="AV35" s="2052">
        <f t="shared" si="62"/>
        <v>0</v>
      </c>
      <c r="AW35" s="2008"/>
      <c r="AX35" s="686"/>
      <c r="AY35" s="2052">
        <f>AW35*AX35</f>
        <v>0</v>
      </c>
      <c r="AZ35" s="2008"/>
      <c r="BA35" s="686"/>
      <c r="BB35" s="2052">
        <f t="shared" si="63"/>
        <v>0</v>
      </c>
      <c r="BC35" s="687"/>
      <c r="BE35" s="3092"/>
      <c r="BF35" s="688" t="s">
        <v>509</v>
      </c>
      <c r="BG35" s="688"/>
      <c r="BH35" s="685"/>
      <c r="BI35" s="686"/>
      <c r="BJ35" s="2052">
        <f t="shared" si="64"/>
        <v>0</v>
      </c>
      <c r="BK35" s="2008"/>
      <c r="BL35" s="686"/>
      <c r="BM35" s="2052">
        <f>BK35*BL35</f>
        <v>0</v>
      </c>
      <c r="BN35" s="2008"/>
      <c r="BO35" s="686"/>
      <c r="BP35" s="2052">
        <f t="shared" si="65"/>
        <v>0</v>
      </c>
      <c r="BQ35" s="687"/>
    </row>
    <row r="36" spans="1:69" ht="15.75" customHeight="1">
      <c r="A36" s="3092"/>
      <c r="B36" s="688" t="s">
        <v>510</v>
      </c>
      <c r="C36" s="688"/>
      <c r="D36" s="685"/>
      <c r="E36" s="686"/>
      <c r="F36" s="2052">
        <f t="shared" si="0"/>
        <v>0</v>
      </c>
      <c r="G36" s="2008"/>
      <c r="H36" s="686"/>
      <c r="I36" s="2052">
        <f t="shared" ref="I36:I41" si="66">G36*H36</f>
        <v>0</v>
      </c>
      <c r="J36" s="2008"/>
      <c r="K36" s="686"/>
      <c r="L36" s="2052">
        <f t="shared" si="57"/>
        <v>0</v>
      </c>
      <c r="M36" s="938"/>
      <c r="O36" s="3092"/>
      <c r="P36" s="688" t="s">
        <v>510</v>
      </c>
      <c r="Q36" s="688"/>
      <c r="R36" s="685"/>
      <c r="S36" s="686"/>
      <c r="T36" s="2052">
        <f t="shared" si="58"/>
        <v>0</v>
      </c>
      <c r="U36" s="2008"/>
      <c r="V36" s="686"/>
      <c r="W36" s="2052">
        <f t="shared" ref="W36:W41" si="67">U36*V36</f>
        <v>0</v>
      </c>
      <c r="X36" s="2008"/>
      <c r="Y36" s="686"/>
      <c r="Z36" s="2052">
        <f t="shared" si="59"/>
        <v>0</v>
      </c>
      <c r="AA36" s="938"/>
      <c r="AC36" s="3092"/>
      <c r="AD36" s="688" t="s">
        <v>510</v>
      </c>
      <c r="AE36" s="688"/>
      <c r="AF36" s="685"/>
      <c r="AG36" s="686"/>
      <c r="AH36" s="2052">
        <f t="shared" si="60"/>
        <v>0</v>
      </c>
      <c r="AI36" s="2008"/>
      <c r="AJ36" s="686"/>
      <c r="AK36" s="2052">
        <f t="shared" ref="AK36:AK41" si="68">AI36*AJ36</f>
        <v>0</v>
      </c>
      <c r="AL36" s="2008"/>
      <c r="AM36" s="686"/>
      <c r="AN36" s="2052">
        <f t="shared" si="61"/>
        <v>0</v>
      </c>
      <c r="AO36" s="938"/>
      <c r="AQ36" s="3092"/>
      <c r="AR36" s="688" t="s">
        <v>510</v>
      </c>
      <c r="AS36" s="688"/>
      <c r="AT36" s="685"/>
      <c r="AU36" s="686"/>
      <c r="AV36" s="2052">
        <f t="shared" si="62"/>
        <v>0</v>
      </c>
      <c r="AW36" s="2008"/>
      <c r="AX36" s="686"/>
      <c r="AY36" s="2052">
        <f t="shared" ref="AY36:AY41" si="69">AW36*AX36</f>
        <v>0</v>
      </c>
      <c r="AZ36" s="2008"/>
      <c r="BA36" s="686"/>
      <c r="BB36" s="2052">
        <f t="shared" si="63"/>
        <v>0</v>
      </c>
      <c r="BC36" s="938"/>
      <c r="BE36" s="3092"/>
      <c r="BF36" s="688" t="s">
        <v>510</v>
      </c>
      <c r="BG36" s="688"/>
      <c r="BH36" s="685"/>
      <c r="BI36" s="686"/>
      <c r="BJ36" s="2052">
        <f t="shared" si="64"/>
        <v>0</v>
      </c>
      <c r="BK36" s="2008"/>
      <c r="BL36" s="686"/>
      <c r="BM36" s="2052">
        <f t="shared" ref="BM36:BM41" si="70">BK36*BL36</f>
        <v>0</v>
      </c>
      <c r="BN36" s="2008"/>
      <c r="BO36" s="686"/>
      <c r="BP36" s="2052">
        <f t="shared" si="65"/>
        <v>0</v>
      </c>
      <c r="BQ36" s="938"/>
    </row>
    <row r="37" spans="1:69" ht="15.75" customHeight="1">
      <c r="A37" s="3103"/>
      <c r="B37" s="688" t="s">
        <v>333</v>
      </c>
      <c r="C37" s="688"/>
      <c r="D37" s="685"/>
      <c r="E37" s="686"/>
      <c r="F37" s="2052">
        <f t="shared" si="0"/>
        <v>0</v>
      </c>
      <c r="G37" s="2008"/>
      <c r="H37" s="686"/>
      <c r="I37" s="2052">
        <f t="shared" si="66"/>
        <v>0</v>
      </c>
      <c r="J37" s="2008"/>
      <c r="K37" s="686"/>
      <c r="L37" s="2052">
        <f t="shared" si="57"/>
        <v>0</v>
      </c>
      <c r="M37" s="938"/>
      <c r="O37" s="3103"/>
      <c r="P37" s="688" t="s">
        <v>333</v>
      </c>
      <c r="Q37" s="688"/>
      <c r="R37" s="685"/>
      <c r="S37" s="686"/>
      <c r="T37" s="2052">
        <f t="shared" si="58"/>
        <v>0</v>
      </c>
      <c r="U37" s="2008"/>
      <c r="V37" s="686"/>
      <c r="W37" s="2052">
        <f t="shared" si="67"/>
        <v>0</v>
      </c>
      <c r="X37" s="2008"/>
      <c r="Y37" s="686"/>
      <c r="Z37" s="2052">
        <f t="shared" si="59"/>
        <v>0</v>
      </c>
      <c r="AA37" s="938"/>
      <c r="AC37" s="3103"/>
      <c r="AD37" s="688" t="s">
        <v>333</v>
      </c>
      <c r="AE37" s="688"/>
      <c r="AF37" s="685"/>
      <c r="AG37" s="686"/>
      <c r="AH37" s="2052">
        <f t="shared" si="60"/>
        <v>0</v>
      </c>
      <c r="AI37" s="2008"/>
      <c r="AJ37" s="686"/>
      <c r="AK37" s="2052">
        <f t="shared" si="68"/>
        <v>0</v>
      </c>
      <c r="AL37" s="2008"/>
      <c r="AM37" s="686"/>
      <c r="AN37" s="2052">
        <f t="shared" si="61"/>
        <v>0</v>
      </c>
      <c r="AO37" s="938"/>
      <c r="AQ37" s="3103"/>
      <c r="AR37" s="688" t="s">
        <v>333</v>
      </c>
      <c r="AS37" s="688"/>
      <c r="AT37" s="685"/>
      <c r="AU37" s="686"/>
      <c r="AV37" s="2052">
        <f t="shared" si="62"/>
        <v>0</v>
      </c>
      <c r="AW37" s="2008"/>
      <c r="AX37" s="686"/>
      <c r="AY37" s="2052">
        <f t="shared" si="69"/>
        <v>0</v>
      </c>
      <c r="AZ37" s="2008"/>
      <c r="BA37" s="686"/>
      <c r="BB37" s="2052">
        <f t="shared" si="63"/>
        <v>0</v>
      </c>
      <c r="BC37" s="938"/>
      <c r="BE37" s="3103"/>
      <c r="BF37" s="688" t="s">
        <v>333</v>
      </c>
      <c r="BG37" s="688"/>
      <c r="BH37" s="685"/>
      <c r="BI37" s="686"/>
      <c r="BJ37" s="2052">
        <f t="shared" si="64"/>
        <v>0</v>
      </c>
      <c r="BK37" s="2008"/>
      <c r="BL37" s="686"/>
      <c r="BM37" s="2052">
        <f t="shared" si="70"/>
        <v>0</v>
      </c>
      <c r="BN37" s="2008"/>
      <c r="BO37" s="686"/>
      <c r="BP37" s="2052">
        <f t="shared" si="65"/>
        <v>0</v>
      </c>
      <c r="BQ37" s="938"/>
    </row>
    <row r="38" spans="1:69" ht="15.75" customHeight="1">
      <c r="A38" s="3103"/>
      <c r="B38" s="688" t="s">
        <v>511</v>
      </c>
      <c r="C38" s="688"/>
      <c r="D38" s="685"/>
      <c r="E38" s="686"/>
      <c r="F38" s="2052">
        <f t="shared" si="0"/>
        <v>0</v>
      </c>
      <c r="G38" s="2008"/>
      <c r="H38" s="686"/>
      <c r="I38" s="2052">
        <f t="shared" si="66"/>
        <v>0</v>
      </c>
      <c r="J38" s="2008"/>
      <c r="K38" s="686"/>
      <c r="L38" s="2052">
        <f t="shared" si="57"/>
        <v>0</v>
      </c>
      <c r="M38" s="938"/>
      <c r="O38" s="3103"/>
      <c r="P38" s="688" t="s">
        <v>511</v>
      </c>
      <c r="Q38" s="688"/>
      <c r="R38" s="685"/>
      <c r="S38" s="686"/>
      <c r="T38" s="2052">
        <f t="shared" si="58"/>
        <v>0</v>
      </c>
      <c r="U38" s="2008"/>
      <c r="V38" s="686"/>
      <c r="W38" s="2052">
        <f t="shared" si="67"/>
        <v>0</v>
      </c>
      <c r="X38" s="2008"/>
      <c r="Y38" s="686"/>
      <c r="Z38" s="2052">
        <f t="shared" si="59"/>
        <v>0</v>
      </c>
      <c r="AA38" s="938"/>
      <c r="AC38" s="3103"/>
      <c r="AD38" s="688" t="s">
        <v>511</v>
      </c>
      <c r="AE38" s="688"/>
      <c r="AF38" s="685"/>
      <c r="AG38" s="686"/>
      <c r="AH38" s="2052">
        <f t="shared" si="60"/>
        <v>0</v>
      </c>
      <c r="AI38" s="2008"/>
      <c r="AJ38" s="686"/>
      <c r="AK38" s="2052">
        <f t="shared" si="68"/>
        <v>0</v>
      </c>
      <c r="AL38" s="2008"/>
      <c r="AM38" s="686"/>
      <c r="AN38" s="2052">
        <f t="shared" si="61"/>
        <v>0</v>
      </c>
      <c r="AO38" s="938"/>
      <c r="AQ38" s="3103"/>
      <c r="AR38" s="688" t="s">
        <v>511</v>
      </c>
      <c r="AS38" s="688"/>
      <c r="AT38" s="685"/>
      <c r="AU38" s="686"/>
      <c r="AV38" s="2052">
        <f t="shared" si="62"/>
        <v>0</v>
      </c>
      <c r="AW38" s="2008"/>
      <c r="AX38" s="686"/>
      <c r="AY38" s="2052">
        <f t="shared" si="69"/>
        <v>0</v>
      </c>
      <c r="AZ38" s="2008"/>
      <c r="BA38" s="686"/>
      <c r="BB38" s="2052">
        <f t="shared" si="63"/>
        <v>0</v>
      </c>
      <c r="BC38" s="938"/>
      <c r="BE38" s="3103"/>
      <c r="BF38" s="688" t="s">
        <v>511</v>
      </c>
      <c r="BG38" s="688"/>
      <c r="BH38" s="685"/>
      <c r="BI38" s="686"/>
      <c r="BJ38" s="2052">
        <f t="shared" si="64"/>
        <v>0</v>
      </c>
      <c r="BK38" s="2008"/>
      <c r="BL38" s="686"/>
      <c r="BM38" s="2052">
        <f t="shared" si="70"/>
        <v>0</v>
      </c>
      <c r="BN38" s="2008"/>
      <c r="BO38" s="686"/>
      <c r="BP38" s="2052">
        <f t="shared" si="65"/>
        <v>0</v>
      </c>
      <c r="BQ38" s="938"/>
    </row>
    <row r="39" spans="1:69" ht="15.75" customHeight="1">
      <c r="A39" s="3103"/>
      <c r="B39" s="688" t="s">
        <v>512</v>
      </c>
      <c r="C39" s="688"/>
      <c r="D39" s="685"/>
      <c r="E39" s="686"/>
      <c r="F39" s="2052">
        <f t="shared" si="0"/>
        <v>0</v>
      </c>
      <c r="G39" s="2008"/>
      <c r="H39" s="686"/>
      <c r="I39" s="2052">
        <f t="shared" si="66"/>
        <v>0</v>
      </c>
      <c r="J39" s="2008"/>
      <c r="K39" s="686"/>
      <c r="L39" s="2052">
        <f t="shared" si="57"/>
        <v>0</v>
      </c>
      <c r="M39" s="938"/>
      <c r="O39" s="3103"/>
      <c r="P39" s="688" t="s">
        <v>512</v>
      </c>
      <c r="Q39" s="688"/>
      <c r="R39" s="685"/>
      <c r="S39" s="686"/>
      <c r="T39" s="2052">
        <f t="shared" si="58"/>
        <v>0</v>
      </c>
      <c r="U39" s="2008"/>
      <c r="V39" s="686"/>
      <c r="W39" s="2052">
        <f t="shared" si="67"/>
        <v>0</v>
      </c>
      <c r="X39" s="2008"/>
      <c r="Y39" s="686"/>
      <c r="Z39" s="2052">
        <f t="shared" si="59"/>
        <v>0</v>
      </c>
      <c r="AA39" s="938"/>
      <c r="AC39" s="3103"/>
      <c r="AD39" s="688" t="s">
        <v>512</v>
      </c>
      <c r="AE39" s="688"/>
      <c r="AF39" s="685"/>
      <c r="AG39" s="686"/>
      <c r="AH39" s="2052">
        <f t="shared" si="60"/>
        <v>0</v>
      </c>
      <c r="AI39" s="2008"/>
      <c r="AJ39" s="686"/>
      <c r="AK39" s="2052">
        <f t="shared" si="68"/>
        <v>0</v>
      </c>
      <c r="AL39" s="2008"/>
      <c r="AM39" s="686"/>
      <c r="AN39" s="2052">
        <f t="shared" si="61"/>
        <v>0</v>
      </c>
      <c r="AO39" s="938"/>
      <c r="AQ39" s="3103"/>
      <c r="AR39" s="688" t="s">
        <v>512</v>
      </c>
      <c r="AS39" s="688"/>
      <c r="AT39" s="685"/>
      <c r="AU39" s="686"/>
      <c r="AV39" s="2052">
        <f t="shared" si="62"/>
        <v>0</v>
      </c>
      <c r="AW39" s="2008"/>
      <c r="AX39" s="686"/>
      <c r="AY39" s="2052">
        <f t="shared" si="69"/>
        <v>0</v>
      </c>
      <c r="AZ39" s="2008"/>
      <c r="BA39" s="686"/>
      <c r="BB39" s="2052">
        <f t="shared" si="63"/>
        <v>0</v>
      </c>
      <c r="BC39" s="938"/>
      <c r="BE39" s="3103"/>
      <c r="BF39" s="688" t="s">
        <v>512</v>
      </c>
      <c r="BG39" s="688"/>
      <c r="BH39" s="685"/>
      <c r="BI39" s="686"/>
      <c r="BJ39" s="2052">
        <f t="shared" si="64"/>
        <v>0</v>
      </c>
      <c r="BK39" s="2008"/>
      <c r="BL39" s="686"/>
      <c r="BM39" s="2052">
        <f t="shared" si="70"/>
        <v>0</v>
      </c>
      <c r="BN39" s="2008"/>
      <c r="BO39" s="686"/>
      <c r="BP39" s="2052">
        <f t="shared" si="65"/>
        <v>0</v>
      </c>
      <c r="BQ39" s="938"/>
    </row>
    <row r="40" spans="1:69" ht="15.75" customHeight="1">
      <c r="A40" s="3103"/>
      <c r="B40" s="1915" t="s">
        <v>542</v>
      </c>
      <c r="C40" s="1915"/>
      <c r="D40" s="685"/>
      <c r="E40" s="686"/>
      <c r="F40" s="2052">
        <f t="shared" si="0"/>
        <v>0</v>
      </c>
      <c r="G40" s="2008"/>
      <c r="H40" s="686"/>
      <c r="I40" s="2052">
        <f t="shared" si="66"/>
        <v>0</v>
      </c>
      <c r="J40" s="2008"/>
      <c r="K40" s="686"/>
      <c r="L40" s="2052">
        <f t="shared" si="57"/>
        <v>0</v>
      </c>
      <c r="M40" s="938"/>
      <c r="O40" s="3103"/>
      <c r="P40" s="1915" t="s">
        <v>542</v>
      </c>
      <c r="Q40" s="1915"/>
      <c r="R40" s="685"/>
      <c r="S40" s="686"/>
      <c r="T40" s="2052">
        <f t="shared" si="58"/>
        <v>0</v>
      </c>
      <c r="U40" s="2008"/>
      <c r="V40" s="686"/>
      <c r="W40" s="2052">
        <f t="shared" si="67"/>
        <v>0</v>
      </c>
      <c r="X40" s="2008"/>
      <c r="Y40" s="686"/>
      <c r="Z40" s="2052">
        <f t="shared" si="59"/>
        <v>0</v>
      </c>
      <c r="AA40" s="938"/>
      <c r="AC40" s="3103"/>
      <c r="AD40" s="1915" t="s">
        <v>542</v>
      </c>
      <c r="AE40" s="1915"/>
      <c r="AF40" s="685"/>
      <c r="AG40" s="686"/>
      <c r="AH40" s="2052">
        <f t="shared" si="60"/>
        <v>0</v>
      </c>
      <c r="AI40" s="2008"/>
      <c r="AJ40" s="686"/>
      <c r="AK40" s="2052">
        <f t="shared" si="68"/>
        <v>0</v>
      </c>
      <c r="AL40" s="2008"/>
      <c r="AM40" s="686"/>
      <c r="AN40" s="2052">
        <f t="shared" si="61"/>
        <v>0</v>
      </c>
      <c r="AO40" s="938"/>
      <c r="AQ40" s="3103"/>
      <c r="AR40" s="1915" t="s">
        <v>542</v>
      </c>
      <c r="AS40" s="1915"/>
      <c r="AT40" s="685"/>
      <c r="AU40" s="686"/>
      <c r="AV40" s="2052">
        <f t="shared" si="62"/>
        <v>0</v>
      </c>
      <c r="AW40" s="2008"/>
      <c r="AX40" s="686"/>
      <c r="AY40" s="2052">
        <f t="shared" si="69"/>
        <v>0</v>
      </c>
      <c r="AZ40" s="2008"/>
      <c r="BA40" s="686"/>
      <c r="BB40" s="2052">
        <f t="shared" si="63"/>
        <v>0</v>
      </c>
      <c r="BC40" s="938"/>
      <c r="BE40" s="3103"/>
      <c r="BF40" s="1915" t="s">
        <v>542</v>
      </c>
      <c r="BG40" s="1915"/>
      <c r="BH40" s="685"/>
      <c r="BI40" s="686"/>
      <c r="BJ40" s="2052">
        <f t="shared" si="64"/>
        <v>0</v>
      </c>
      <c r="BK40" s="2008"/>
      <c r="BL40" s="686"/>
      <c r="BM40" s="2052">
        <f t="shared" si="70"/>
        <v>0</v>
      </c>
      <c r="BN40" s="2008"/>
      <c r="BO40" s="686"/>
      <c r="BP40" s="2052">
        <f t="shared" si="65"/>
        <v>0</v>
      </c>
      <c r="BQ40" s="938"/>
    </row>
    <row r="41" spans="1:69" ht="15.75" customHeight="1" thickBot="1">
      <c r="A41" s="3123"/>
      <c r="B41" s="2000" t="s">
        <v>542</v>
      </c>
      <c r="C41" s="2000"/>
      <c r="D41" s="692"/>
      <c r="E41" s="693"/>
      <c r="F41" s="2055">
        <f t="shared" si="0"/>
        <v>0</v>
      </c>
      <c r="G41" s="2010"/>
      <c r="H41" s="693"/>
      <c r="I41" s="2055">
        <f t="shared" si="66"/>
        <v>0</v>
      </c>
      <c r="J41" s="2010"/>
      <c r="K41" s="693"/>
      <c r="L41" s="2055">
        <f t="shared" si="57"/>
        <v>0</v>
      </c>
      <c r="M41" s="938"/>
      <c r="O41" s="3123"/>
      <c r="P41" s="2000" t="s">
        <v>542</v>
      </c>
      <c r="Q41" s="2000"/>
      <c r="R41" s="692"/>
      <c r="S41" s="693"/>
      <c r="T41" s="2055">
        <f t="shared" si="58"/>
        <v>0</v>
      </c>
      <c r="U41" s="2010"/>
      <c r="V41" s="693"/>
      <c r="W41" s="2055">
        <f t="shared" si="67"/>
        <v>0</v>
      </c>
      <c r="X41" s="2010"/>
      <c r="Y41" s="693"/>
      <c r="Z41" s="2055">
        <f t="shared" si="59"/>
        <v>0</v>
      </c>
      <c r="AA41" s="938"/>
      <c r="AC41" s="3123"/>
      <c r="AD41" s="2000" t="s">
        <v>542</v>
      </c>
      <c r="AE41" s="2000"/>
      <c r="AF41" s="692"/>
      <c r="AG41" s="693"/>
      <c r="AH41" s="2055">
        <f t="shared" si="60"/>
        <v>0</v>
      </c>
      <c r="AI41" s="2010"/>
      <c r="AJ41" s="693"/>
      <c r="AK41" s="2055">
        <f t="shared" si="68"/>
        <v>0</v>
      </c>
      <c r="AL41" s="2010"/>
      <c r="AM41" s="693"/>
      <c r="AN41" s="2055">
        <f t="shared" si="61"/>
        <v>0</v>
      </c>
      <c r="AO41" s="938"/>
      <c r="AQ41" s="3123"/>
      <c r="AR41" s="2000" t="s">
        <v>542</v>
      </c>
      <c r="AS41" s="2000"/>
      <c r="AT41" s="692"/>
      <c r="AU41" s="693"/>
      <c r="AV41" s="2055">
        <f t="shared" si="62"/>
        <v>0</v>
      </c>
      <c r="AW41" s="2010"/>
      <c r="AX41" s="693"/>
      <c r="AY41" s="2055">
        <f t="shared" si="69"/>
        <v>0</v>
      </c>
      <c r="AZ41" s="2010"/>
      <c r="BA41" s="693"/>
      <c r="BB41" s="2055">
        <f t="shared" si="63"/>
        <v>0</v>
      </c>
      <c r="BC41" s="938"/>
      <c r="BE41" s="3123"/>
      <c r="BF41" s="2000" t="s">
        <v>542</v>
      </c>
      <c r="BG41" s="2000"/>
      <c r="BH41" s="692"/>
      <c r="BI41" s="693"/>
      <c r="BJ41" s="2055">
        <f t="shared" si="64"/>
        <v>0</v>
      </c>
      <c r="BK41" s="2010"/>
      <c r="BL41" s="693"/>
      <c r="BM41" s="2055">
        <f t="shared" si="70"/>
        <v>0</v>
      </c>
      <c r="BN41" s="2010"/>
      <c r="BO41" s="693"/>
      <c r="BP41" s="2055">
        <f t="shared" si="65"/>
        <v>0</v>
      </c>
      <c r="BQ41" s="938"/>
    </row>
    <row r="42" spans="1:69" ht="22.5" customHeight="1">
      <c r="A42" s="3090" t="s">
        <v>355</v>
      </c>
      <c r="B42" s="2005" t="s">
        <v>356</v>
      </c>
      <c r="C42" s="1948"/>
      <c r="D42" s="1960" t="s">
        <v>1078</v>
      </c>
      <c r="E42" s="1917"/>
      <c r="F42" s="2050">
        <f>F43+F46</f>
        <v>0</v>
      </c>
      <c r="G42" s="1960" t="s">
        <v>1080</v>
      </c>
      <c r="H42" s="1917"/>
      <c r="I42" s="2050">
        <f>I43+I46</f>
        <v>0</v>
      </c>
      <c r="J42" s="1960" t="s">
        <v>1079</v>
      </c>
      <c r="K42" s="1917"/>
      <c r="L42" s="2050">
        <f>L43+L46</f>
        <v>0</v>
      </c>
      <c r="M42" s="682"/>
      <c r="O42" s="3090" t="s">
        <v>355</v>
      </c>
      <c r="P42" s="2005" t="s">
        <v>356</v>
      </c>
      <c r="Q42" s="1948"/>
      <c r="R42" s="1960" t="s">
        <v>1078</v>
      </c>
      <c r="S42" s="1981"/>
      <c r="T42" s="2050">
        <f>T43+T46</f>
        <v>0</v>
      </c>
      <c r="U42" s="1960" t="s">
        <v>1080</v>
      </c>
      <c r="V42" s="1981"/>
      <c r="W42" s="2050">
        <f>W43+W46</f>
        <v>0</v>
      </c>
      <c r="X42" s="1960" t="s">
        <v>1079</v>
      </c>
      <c r="Y42" s="1981"/>
      <c r="Z42" s="2050">
        <f>Z43+Z46</f>
        <v>0</v>
      </c>
      <c r="AA42" s="682"/>
      <c r="AC42" s="3090" t="s">
        <v>355</v>
      </c>
      <c r="AD42" s="2005" t="s">
        <v>356</v>
      </c>
      <c r="AE42" s="1948"/>
      <c r="AF42" s="1960" t="s">
        <v>1078</v>
      </c>
      <c r="AG42" s="1981"/>
      <c r="AH42" s="2050">
        <f>AH43+AH46</f>
        <v>0</v>
      </c>
      <c r="AI42" s="1960" t="s">
        <v>1080</v>
      </c>
      <c r="AJ42" s="1981"/>
      <c r="AK42" s="2050">
        <f>AK43+AK46</f>
        <v>0</v>
      </c>
      <c r="AL42" s="1960" t="s">
        <v>1079</v>
      </c>
      <c r="AM42" s="1981"/>
      <c r="AN42" s="2050">
        <f>AN43+AN46</f>
        <v>0</v>
      </c>
      <c r="AO42" s="682"/>
      <c r="AQ42" s="3090" t="s">
        <v>355</v>
      </c>
      <c r="AR42" s="2005" t="s">
        <v>356</v>
      </c>
      <c r="AS42" s="1948"/>
      <c r="AT42" s="1960" t="s">
        <v>1078</v>
      </c>
      <c r="AU42" s="1981"/>
      <c r="AV42" s="2050">
        <f>AV43+AV46</f>
        <v>0</v>
      </c>
      <c r="AW42" s="1960" t="s">
        <v>1080</v>
      </c>
      <c r="AX42" s="1981"/>
      <c r="AY42" s="2050">
        <f>AY43+AY46</f>
        <v>0</v>
      </c>
      <c r="AZ42" s="1960" t="s">
        <v>1079</v>
      </c>
      <c r="BA42" s="1981"/>
      <c r="BB42" s="2050">
        <f>BB43+BB46</f>
        <v>0</v>
      </c>
      <c r="BC42" s="682"/>
      <c r="BE42" s="3090" t="s">
        <v>355</v>
      </c>
      <c r="BF42" s="2005" t="s">
        <v>356</v>
      </c>
      <c r="BG42" s="1948"/>
      <c r="BH42" s="1960" t="s">
        <v>1078</v>
      </c>
      <c r="BI42" s="1981"/>
      <c r="BJ42" s="2050">
        <f>BJ43+BJ46</f>
        <v>0</v>
      </c>
      <c r="BK42" s="1960" t="s">
        <v>1080</v>
      </c>
      <c r="BL42" s="1981"/>
      <c r="BM42" s="2050">
        <f>BM43+BM46</f>
        <v>0</v>
      </c>
      <c r="BN42" s="1960" t="s">
        <v>1079</v>
      </c>
      <c r="BO42" s="1981"/>
      <c r="BP42" s="2050">
        <f>BP43+BP46</f>
        <v>0</v>
      </c>
      <c r="BQ42" s="682"/>
    </row>
    <row r="43" spans="1:69" s="2117" customFormat="1" ht="15.75" customHeight="1">
      <c r="A43" s="3091"/>
      <c r="B43" s="944" t="s">
        <v>1087</v>
      </c>
      <c r="C43" s="946"/>
      <c r="D43" s="945"/>
      <c r="E43" s="1982"/>
      <c r="F43" s="2116">
        <f>SUM(F44:F45)</f>
        <v>0</v>
      </c>
      <c r="G43" s="945"/>
      <c r="H43" s="1982"/>
      <c r="I43" s="2116">
        <f>SUM(I44:I45)</f>
        <v>0</v>
      </c>
      <c r="J43" s="945"/>
      <c r="K43" s="1982"/>
      <c r="L43" s="2116">
        <f>SUM(L44:L45)</f>
        <v>0</v>
      </c>
      <c r="M43" s="947"/>
      <c r="O43" s="3091"/>
      <c r="P43" s="944" t="s">
        <v>1087</v>
      </c>
      <c r="Q43" s="946"/>
      <c r="R43" s="945"/>
      <c r="S43" s="1982"/>
      <c r="T43" s="2116">
        <f>SUM(T44:T45)</f>
        <v>0</v>
      </c>
      <c r="U43" s="945"/>
      <c r="V43" s="1982"/>
      <c r="W43" s="2116">
        <f>SUM(W44:W45)</f>
        <v>0</v>
      </c>
      <c r="X43" s="945"/>
      <c r="Y43" s="1982"/>
      <c r="Z43" s="2116">
        <f>SUM(Z44:Z45)</f>
        <v>0</v>
      </c>
      <c r="AA43" s="947"/>
      <c r="AC43" s="3091"/>
      <c r="AD43" s="944" t="s">
        <v>1087</v>
      </c>
      <c r="AE43" s="946"/>
      <c r="AF43" s="945"/>
      <c r="AG43" s="1982"/>
      <c r="AH43" s="2116">
        <f>SUM(AH44:AH45)</f>
        <v>0</v>
      </c>
      <c r="AI43" s="945"/>
      <c r="AJ43" s="1982"/>
      <c r="AK43" s="2116">
        <f>SUM(AK44:AK45)</f>
        <v>0</v>
      </c>
      <c r="AL43" s="945"/>
      <c r="AM43" s="1982"/>
      <c r="AN43" s="2116">
        <f>SUM(AN44:AN45)</f>
        <v>0</v>
      </c>
      <c r="AO43" s="947"/>
      <c r="AQ43" s="3091"/>
      <c r="AR43" s="944" t="s">
        <v>1087</v>
      </c>
      <c r="AS43" s="946"/>
      <c r="AT43" s="945"/>
      <c r="AU43" s="1982"/>
      <c r="AV43" s="2116">
        <f>SUM(AV44:AV45)</f>
        <v>0</v>
      </c>
      <c r="AW43" s="945"/>
      <c r="AX43" s="1982"/>
      <c r="AY43" s="2116">
        <f>SUM(AY44:AY45)</f>
        <v>0</v>
      </c>
      <c r="AZ43" s="945"/>
      <c r="BA43" s="1982"/>
      <c r="BB43" s="2116">
        <f>SUM(BB44:BB45)</f>
        <v>0</v>
      </c>
      <c r="BC43" s="947"/>
      <c r="BE43" s="3091"/>
      <c r="BF43" s="944" t="s">
        <v>1087</v>
      </c>
      <c r="BG43" s="946"/>
      <c r="BH43" s="945"/>
      <c r="BI43" s="1982"/>
      <c r="BJ43" s="2116">
        <f>SUM(BJ44:BJ45)</f>
        <v>0</v>
      </c>
      <c r="BK43" s="945"/>
      <c r="BL43" s="1982"/>
      <c r="BM43" s="2116">
        <f>SUM(BM44:BM45)</f>
        <v>0</v>
      </c>
      <c r="BN43" s="945"/>
      <c r="BO43" s="1982"/>
      <c r="BP43" s="2116">
        <f>SUM(BP44:BP45)</f>
        <v>0</v>
      </c>
      <c r="BQ43" s="947"/>
    </row>
    <row r="44" spans="1:69" ht="15.75" customHeight="1">
      <c r="A44" s="3092"/>
      <c r="B44" s="688" t="s">
        <v>515</v>
      </c>
      <c r="C44" s="1915"/>
      <c r="D44" s="685"/>
      <c r="E44" s="686"/>
      <c r="F44" s="2052">
        <f t="shared" ref="F44:F45" si="71">D44*E44</f>
        <v>0</v>
      </c>
      <c r="G44" s="2008"/>
      <c r="H44" s="686"/>
      <c r="I44" s="2052">
        <f t="shared" ref="I44:I48" si="72">G44*H44</f>
        <v>0</v>
      </c>
      <c r="J44" s="2008"/>
      <c r="K44" s="686"/>
      <c r="L44" s="2052">
        <f t="shared" ref="L44:L45" si="73">J44*K44</f>
        <v>0</v>
      </c>
      <c r="M44" s="687"/>
      <c r="O44" s="3092"/>
      <c r="P44" s="688" t="s">
        <v>515</v>
      </c>
      <c r="Q44" s="1915"/>
      <c r="R44" s="685"/>
      <c r="S44" s="686"/>
      <c r="T44" s="2052">
        <f t="shared" ref="T44:T45" si="74">R44*S44</f>
        <v>0</v>
      </c>
      <c r="U44" s="2008"/>
      <c r="V44" s="686"/>
      <c r="W44" s="2052">
        <f t="shared" ref="W44:W45" si="75">U44*V44</f>
        <v>0</v>
      </c>
      <c r="X44" s="2008"/>
      <c r="Y44" s="686"/>
      <c r="Z44" s="2052">
        <f t="shared" ref="Z44:Z45" si="76">X44*Y44</f>
        <v>0</v>
      </c>
      <c r="AA44" s="687"/>
      <c r="AC44" s="3092"/>
      <c r="AD44" s="688" t="s">
        <v>515</v>
      </c>
      <c r="AE44" s="1915"/>
      <c r="AF44" s="685"/>
      <c r="AG44" s="686"/>
      <c r="AH44" s="2052">
        <f t="shared" ref="AH44:AH45" si="77">AF44*AG44</f>
        <v>0</v>
      </c>
      <c r="AI44" s="2008"/>
      <c r="AJ44" s="686"/>
      <c r="AK44" s="2052">
        <f t="shared" ref="AK44:AK45" si="78">AI44*AJ44</f>
        <v>0</v>
      </c>
      <c r="AL44" s="2008"/>
      <c r="AM44" s="686"/>
      <c r="AN44" s="2052">
        <f t="shared" ref="AN44:AN45" si="79">AL44*AM44</f>
        <v>0</v>
      </c>
      <c r="AO44" s="687"/>
      <c r="AQ44" s="3092"/>
      <c r="AR44" s="688" t="s">
        <v>515</v>
      </c>
      <c r="AS44" s="1915"/>
      <c r="AT44" s="685"/>
      <c r="AU44" s="686"/>
      <c r="AV44" s="2052">
        <f t="shared" ref="AV44:AV45" si="80">AT44*AU44</f>
        <v>0</v>
      </c>
      <c r="AW44" s="2008"/>
      <c r="AX44" s="686"/>
      <c r="AY44" s="2052">
        <f t="shared" ref="AY44:AY45" si="81">AW44*AX44</f>
        <v>0</v>
      </c>
      <c r="AZ44" s="2008"/>
      <c r="BA44" s="686"/>
      <c r="BB44" s="2052">
        <f t="shared" ref="BB44:BB45" si="82">AZ44*BA44</f>
        <v>0</v>
      </c>
      <c r="BC44" s="687"/>
      <c r="BE44" s="3092"/>
      <c r="BF44" s="688" t="s">
        <v>515</v>
      </c>
      <c r="BG44" s="1915"/>
      <c r="BH44" s="685"/>
      <c r="BI44" s="686"/>
      <c r="BJ44" s="2052">
        <f t="shared" ref="BJ44:BJ45" si="83">BH44*BI44</f>
        <v>0</v>
      </c>
      <c r="BK44" s="2008"/>
      <c r="BL44" s="686"/>
      <c r="BM44" s="2052">
        <f t="shared" ref="BM44:BM45" si="84">BK44*BL44</f>
        <v>0</v>
      </c>
      <c r="BN44" s="2008"/>
      <c r="BO44" s="686"/>
      <c r="BP44" s="2052">
        <f t="shared" ref="BP44:BP45" si="85">BN44*BO44</f>
        <v>0</v>
      </c>
      <c r="BQ44" s="687"/>
    </row>
    <row r="45" spans="1:69" ht="15.75" customHeight="1">
      <c r="A45" s="3092"/>
      <c r="B45" s="688" t="s">
        <v>228</v>
      </c>
      <c r="C45" s="1915"/>
      <c r="D45" s="685"/>
      <c r="E45" s="686"/>
      <c r="F45" s="2052">
        <f t="shared" si="71"/>
        <v>0</v>
      </c>
      <c r="G45" s="2008"/>
      <c r="H45" s="686"/>
      <c r="I45" s="2052">
        <f t="shared" si="72"/>
        <v>0</v>
      </c>
      <c r="J45" s="2008"/>
      <c r="K45" s="686"/>
      <c r="L45" s="2052">
        <f t="shared" si="73"/>
        <v>0</v>
      </c>
      <c r="M45" s="687"/>
      <c r="O45" s="3092"/>
      <c r="P45" s="688" t="s">
        <v>228</v>
      </c>
      <c r="Q45" s="1915"/>
      <c r="R45" s="685"/>
      <c r="S45" s="686"/>
      <c r="T45" s="2052">
        <f t="shared" si="74"/>
        <v>0</v>
      </c>
      <c r="U45" s="2008"/>
      <c r="V45" s="686"/>
      <c r="W45" s="2052">
        <f t="shared" si="75"/>
        <v>0</v>
      </c>
      <c r="X45" s="2008"/>
      <c r="Y45" s="686"/>
      <c r="Z45" s="2052">
        <f t="shared" si="76"/>
        <v>0</v>
      </c>
      <c r="AA45" s="687"/>
      <c r="AC45" s="3092"/>
      <c r="AD45" s="688" t="s">
        <v>228</v>
      </c>
      <c r="AE45" s="1915"/>
      <c r="AF45" s="685"/>
      <c r="AG45" s="686"/>
      <c r="AH45" s="2052">
        <f t="shared" si="77"/>
        <v>0</v>
      </c>
      <c r="AI45" s="2008"/>
      <c r="AJ45" s="686"/>
      <c r="AK45" s="2052">
        <f t="shared" si="78"/>
        <v>0</v>
      </c>
      <c r="AL45" s="2008"/>
      <c r="AM45" s="686"/>
      <c r="AN45" s="2052">
        <f t="shared" si="79"/>
        <v>0</v>
      </c>
      <c r="AO45" s="687"/>
      <c r="AQ45" s="3092"/>
      <c r="AR45" s="688" t="s">
        <v>228</v>
      </c>
      <c r="AS45" s="1915"/>
      <c r="AT45" s="685"/>
      <c r="AU45" s="686"/>
      <c r="AV45" s="2052">
        <f t="shared" si="80"/>
        <v>0</v>
      </c>
      <c r="AW45" s="2008"/>
      <c r="AX45" s="686"/>
      <c r="AY45" s="2052">
        <f t="shared" si="81"/>
        <v>0</v>
      </c>
      <c r="AZ45" s="2008"/>
      <c r="BA45" s="686"/>
      <c r="BB45" s="2052">
        <f t="shared" si="82"/>
        <v>0</v>
      </c>
      <c r="BC45" s="687"/>
      <c r="BE45" s="3092"/>
      <c r="BF45" s="688" t="s">
        <v>228</v>
      </c>
      <c r="BG45" s="1915"/>
      <c r="BH45" s="685"/>
      <c r="BI45" s="686"/>
      <c r="BJ45" s="2052">
        <f t="shared" si="83"/>
        <v>0</v>
      </c>
      <c r="BK45" s="2008"/>
      <c r="BL45" s="686"/>
      <c r="BM45" s="2052">
        <f t="shared" si="84"/>
        <v>0</v>
      </c>
      <c r="BN45" s="2008"/>
      <c r="BO45" s="686"/>
      <c r="BP45" s="2052">
        <f t="shared" si="85"/>
        <v>0</v>
      </c>
      <c r="BQ45" s="687"/>
    </row>
    <row r="46" spans="1:69" s="2117" customFormat="1" ht="15.75" customHeight="1">
      <c r="A46" s="3092"/>
      <c r="B46" s="944" t="s">
        <v>513</v>
      </c>
      <c r="C46" s="946"/>
      <c r="D46" s="945"/>
      <c r="E46" s="1982"/>
      <c r="F46" s="2116">
        <f>SUM(F47:F48)</f>
        <v>0</v>
      </c>
      <c r="G46" s="945"/>
      <c r="H46" s="1982"/>
      <c r="I46" s="2116">
        <f>SUM(I47:I48)</f>
        <v>0</v>
      </c>
      <c r="J46" s="945"/>
      <c r="K46" s="1982"/>
      <c r="L46" s="2116">
        <f>SUM(L47:L48)</f>
        <v>0</v>
      </c>
      <c r="M46" s="947"/>
      <c r="O46" s="3092"/>
      <c r="P46" s="944" t="s">
        <v>513</v>
      </c>
      <c r="Q46" s="946"/>
      <c r="R46" s="945"/>
      <c r="S46" s="1982"/>
      <c r="T46" s="2116">
        <f>SUM(T47:T48)</f>
        <v>0</v>
      </c>
      <c r="U46" s="945"/>
      <c r="V46" s="1982"/>
      <c r="W46" s="2116">
        <f>SUM(W47:W48)</f>
        <v>0</v>
      </c>
      <c r="X46" s="945"/>
      <c r="Y46" s="1982"/>
      <c r="Z46" s="2116">
        <f>SUM(Z47:Z48)</f>
        <v>0</v>
      </c>
      <c r="AA46" s="947"/>
      <c r="AC46" s="3092"/>
      <c r="AD46" s="944" t="s">
        <v>513</v>
      </c>
      <c r="AE46" s="946"/>
      <c r="AF46" s="945"/>
      <c r="AG46" s="1982"/>
      <c r="AH46" s="2116">
        <f>SUM(AH47:AH48)</f>
        <v>0</v>
      </c>
      <c r="AI46" s="945"/>
      <c r="AJ46" s="1982"/>
      <c r="AK46" s="2116">
        <f>SUM(AK47:AK48)</f>
        <v>0</v>
      </c>
      <c r="AL46" s="945"/>
      <c r="AM46" s="1982"/>
      <c r="AN46" s="2116">
        <f>SUM(AN47:AN48)</f>
        <v>0</v>
      </c>
      <c r="AO46" s="947"/>
      <c r="AQ46" s="3092"/>
      <c r="AR46" s="944" t="s">
        <v>513</v>
      </c>
      <c r="AS46" s="946"/>
      <c r="AT46" s="945"/>
      <c r="AU46" s="1982"/>
      <c r="AV46" s="2116">
        <f>SUM(AV47:AV48)</f>
        <v>0</v>
      </c>
      <c r="AW46" s="945"/>
      <c r="AX46" s="1982"/>
      <c r="AY46" s="2116">
        <f>SUM(AY47:AY48)</f>
        <v>0</v>
      </c>
      <c r="AZ46" s="945"/>
      <c r="BA46" s="1982"/>
      <c r="BB46" s="2116">
        <f>SUM(BB47:BB48)</f>
        <v>0</v>
      </c>
      <c r="BC46" s="947"/>
      <c r="BE46" s="3092"/>
      <c r="BF46" s="944" t="s">
        <v>513</v>
      </c>
      <c r="BG46" s="946"/>
      <c r="BH46" s="945"/>
      <c r="BI46" s="1982"/>
      <c r="BJ46" s="2116">
        <f>SUM(BJ47:BJ48)</f>
        <v>0</v>
      </c>
      <c r="BK46" s="945"/>
      <c r="BL46" s="1982"/>
      <c r="BM46" s="2116">
        <f>SUM(BM47:BM48)</f>
        <v>0</v>
      </c>
      <c r="BN46" s="945"/>
      <c r="BO46" s="1982"/>
      <c r="BP46" s="2116">
        <f>SUM(BP47:BP48)</f>
        <v>0</v>
      </c>
      <c r="BQ46" s="947"/>
    </row>
    <row r="47" spans="1:69" ht="15.75" customHeight="1">
      <c r="A47" s="3092"/>
      <c r="B47" s="688" t="s">
        <v>514</v>
      </c>
      <c r="C47" s="1915"/>
      <c r="D47" s="685"/>
      <c r="E47" s="686"/>
      <c r="F47" s="2052">
        <f t="shared" ref="F47:F48" si="86">D47*E47</f>
        <v>0</v>
      </c>
      <c r="G47" s="2008"/>
      <c r="H47" s="686"/>
      <c r="I47" s="2052">
        <f t="shared" si="72"/>
        <v>0</v>
      </c>
      <c r="J47" s="2008"/>
      <c r="K47" s="686"/>
      <c r="L47" s="2052">
        <f t="shared" ref="L47:L48" si="87">J47*K47</f>
        <v>0</v>
      </c>
      <c r="M47" s="698"/>
      <c r="O47" s="3092"/>
      <c r="P47" s="688" t="s">
        <v>514</v>
      </c>
      <c r="Q47" s="1915"/>
      <c r="R47" s="685"/>
      <c r="S47" s="686"/>
      <c r="T47" s="2052">
        <f t="shared" ref="T47:T48" si="88">R47*S47</f>
        <v>0</v>
      </c>
      <c r="U47" s="2008"/>
      <c r="V47" s="686"/>
      <c r="W47" s="2052">
        <f t="shared" ref="W47:W48" si="89">U47*V47</f>
        <v>0</v>
      </c>
      <c r="X47" s="2008"/>
      <c r="Y47" s="686"/>
      <c r="Z47" s="2052">
        <f t="shared" ref="Z47:Z48" si="90">X47*Y47</f>
        <v>0</v>
      </c>
      <c r="AA47" s="698"/>
      <c r="AC47" s="3092"/>
      <c r="AD47" s="688" t="s">
        <v>514</v>
      </c>
      <c r="AE47" s="1915"/>
      <c r="AF47" s="685"/>
      <c r="AG47" s="686"/>
      <c r="AH47" s="2052">
        <f t="shared" ref="AH47:AH48" si="91">AF47*AG47</f>
        <v>0</v>
      </c>
      <c r="AI47" s="2008"/>
      <c r="AJ47" s="686"/>
      <c r="AK47" s="2052">
        <f t="shared" ref="AK47:AK48" si="92">AI47*AJ47</f>
        <v>0</v>
      </c>
      <c r="AL47" s="2008"/>
      <c r="AM47" s="686"/>
      <c r="AN47" s="2052">
        <f t="shared" ref="AN47:AN48" si="93">AL47*AM47</f>
        <v>0</v>
      </c>
      <c r="AO47" s="698"/>
      <c r="AQ47" s="3092"/>
      <c r="AR47" s="688" t="s">
        <v>514</v>
      </c>
      <c r="AS47" s="1915"/>
      <c r="AT47" s="685"/>
      <c r="AU47" s="686"/>
      <c r="AV47" s="2052">
        <f t="shared" ref="AV47:AV48" si="94">AT47*AU47</f>
        <v>0</v>
      </c>
      <c r="AW47" s="2008"/>
      <c r="AX47" s="686"/>
      <c r="AY47" s="2052">
        <f t="shared" ref="AY47:AY48" si="95">AW47*AX47</f>
        <v>0</v>
      </c>
      <c r="AZ47" s="2008"/>
      <c r="BA47" s="686"/>
      <c r="BB47" s="2052">
        <f t="shared" ref="BB47:BB48" si="96">AZ47*BA47</f>
        <v>0</v>
      </c>
      <c r="BC47" s="698"/>
      <c r="BE47" s="3092"/>
      <c r="BF47" s="688" t="s">
        <v>514</v>
      </c>
      <c r="BG47" s="1915"/>
      <c r="BH47" s="685"/>
      <c r="BI47" s="686"/>
      <c r="BJ47" s="2052">
        <f t="shared" ref="BJ47:BJ48" si="97">BH47*BI47</f>
        <v>0</v>
      </c>
      <c r="BK47" s="2008"/>
      <c r="BL47" s="686"/>
      <c r="BM47" s="2052">
        <f t="shared" ref="BM47:BM48" si="98">BK47*BL47</f>
        <v>0</v>
      </c>
      <c r="BN47" s="2008"/>
      <c r="BO47" s="686"/>
      <c r="BP47" s="2052">
        <f t="shared" ref="BP47:BP48" si="99">BN47*BO47</f>
        <v>0</v>
      </c>
      <c r="BQ47" s="698"/>
    </row>
    <row r="48" spans="1:69" ht="15.75" customHeight="1" thickBot="1">
      <c r="A48" s="3093"/>
      <c r="B48" s="688" t="s">
        <v>228</v>
      </c>
      <c r="C48" s="1915"/>
      <c r="D48" s="685"/>
      <c r="E48" s="686"/>
      <c r="F48" s="2055">
        <f t="shared" si="86"/>
        <v>0</v>
      </c>
      <c r="G48" s="2008"/>
      <c r="H48" s="686"/>
      <c r="I48" s="2055">
        <f t="shared" si="72"/>
        <v>0</v>
      </c>
      <c r="J48" s="2008"/>
      <c r="K48" s="686"/>
      <c r="L48" s="2052">
        <f t="shared" si="87"/>
        <v>0</v>
      </c>
      <c r="M48" s="690"/>
      <c r="O48" s="3093"/>
      <c r="P48" s="688" t="s">
        <v>228</v>
      </c>
      <c r="Q48" s="1915"/>
      <c r="R48" s="685"/>
      <c r="S48" s="686"/>
      <c r="T48" s="2055">
        <f t="shared" si="88"/>
        <v>0</v>
      </c>
      <c r="U48" s="2008"/>
      <c r="V48" s="686"/>
      <c r="W48" s="2055">
        <f t="shared" si="89"/>
        <v>0</v>
      </c>
      <c r="X48" s="2008"/>
      <c r="Y48" s="686"/>
      <c r="Z48" s="2052">
        <f t="shared" si="90"/>
        <v>0</v>
      </c>
      <c r="AA48" s="690"/>
      <c r="AC48" s="3093"/>
      <c r="AD48" s="688" t="s">
        <v>228</v>
      </c>
      <c r="AE48" s="1915"/>
      <c r="AF48" s="685"/>
      <c r="AG48" s="686"/>
      <c r="AH48" s="2055">
        <f t="shared" si="91"/>
        <v>0</v>
      </c>
      <c r="AI48" s="2008"/>
      <c r="AJ48" s="686"/>
      <c r="AK48" s="2055">
        <f t="shared" si="92"/>
        <v>0</v>
      </c>
      <c r="AL48" s="2008"/>
      <c r="AM48" s="686"/>
      <c r="AN48" s="2052">
        <f t="shared" si="93"/>
        <v>0</v>
      </c>
      <c r="AO48" s="690"/>
      <c r="AQ48" s="3093"/>
      <c r="AR48" s="688" t="s">
        <v>228</v>
      </c>
      <c r="AS48" s="1915"/>
      <c r="AT48" s="685"/>
      <c r="AU48" s="686"/>
      <c r="AV48" s="2055">
        <f t="shared" si="94"/>
        <v>0</v>
      </c>
      <c r="AW48" s="2008"/>
      <c r="AX48" s="686"/>
      <c r="AY48" s="2055">
        <f t="shared" si="95"/>
        <v>0</v>
      </c>
      <c r="AZ48" s="2008"/>
      <c r="BA48" s="686"/>
      <c r="BB48" s="2052">
        <f t="shared" si="96"/>
        <v>0</v>
      </c>
      <c r="BC48" s="690"/>
      <c r="BE48" s="3093"/>
      <c r="BF48" s="688" t="s">
        <v>228</v>
      </c>
      <c r="BG48" s="1915"/>
      <c r="BH48" s="685"/>
      <c r="BI48" s="686"/>
      <c r="BJ48" s="2055">
        <f t="shared" si="97"/>
        <v>0</v>
      </c>
      <c r="BK48" s="2008"/>
      <c r="BL48" s="686"/>
      <c r="BM48" s="2055">
        <f t="shared" si="98"/>
        <v>0</v>
      </c>
      <c r="BN48" s="2008"/>
      <c r="BO48" s="686"/>
      <c r="BP48" s="2052">
        <f t="shared" si="99"/>
        <v>0</v>
      </c>
      <c r="BQ48" s="690"/>
    </row>
    <row r="49" spans="1:69" s="2148" customFormat="1" ht="15.75" customHeight="1">
      <c r="A49" s="3094" t="s">
        <v>1069</v>
      </c>
      <c r="B49" s="2025" t="s">
        <v>1089</v>
      </c>
      <c r="C49" s="2144"/>
      <c r="D49" s="2145"/>
      <c r="E49" s="3097"/>
      <c r="F49" s="3097"/>
      <c r="G49" s="2146"/>
      <c r="H49" s="3098"/>
      <c r="I49" s="3098"/>
      <c r="J49" s="2146"/>
      <c r="K49" s="2146"/>
      <c r="L49" s="2118">
        <f>L50+L55</f>
        <v>0</v>
      </c>
      <c r="M49" s="2147"/>
      <c r="O49" s="3094" t="s">
        <v>1069</v>
      </c>
      <c r="P49" s="2025" t="s">
        <v>1089</v>
      </c>
      <c r="Q49" s="2144"/>
      <c r="R49" s="2145"/>
      <c r="S49" s="3097"/>
      <c r="T49" s="3097"/>
      <c r="U49" s="2146"/>
      <c r="V49" s="3098"/>
      <c r="W49" s="3098"/>
      <c r="X49" s="2146"/>
      <c r="Y49" s="2146"/>
      <c r="Z49" s="2118">
        <f>Z50+Z55</f>
        <v>0</v>
      </c>
      <c r="AA49" s="2147"/>
      <c r="AC49" s="3094" t="s">
        <v>1069</v>
      </c>
      <c r="AD49" s="2025" t="s">
        <v>1089</v>
      </c>
      <c r="AE49" s="2144"/>
      <c r="AF49" s="2145"/>
      <c r="AG49" s="3097"/>
      <c r="AH49" s="3097"/>
      <c r="AI49" s="2146"/>
      <c r="AJ49" s="3098"/>
      <c r="AK49" s="3098"/>
      <c r="AL49" s="2146"/>
      <c r="AM49" s="2146"/>
      <c r="AN49" s="2118">
        <f>AN50+AN55</f>
        <v>0</v>
      </c>
      <c r="AO49" s="2147"/>
      <c r="AQ49" s="3094" t="s">
        <v>1069</v>
      </c>
      <c r="AR49" s="2025" t="s">
        <v>1089</v>
      </c>
      <c r="AS49" s="2144"/>
      <c r="AT49" s="2145"/>
      <c r="AU49" s="3097"/>
      <c r="AV49" s="3097"/>
      <c r="AW49" s="2146"/>
      <c r="AX49" s="3098"/>
      <c r="AY49" s="3098"/>
      <c r="AZ49" s="2146"/>
      <c r="BA49" s="2146"/>
      <c r="BB49" s="2118">
        <f>BB50+BB55</f>
        <v>0</v>
      </c>
      <c r="BC49" s="2147"/>
      <c r="BE49" s="3094" t="s">
        <v>1069</v>
      </c>
      <c r="BF49" s="2025" t="s">
        <v>1089</v>
      </c>
      <c r="BG49" s="2144"/>
      <c r="BH49" s="2145"/>
      <c r="BI49" s="3097"/>
      <c r="BJ49" s="3097"/>
      <c r="BK49" s="2146"/>
      <c r="BL49" s="3098"/>
      <c r="BM49" s="3098"/>
      <c r="BN49" s="2146"/>
      <c r="BO49" s="2146"/>
      <c r="BP49" s="2118">
        <f>BP50+BP55</f>
        <v>0</v>
      </c>
      <c r="BQ49" s="2147"/>
    </row>
    <row r="50" spans="1:69" s="2117" customFormat="1" ht="15.75" customHeight="1">
      <c r="A50" s="3095"/>
      <c r="B50" s="2119" t="s">
        <v>1094</v>
      </c>
      <c r="C50" s="2120"/>
      <c r="D50" s="2128"/>
      <c r="E50" s="2129"/>
      <c r="F50" s="2130"/>
      <c r="G50" s="2131"/>
      <c r="H50" s="2132"/>
      <c r="I50" s="2133"/>
      <c r="J50" s="2134"/>
      <c r="K50" s="2135"/>
      <c r="L50" s="2136">
        <f>SUM(L51:L53)</f>
        <v>0</v>
      </c>
      <c r="M50" s="2137"/>
      <c r="O50" s="3095"/>
      <c r="P50" s="2119" t="s">
        <v>1094</v>
      </c>
      <c r="Q50" s="2120"/>
      <c r="R50" s="2128"/>
      <c r="S50" s="2129"/>
      <c r="T50" s="2130"/>
      <c r="U50" s="2131"/>
      <c r="V50" s="2132"/>
      <c r="W50" s="2133"/>
      <c r="X50" s="2134"/>
      <c r="Y50" s="2135"/>
      <c r="Z50" s="2136">
        <f>SUM(Z51:Z53)</f>
        <v>0</v>
      </c>
      <c r="AA50" s="2137"/>
      <c r="AC50" s="3095"/>
      <c r="AD50" s="2119" t="s">
        <v>1094</v>
      </c>
      <c r="AE50" s="2120"/>
      <c r="AF50" s="2128"/>
      <c r="AG50" s="2129"/>
      <c r="AH50" s="2130"/>
      <c r="AI50" s="2131"/>
      <c r="AJ50" s="2132"/>
      <c r="AK50" s="2133"/>
      <c r="AL50" s="2134"/>
      <c r="AM50" s="2135"/>
      <c r="AN50" s="2136">
        <f>SUM(AN51:AN53)</f>
        <v>0</v>
      </c>
      <c r="AO50" s="2137"/>
      <c r="AQ50" s="3095"/>
      <c r="AR50" s="2119" t="s">
        <v>1094</v>
      </c>
      <c r="AS50" s="2120"/>
      <c r="AT50" s="2128"/>
      <c r="AU50" s="2129"/>
      <c r="AV50" s="2130"/>
      <c r="AW50" s="2131"/>
      <c r="AX50" s="2132"/>
      <c r="AY50" s="2133"/>
      <c r="AZ50" s="2134"/>
      <c r="BA50" s="2135"/>
      <c r="BB50" s="2136">
        <f>SUM(BB51:BB53)</f>
        <v>0</v>
      </c>
      <c r="BC50" s="2137"/>
      <c r="BE50" s="3095"/>
      <c r="BF50" s="2119" t="s">
        <v>1094</v>
      </c>
      <c r="BG50" s="2120"/>
      <c r="BH50" s="2128"/>
      <c r="BI50" s="2129"/>
      <c r="BJ50" s="2130"/>
      <c r="BK50" s="2131"/>
      <c r="BL50" s="2132"/>
      <c r="BM50" s="2133"/>
      <c r="BN50" s="2134"/>
      <c r="BO50" s="2135"/>
      <c r="BP50" s="2136">
        <f>SUM(BP51:BP53)</f>
        <v>0</v>
      </c>
      <c r="BQ50" s="2137"/>
    </row>
    <row r="51" spans="1:69" ht="15.75" customHeight="1">
      <c r="A51" s="3095"/>
      <c r="B51" s="688" t="s">
        <v>524</v>
      </c>
      <c r="C51" s="1951"/>
      <c r="D51" s="1920"/>
      <c r="E51" s="1921"/>
      <c r="F51" s="2056"/>
      <c r="G51" s="1922"/>
      <c r="H51" s="1923"/>
      <c r="I51" s="2064"/>
      <c r="J51" s="691"/>
      <c r="K51" s="686"/>
      <c r="L51" s="2052">
        <f t="shared" ref="L51:L56" si="100">J51*K51</f>
        <v>0</v>
      </c>
      <c r="M51" s="687"/>
      <c r="O51" s="3095"/>
      <c r="P51" s="688" t="s">
        <v>524</v>
      </c>
      <c r="Q51" s="1951"/>
      <c r="R51" s="1920"/>
      <c r="S51" s="1921"/>
      <c r="T51" s="2056"/>
      <c r="U51" s="1922"/>
      <c r="V51" s="1923"/>
      <c r="W51" s="2064"/>
      <c r="X51" s="691"/>
      <c r="Y51" s="686"/>
      <c r="Z51" s="2052">
        <f t="shared" ref="Z51:Z54" si="101">X51*Y51</f>
        <v>0</v>
      </c>
      <c r="AA51" s="687"/>
      <c r="AC51" s="3095"/>
      <c r="AD51" s="688" t="s">
        <v>524</v>
      </c>
      <c r="AE51" s="1951"/>
      <c r="AF51" s="1920"/>
      <c r="AG51" s="1921"/>
      <c r="AH51" s="2056"/>
      <c r="AI51" s="1922"/>
      <c r="AJ51" s="1923"/>
      <c r="AK51" s="2064"/>
      <c r="AL51" s="691"/>
      <c r="AM51" s="686"/>
      <c r="AN51" s="2052">
        <f t="shared" ref="AN51:AN54" si="102">AL51*AM51</f>
        <v>0</v>
      </c>
      <c r="AO51" s="687"/>
      <c r="AQ51" s="3095"/>
      <c r="AR51" s="688" t="s">
        <v>524</v>
      </c>
      <c r="AS51" s="1951"/>
      <c r="AT51" s="1920"/>
      <c r="AU51" s="1921"/>
      <c r="AV51" s="2056"/>
      <c r="AW51" s="1922"/>
      <c r="AX51" s="1923"/>
      <c r="AY51" s="2064"/>
      <c r="AZ51" s="691"/>
      <c r="BA51" s="686"/>
      <c r="BB51" s="2052">
        <f t="shared" ref="BB51:BB54" si="103">AZ51*BA51</f>
        <v>0</v>
      </c>
      <c r="BC51" s="687"/>
      <c r="BE51" s="3095"/>
      <c r="BF51" s="688" t="s">
        <v>524</v>
      </c>
      <c r="BG51" s="1951"/>
      <c r="BH51" s="1920"/>
      <c r="BI51" s="1921"/>
      <c r="BJ51" s="2056"/>
      <c r="BK51" s="1922"/>
      <c r="BL51" s="1923"/>
      <c r="BM51" s="2064"/>
      <c r="BN51" s="691"/>
      <c r="BO51" s="686"/>
      <c r="BP51" s="2052">
        <f t="shared" ref="BP51:BP54" si="104">BN51*BO51</f>
        <v>0</v>
      </c>
      <c r="BQ51" s="687"/>
    </row>
    <row r="52" spans="1:69" ht="15.75" customHeight="1">
      <c r="A52" s="3095"/>
      <c r="B52" s="688" t="s">
        <v>497</v>
      </c>
      <c r="C52" s="1951"/>
      <c r="D52" s="1920"/>
      <c r="E52" s="1921"/>
      <c r="F52" s="2056"/>
      <c r="G52" s="1922"/>
      <c r="H52" s="1923"/>
      <c r="I52" s="2064"/>
      <c r="J52" s="691"/>
      <c r="K52" s="686"/>
      <c r="L52" s="2052">
        <f t="shared" si="100"/>
        <v>0</v>
      </c>
      <c r="M52" s="687"/>
      <c r="O52" s="3095"/>
      <c r="P52" s="688" t="s">
        <v>497</v>
      </c>
      <c r="Q52" s="1951"/>
      <c r="R52" s="1920"/>
      <c r="S52" s="1921"/>
      <c r="T52" s="2056"/>
      <c r="U52" s="1922"/>
      <c r="V52" s="1923"/>
      <c r="W52" s="2064"/>
      <c r="X52" s="691"/>
      <c r="Y52" s="686"/>
      <c r="Z52" s="2052">
        <f t="shared" si="101"/>
        <v>0</v>
      </c>
      <c r="AA52" s="687"/>
      <c r="AC52" s="3095"/>
      <c r="AD52" s="688" t="s">
        <v>497</v>
      </c>
      <c r="AE52" s="1951"/>
      <c r="AF52" s="1920"/>
      <c r="AG52" s="1921"/>
      <c r="AH52" s="2056"/>
      <c r="AI52" s="1922"/>
      <c r="AJ52" s="1923"/>
      <c r="AK52" s="2064"/>
      <c r="AL52" s="691"/>
      <c r="AM52" s="686"/>
      <c r="AN52" s="2052">
        <f t="shared" si="102"/>
        <v>0</v>
      </c>
      <c r="AO52" s="687"/>
      <c r="AQ52" s="3095"/>
      <c r="AR52" s="688" t="s">
        <v>497</v>
      </c>
      <c r="AS52" s="1951"/>
      <c r="AT52" s="1920"/>
      <c r="AU52" s="1921"/>
      <c r="AV52" s="2056"/>
      <c r="AW52" s="1922"/>
      <c r="AX52" s="1923"/>
      <c r="AY52" s="2064"/>
      <c r="AZ52" s="691"/>
      <c r="BA52" s="686"/>
      <c r="BB52" s="2052">
        <f t="shared" si="103"/>
        <v>0</v>
      </c>
      <c r="BC52" s="687"/>
      <c r="BE52" s="3095"/>
      <c r="BF52" s="688" t="s">
        <v>497</v>
      </c>
      <c r="BG52" s="1951"/>
      <c r="BH52" s="1920"/>
      <c r="BI52" s="1921"/>
      <c r="BJ52" s="2056"/>
      <c r="BK52" s="1922"/>
      <c r="BL52" s="1923"/>
      <c r="BM52" s="2064"/>
      <c r="BN52" s="691"/>
      <c r="BO52" s="686"/>
      <c r="BP52" s="2052">
        <f t="shared" si="104"/>
        <v>0</v>
      </c>
      <c r="BQ52" s="687"/>
    </row>
    <row r="53" spans="1:69" ht="15.75" customHeight="1">
      <c r="A53" s="3095"/>
      <c r="B53" s="688" t="s">
        <v>498</v>
      </c>
      <c r="C53" s="1951"/>
      <c r="D53" s="1920"/>
      <c r="E53" s="1921"/>
      <c r="F53" s="2056"/>
      <c r="G53" s="1922"/>
      <c r="H53" s="1923"/>
      <c r="I53" s="2064"/>
      <c r="J53" s="691"/>
      <c r="K53" s="686"/>
      <c r="L53" s="2052">
        <f t="shared" si="100"/>
        <v>0</v>
      </c>
      <c r="M53" s="687"/>
      <c r="O53" s="3095"/>
      <c r="P53" s="688" t="s">
        <v>498</v>
      </c>
      <c r="Q53" s="1951"/>
      <c r="R53" s="1920"/>
      <c r="S53" s="1921"/>
      <c r="T53" s="2056"/>
      <c r="U53" s="1922"/>
      <c r="V53" s="1923"/>
      <c r="W53" s="2064"/>
      <c r="X53" s="691"/>
      <c r="Y53" s="686"/>
      <c r="Z53" s="2052">
        <f t="shared" si="101"/>
        <v>0</v>
      </c>
      <c r="AA53" s="687"/>
      <c r="AC53" s="3095"/>
      <c r="AD53" s="688" t="s">
        <v>498</v>
      </c>
      <c r="AE53" s="1951"/>
      <c r="AF53" s="1920"/>
      <c r="AG53" s="1921"/>
      <c r="AH53" s="2056"/>
      <c r="AI53" s="1922"/>
      <c r="AJ53" s="1923"/>
      <c r="AK53" s="2064"/>
      <c r="AL53" s="691"/>
      <c r="AM53" s="686"/>
      <c r="AN53" s="2052">
        <f t="shared" si="102"/>
        <v>0</v>
      </c>
      <c r="AO53" s="687"/>
      <c r="AQ53" s="3095"/>
      <c r="AR53" s="688" t="s">
        <v>498</v>
      </c>
      <c r="AS53" s="1951"/>
      <c r="AT53" s="1920"/>
      <c r="AU53" s="1921"/>
      <c r="AV53" s="2056"/>
      <c r="AW53" s="1922"/>
      <c r="AX53" s="1923"/>
      <c r="AY53" s="2064"/>
      <c r="AZ53" s="691"/>
      <c r="BA53" s="686"/>
      <c r="BB53" s="2052">
        <f t="shared" si="103"/>
        <v>0</v>
      </c>
      <c r="BC53" s="687"/>
      <c r="BE53" s="3095"/>
      <c r="BF53" s="688" t="s">
        <v>498</v>
      </c>
      <c r="BG53" s="1951"/>
      <c r="BH53" s="1920"/>
      <c r="BI53" s="1921"/>
      <c r="BJ53" s="2056"/>
      <c r="BK53" s="1922"/>
      <c r="BL53" s="1923"/>
      <c r="BM53" s="2064"/>
      <c r="BN53" s="691"/>
      <c r="BO53" s="686"/>
      <c r="BP53" s="2052">
        <f t="shared" si="104"/>
        <v>0</v>
      </c>
      <c r="BQ53" s="687"/>
    </row>
    <row r="54" spans="1:69" ht="15.75" customHeight="1">
      <c r="A54" s="3095"/>
      <c r="B54" s="684" t="s">
        <v>357</v>
      </c>
      <c r="C54" s="1952"/>
      <c r="D54" s="1920"/>
      <c r="E54" s="1921"/>
      <c r="F54" s="2056"/>
      <c r="G54" s="1922"/>
      <c r="H54" s="1923"/>
      <c r="I54" s="2064"/>
      <c r="J54" s="691"/>
      <c r="K54" s="686"/>
      <c r="L54" s="2052">
        <f t="shared" si="100"/>
        <v>0</v>
      </c>
      <c r="M54" s="687"/>
      <c r="O54" s="3095"/>
      <c r="P54" s="684" t="s">
        <v>357</v>
      </c>
      <c r="Q54" s="1952"/>
      <c r="R54" s="1920"/>
      <c r="S54" s="1921"/>
      <c r="T54" s="2056"/>
      <c r="U54" s="1922"/>
      <c r="V54" s="1923"/>
      <c r="W54" s="2064"/>
      <c r="X54" s="691"/>
      <c r="Y54" s="686"/>
      <c r="Z54" s="2052">
        <f t="shared" si="101"/>
        <v>0</v>
      </c>
      <c r="AA54" s="687"/>
      <c r="AC54" s="3095"/>
      <c r="AD54" s="684" t="s">
        <v>357</v>
      </c>
      <c r="AE54" s="1952"/>
      <c r="AF54" s="1920"/>
      <c r="AG54" s="1921"/>
      <c r="AH54" s="2056"/>
      <c r="AI54" s="1922"/>
      <c r="AJ54" s="1923"/>
      <c r="AK54" s="2064"/>
      <c r="AL54" s="691"/>
      <c r="AM54" s="686"/>
      <c r="AN54" s="2052">
        <f t="shared" si="102"/>
        <v>0</v>
      </c>
      <c r="AO54" s="687"/>
      <c r="AQ54" s="3095"/>
      <c r="AR54" s="684" t="s">
        <v>357</v>
      </c>
      <c r="AS54" s="1952"/>
      <c r="AT54" s="1920"/>
      <c r="AU54" s="1921"/>
      <c r="AV54" s="2056"/>
      <c r="AW54" s="1922"/>
      <c r="AX54" s="1923"/>
      <c r="AY54" s="2064"/>
      <c r="AZ54" s="691"/>
      <c r="BA54" s="686"/>
      <c r="BB54" s="2052">
        <f t="shared" si="103"/>
        <v>0</v>
      </c>
      <c r="BC54" s="687"/>
      <c r="BE54" s="3095"/>
      <c r="BF54" s="684" t="s">
        <v>357</v>
      </c>
      <c r="BG54" s="1952"/>
      <c r="BH54" s="1920"/>
      <c r="BI54" s="1921"/>
      <c r="BJ54" s="2056"/>
      <c r="BK54" s="1922"/>
      <c r="BL54" s="1923"/>
      <c r="BM54" s="2064"/>
      <c r="BN54" s="691"/>
      <c r="BO54" s="686"/>
      <c r="BP54" s="2052">
        <f t="shared" si="104"/>
        <v>0</v>
      </c>
      <c r="BQ54" s="687"/>
    </row>
    <row r="55" spans="1:69" s="2117" customFormat="1" ht="15.75" customHeight="1">
      <c r="A55" s="3095"/>
      <c r="B55" s="2119" t="s">
        <v>1095</v>
      </c>
      <c r="C55" s="2120"/>
      <c r="D55" s="2128"/>
      <c r="E55" s="2129"/>
      <c r="F55" s="2130"/>
      <c r="G55" s="2131"/>
      <c r="H55" s="2132"/>
      <c r="I55" s="2133"/>
      <c r="J55" s="2134"/>
      <c r="K55" s="2135"/>
      <c r="L55" s="2136">
        <f>SUM(L56:L56)</f>
        <v>0</v>
      </c>
      <c r="M55" s="2137"/>
      <c r="O55" s="3095"/>
      <c r="P55" s="2119" t="s">
        <v>1095</v>
      </c>
      <c r="Q55" s="2120"/>
      <c r="R55" s="2128"/>
      <c r="S55" s="2129"/>
      <c r="T55" s="2130"/>
      <c r="U55" s="2131"/>
      <c r="V55" s="2132"/>
      <c r="W55" s="2133"/>
      <c r="X55" s="2134"/>
      <c r="Y55" s="2135"/>
      <c r="Z55" s="2136">
        <f>SUM(Z56:Z56)</f>
        <v>0</v>
      </c>
      <c r="AA55" s="2137"/>
      <c r="AC55" s="3095"/>
      <c r="AD55" s="2119" t="s">
        <v>1095</v>
      </c>
      <c r="AE55" s="2120"/>
      <c r="AF55" s="2128"/>
      <c r="AG55" s="2129"/>
      <c r="AH55" s="2130"/>
      <c r="AI55" s="2131"/>
      <c r="AJ55" s="2132"/>
      <c r="AK55" s="2133"/>
      <c r="AL55" s="2134"/>
      <c r="AM55" s="2135"/>
      <c r="AN55" s="2136">
        <f>SUM(AN56:AN56)</f>
        <v>0</v>
      </c>
      <c r="AO55" s="2137"/>
      <c r="AQ55" s="3095"/>
      <c r="AR55" s="2119" t="s">
        <v>1095</v>
      </c>
      <c r="AS55" s="2120"/>
      <c r="AT55" s="2128"/>
      <c r="AU55" s="2129"/>
      <c r="AV55" s="2130"/>
      <c r="AW55" s="2131"/>
      <c r="AX55" s="2132"/>
      <c r="AY55" s="2133"/>
      <c r="AZ55" s="2134"/>
      <c r="BA55" s="2135"/>
      <c r="BB55" s="2136">
        <f>SUM(BB56:BB56)</f>
        <v>0</v>
      </c>
      <c r="BC55" s="2137"/>
      <c r="BE55" s="3095"/>
      <c r="BF55" s="2119" t="s">
        <v>1095</v>
      </c>
      <c r="BG55" s="2120"/>
      <c r="BH55" s="2128"/>
      <c r="BI55" s="2129"/>
      <c r="BJ55" s="2130"/>
      <c r="BK55" s="2131"/>
      <c r="BL55" s="2132"/>
      <c r="BM55" s="2133"/>
      <c r="BN55" s="2134"/>
      <c r="BO55" s="2135"/>
      <c r="BP55" s="2136">
        <f>SUM(BP56:BP56)</f>
        <v>0</v>
      </c>
      <c r="BQ55" s="2137"/>
    </row>
    <row r="56" spans="1:69" ht="15.75" customHeight="1" thickBot="1">
      <c r="A56" s="3096"/>
      <c r="B56" s="1915" t="s">
        <v>1093</v>
      </c>
      <c r="C56" s="1951"/>
      <c r="D56" s="1924"/>
      <c r="E56" s="1925"/>
      <c r="F56" s="2057"/>
      <c r="G56" s="1926"/>
      <c r="H56" s="1927"/>
      <c r="I56" s="2065"/>
      <c r="J56" s="691"/>
      <c r="K56" s="686"/>
      <c r="L56" s="2052">
        <f t="shared" si="100"/>
        <v>0</v>
      </c>
      <c r="M56" s="690"/>
      <c r="O56" s="3096"/>
      <c r="P56" s="1915" t="s">
        <v>1093</v>
      </c>
      <c r="Q56" s="1951"/>
      <c r="R56" s="1924"/>
      <c r="S56" s="1925"/>
      <c r="T56" s="2057"/>
      <c r="U56" s="1926"/>
      <c r="V56" s="1927"/>
      <c r="W56" s="2065"/>
      <c r="X56" s="691"/>
      <c r="Y56" s="686"/>
      <c r="Z56" s="2052">
        <f t="shared" ref="Z56" si="105">X56*Y56</f>
        <v>0</v>
      </c>
      <c r="AA56" s="690"/>
      <c r="AC56" s="3096"/>
      <c r="AD56" s="1915" t="s">
        <v>1093</v>
      </c>
      <c r="AE56" s="1951"/>
      <c r="AF56" s="1924"/>
      <c r="AG56" s="1925"/>
      <c r="AH56" s="2057"/>
      <c r="AI56" s="1926"/>
      <c r="AJ56" s="1927"/>
      <c r="AK56" s="2065"/>
      <c r="AL56" s="691"/>
      <c r="AM56" s="686"/>
      <c r="AN56" s="2052">
        <f t="shared" ref="AN56" si="106">AL56*AM56</f>
        <v>0</v>
      </c>
      <c r="AO56" s="690"/>
      <c r="AQ56" s="3096"/>
      <c r="AR56" s="1915" t="s">
        <v>1093</v>
      </c>
      <c r="AS56" s="1951"/>
      <c r="AT56" s="1924"/>
      <c r="AU56" s="1925"/>
      <c r="AV56" s="2057"/>
      <c r="AW56" s="1926"/>
      <c r="AX56" s="1927"/>
      <c r="AY56" s="2065"/>
      <c r="AZ56" s="691"/>
      <c r="BA56" s="686"/>
      <c r="BB56" s="2052">
        <f t="shared" ref="BB56" si="107">AZ56*BA56</f>
        <v>0</v>
      </c>
      <c r="BC56" s="690"/>
      <c r="BE56" s="3096"/>
      <c r="BF56" s="1915" t="s">
        <v>1093</v>
      </c>
      <c r="BG56" s="1951"/>
      <c r="BH56" s="1924"/>
      <c r="BI56" s="1925"/>
      <c r="BJ56" s="2057"/>
      <c r="BK56" s="1926"/>
      <c r="BL56" s="1927"/>
      <c r="BM56" s="2065"/>
      <c r="BN56" s="691"/>
      <c r="BO56" s="686"/>
      <c r="BP56" s="2052">
        <f t="shared" ref="BP56" si="108">BN56*BO56</f>
        <v>0</v>
      </c>
      <c r="BQ56" s="690"/>
    </row>
    <row r="57" spans="1:69" s="2127" customFormat="1" ht="15.75" customHeight="1" thickBot="1">
      <c r="A57" s="2121"/>
      <c r="B57" s="2006" t="s">
        <v>1082</v>
      </c>
      <c r="C57" s="2122"/>
      <c r="D57" s="2123"/>
      <c r="E57" s="3099"/>
      <c r="F57" s="3100"/>
      <c r="G57" s="2123"/>
      <c r="H57" s="2124"/>
      <c r="I57" s="2125">
        <f>I58+I67</f>
        <v>0</v>
      </c>
      <c r="J57" s="2123"/>
      <c r="K57" s="3099"/>
      <c r="L57" s="3101"/>
      <c r="M57" s="2126"/>
      <c r="O57" s="2121"/>
      <c r="P57" s="2006" t="s">
        <v>1082</v>
      </c>
      <c r="Q57" s="2122"/>
      <c r="R57" s="2123"/>
      <c r="S57" s="3099"/>
      <c r="T57" s="3100"/>
      <c r="U57" s="2123"/>
      <c r="V57" s="2124"/>
      <c r="W57" s="2125">
        <f>W58+W67</f>
        <v>0</v>
      </c>
      <c r="X57" s="2123"/>
      <c r="Y57" s="3099"/>
      <c r="Z57" s="3101"/>
      <c r="AA57" s="2126"/>
      <c r="AC57" s="2121"/>
      <c r="AD57" s="2006" t="s">
        <v>1082</v>
      </c>
      <c r="AE57" s="2122"/>
      <c r="AF57" s="2123"/>
      <c r="AG57" s="3099"/>
      <c r="AH57" s="3100"/>
      <c r="AI57" s="2123"/>
      <c r="AJ57" s="2124"/>
      <c r="AK57" s="2125">
        <f>AK58+AK67</f>
        <v>0</v>
      </c>
      <c r="AL57" s="2123"/>
      <c r="AM57" s="3099"/>
      <c r="AN57" s="3101"/>
      <c r="AO57" s="2126"/>
      <c r="AQ57" s="2121"/>
      <c r="AR57" s="2006" t="s">
        <v>1082</v>
      </c>
      <c r="AS57" s="2122"/>
      <c r="AT57" s="2123"/>
      <c r="AU57" s="3099"/>
      <c r="AV57" s="3100"/>
      <c r="AW57" s="2123"/>
      <c r="AX57" s="2124"/>
      <c r="AY57" s="2125">
        <f>AY58+AY67</f>
        <v>0</v>
      </c>
      <c r="AZ57" s="2123"/>
      <c r="BA57" s="3099"/>
      <c r="BB57" s="3101"/>
      <c r="BC57" s="2126"/>
      <c r="BE57" s="2121"/>
      <c r="BF57" s="2006" t="s">
        <v>1082</v>
      </c>
      <c r="BG57" s="2122"/>
      <c r="BH57" s="2123"/>
      <c r="BI57" s="3099"/>
      <c r="BJ57" s="3100"/>
      <c r="BK57" s="2123"/>
      <c r="BL57" s="2124"/>
      <c r="BM57" s="2125">
        <f>BM58+BM67</f>
        <v>0</v>
      </c>
      <c r="BN57" s="2123"/>
      <c r="BO57" s="3099"/>
      <c r="BP57" s="3101"/>
      <c r="BQ57" s="2126"/>
    </row>
    <row r="58" spans="1:69" s="683" customFormat="1" ht="15.75" customHeight="1">
      <c r="A58" s="3102" t="s">
        <v>1070</v>
      </c>
      <c r="B58" s="2004" t="s">
        <v>1083</v>
      </c>
      <c r="C58" s="1949"/>
      <c r="D58" s="1978"/>
      <c r="E58" s="3104"/>
      <c r="F58" s="3104"/>
      <c r="G58" s="1978"/>
      <c r="H58" s="1978"/>
      <c r="I58" s="2066">
        <f>I59+I63</f>
        <v>0</v>
      </c>
      <c r="J58" s="1980"/>
      <c r="K58" s="3105"/>
      <c r="L58" s="3106"/>
      <c r="M58" s="696"/>
      <c r="O58" s="3102" t="s">
        <v>1070</v>
      </c>
      <c r="P58" s="2004" t="s">
        <v>1083</v>
      </c>
      <c r="Q58" s="1949"/>
      <c r="R58" s="1978"/>
      <c r="S58" s="3104"/>
      <c r="T58" s="3104"/>
      <c r="U58" s="1978"/>
      <c r="V58" s="1978"/>
      <c r="W58" s="2066">
        <f>W59+W63</f>
        <v>0</v>
      </c>
      <c r="X58" s="1980"/>
      <c r="Y58" s="3105"/>
      <c r="Z58" s="3106"/>
      <c r="AA58" s="696"/>
      <c r="AC58" s="3102" t="s">
        <v>1070</v>
      </c>
      <c r="AD58" s="2004" t="s">
        <v>1083</v>
      </c>
      <c r="AE58" s="1949"/>
      <c r="AF58" s="1978"/>
      <c r="AG58" s="3104"/>
      <c r="AH58" s="3104"/>
      <c r="AI58" s="1978"/>
      <c r="AJ58" s="1978"/>
      <c r="AK58" s="2066">
        <f>AK59+AK63</f>
        <v>0</v>
      </c>
      <c r="AL58" s="1980"/>
      <c r="AM58" s="3105"/>
      <c r="AN58" s="3106"/>
      <c r="AO58" s="696"/>
      <c r="AQ58" s="3102" t="s">
        <v>1070</v>
      </c>
      <c r="AR58" s="2004" t="s">
        <v>1083</v>
      </c>
      <c r="AS58" s="1949"/>
      <c r="AT58" s="1978"/>
      <c r="AU58" s="3104"/>
      <c r="AV58" s="3104"/>
      <c r="AW58" s="1978"/>
      <c r="AX58" s="1978"/>
      <c r="AY58" s="2066">
        <f>AY59+AY63</f>
        <v>0</v>
      </c>
      <c r="AZ58" s="1980"/>
      <c r="BA58" s="3105"/>
      <c r="BB58" s="3106"/>
      <c r="BC58" s="696"/>
      <c r="BE58" s="3102" t="s">
        <v>1070</v>
      </c>
      <c r="BF58" s="2004" t="s">
        <v>1083</v>
      </c>
      <c r="BG58" s="1949"/>
      <c r="BH58" s="1978"/>
      <c r="BI58" s="3104"/>
      <c r="BJ58" s="3104"/>
      <c r="BK58" s="1978"/>
      <c r="BL58" s="1978"/>
      <c r="BM58" s="2066">
        <f>BM59+BM63</f>
        <v>0</v>
      </c>
      <c r="BN58" s="1980"/>
      <c r="BO58" s="3105"/>
      <c r="BP58" s="3106"/>
      <c r="BQ58" s="696"/>
    </row>
    <row r="59" spans="1:69" s="2117" customFormat="1" ht="15.75" customHeight="1">
      <c r="A59" s="3103"/>
      <c r="B59" s="2007" t="s">
        <v>1085</v>
      </c>
      <c r="C59" s="2138"/>
      <c r="D59" s="3072" t="s">
        <v>358</v>
      </c>
      <c r="E59" s="3073"/>
      <c r="F59" s="3074"/>
      <c r="G59" s="2139"/>
      <c r="H59" s="2014"/>
      <c r="I59" s="2067">
        <f>SUM(I60:I62)</f>
        <v>0</v>
      </c>
      <c r="J59" s="2140"/>
      <c r="K59" s="3075"/>
      <c r="L59" s="3076"/>
      <c r="M59" s="2141"/>
      <c r="O59" s="3103"/>
      <c r="P59" s="2007" t="s">
        <v>1085</v>
      </c>
      <c r="Q59" s="2138"/>
      <c r="R59" s="3072" t="s">
        <v>358</v>
      </c>
      <c r="S59" s="3073"/>
      <c r="T59" s="3074"/>
      <c r="U59" s="2139"/>
      <c r="V59" s="2014"/>
      <c r="W59" s="2067">
        <f>SUM(W60:W62)</f>
        <v>0</v>
      </c>
      <c r="X59" s="2140"/>
      <c r="Y59" s="3075"/>
      <c r="Z59" s="3076"/>
      <c r="AA59" s="2141"/>
      <c r="AC59" s="3103"/>
      <c r="AD59" s="2007" t="s">
        <v>1085</v>
      </c>
      <c r="AE59" s="2138"/>
      <c r="AF59" s="3072" t="s">
        <v>358</v>
      </c>
      <c r="AG59" s="3073"/>
      <c r="AH59" s="3074"/>
      <c r="AI59" s="2139"/>
      <c r="AJ59" s="2014"/>
      <c r="AK59" s="2067">
        <f>SUM(AK60:AK62)</f>
        <v>0</v>
      </c>
      <c r="AL59" s="2140"/>
      <c r="AM59" s="3075"/>
      <c r="AN59" s="3076"/>
      <c r="AO59" s="2141"/>
      <c r="AQ59" s="3103"/>
      <c r="AR59" s="2007" t="s">
        <v>1085</v>
      </c>
      <c r="AS59" s="2138"/>
      <c r="AT59" s="3072" t="s">
        <v>358</v>
      </c>
      <c r="AU59" s="3073"/>
      <c r="AV59" s="3074"/>
      <c r="AW59" s="2139"/>
      <c r="AX59" s="2014"/>
      <c r="AY59" s="2067">
        <f>SUM(AY60:AY62)</f>
        <v>0</v>
      </c>
      <c r="AZ59" s="2140"/>
      <c r="BA59" s="3075"/>
      <c r="BB59" s="3076"/>
      <c r="BC59" s="2141"/>
      <c r="BE59" s="3103"/>
      <c r="BF59" s="2007" t="s">
        <v>1085</v>
      </c>
      <c r="BG59" s="2138"/>
      <c r="BH59" s="3072" t="s">
        <v>358</v>
      </c>
      <c r="BI59" s="3073"/>
      <c r="BJ59" s="3074"/>
      <c r="BK59" s="2139"/>
      <c r="BL59" s="2014"/>
      <c r="BM59" s="2067">
        <f>SUM(BM60:BM62)</f>
        <v>0</v>
      </c>
      <c r="BN59" s="2140"/>
      <c r="BO59" s="3075"/>
      <c r="BP59" s="3076"/>
      <c r="BQ59" s="2141"/>
    </row>
    <row r="60" spans="1:69" ht="15.75" customHeight="1">
      <c r="A60" s="3103"/>
      <c r="B60" s="697" t="s">
        <v>516</v>
      </c>
      <c r="C60" s="1953"/>
      <c r="D60" s="3069"/>
      <c r="E60" s="3070"/>
      <c r="F60" s="3071"/>
      <c r="G60" s="691"/>
      <c r="H60" s="689"/>
      <c r="I60" s="2061">
        <f t="shared" ref="I60:I62" si="109">G60*H60</f>
        <v>0</v>
      </c>
      <c r="J60" s="1930"/>
      <c r="K60" s="1931"/>
      <c r="L60" s="2074"/>
      <c r="M60" s="687"/>
      <c r="O60" s="3103"/>
      <c r="P60" s="697" t="s">
        <v>516</v>
      </c>
      <c r="Q60" s="1953"/>
      <c r="R60" s="3069"/>
      <c r="S60" s="3070"/>
      <c r="T60" s="3071"/>
      <c r="U60" s="691"/>
      <c r="V60" s="689"/>
      <c r="W60" s="2061">
        <f t="shared" ref="W60:W62" si="110">U60*V60</f>
        <v>0</v>
      </c>
      <c r="X60" s="1930"/>
      <c r="Y60" s="1979"/>
      <c r="Z60" s="2074"/>
      <c r="AA60" s="687"/>
      <c r="AC60" s="3103"/>
      <c r="AD60" s="697" t="s">
        <v>516</v>
      </c>
      <c r="AE60" s="1953"/>
      <c r="AF60" s="3069"/>
      <c r="AG60" s="3070"/>
      <c r="AH60" s="3071"/>
      <c r="AI60" s="691"/>
      <c r="AJ60" s="689"/>
      <c r="AK60" s="2061">
        <f t="shared" ref="AK60:AK62" si="111">AI60*AJ60</f>
        <v>0</v>
      </c>
      <c r="AL60" s="1930"/>
      <c r="AM60" s="1979"/>
      <c r="AN60" s="2074"/>
      <c r="AO60" s="687"/>
      <c r="AQ60" s="3103"/>
      <c r="AR60" s="697" t="s">
        <v>516</v>
      </c>
      <c r="AS60" s="1953"/>
      <c r="AT60" s="3069"/>
      <c r="AU60" s="3070"/>
      <c r="AV60" s="3071"/>
      <c r="AW60" s="691"/>
      <c r="AX60" s="689"/>
      <c r="AY60" s="2061">
        <f t="shared" ref="AY60:AY62" si="112">AW60*AX60</f>
        <v>0</v>
      </c>
      <c r="AZ60" s="1930"/>
      <c r="BA60" s="1979"/>
      <c r="BB60" s="2074"/>
      <c r="BC60" s="687"/>
      <c r="BE60" s="3103"/>
      <c r="BF60" s="697" t="s">
        <v>516</v>
      </c>
      <c r="BG60" s="1953"/>
      <c r="BH60" s="3069"/>
      <c r="BI60" s="3070"/>
      <c r="BJ60" s="3071"/>
      <c r="BK60" s="691"/>
      <c r="BL60" s="689"/>
      <c r="BM60" s="2061">
        <f t="shared" ref="BM60:BM62" si="113">BK60*BL60</f>
        <v>0</v>
      </c>
      <c r="BN60" s="1930"/>
      <c r="BO60" s="1979"/>
      <c r="BP60" s="2074"/>
      <c r="BQ60" s="687"/>
    </row>
    <row r="61" spans="1:69" ht="15.75" customHeight="1">
      <c r="A61" s="3103"/>
      <c r="B61" s="697" t="s">
        <v>517</v>
      </c>
      <c r="C61" s="1953"/>
      <c r="D61" s="3069"/>
      <c r="E61" s="3070"/>
      <c r="F61" s="3071"/>
      <c r="G61" s="691"/>
      <c r="H61" s="689"/>
      <c r="I61" s="2061">
        <f t="shared" ref="I61" si="114">G61*H61</f>
        <v>0</v>
      </c>
      <c r="J61" s="1930"/>
      <c r="K61" s="1931"/>
      <c r="L61" s="2074"/>
      <c r="M61" s="687"/>
      <c r="O61" s="3103"/>
      <c r="P61" s="697" t="s">
        <v>517</v>
      </c>
      <c r="Q61" s="1953"/>
      <c r="R61" s="3069"/>
      <c r="S61" s="3070"/>
      <c r="T61" s="3071"/>
      <c r="U61" s="691"/>
      <c r="V61" s="689"/>
      <c r="W61" s="2061">
        <f t="shared" si="110"/>
        <v>0</v>
      </c>
      <c r="X61" s="1930"/>
      <c r="Y61" s="1979"/>
      <c r="Z61" s="2074"/>
      <c r="AA61" s="687"/>
      <c r="AC61" s="3103"/>
      <c r="AD61" s="697" t="s">
        <v>517</v>
      </c>
      <c r="AE61" s="1953"/>
      <c r="AF61" s="3069"/>
      <c r="AG61" s="3070"/>
      <c r="AH61" s="3071"/>
      <c r="AI61" s="691"/>
      <c r="AJ61" s="689"/>
      <c r="AK61" s="2061">
        <f t="shared" si="111"/>
        <v>0</v>
      </c>
      <c r="AL61" s="1930"/>
      <c r="AM61" s="1979"/>
      <c r="AN61" s="2074"/>
      <c r="AO61" s="687"/>
      <c r="AQ61" s="3103"/>
      <c r="AR61" s="697" t="s">
        <v>517</v>
      </c>
      <c r="AS61" s="1953"/>
      <c r="AT61" s="3069"/>
      <c r="AU61" s="3070"/>
      <c r="AV61" s="3071"/>
      <c r="AW61" s="691"/>
      <c r="AX61" s="689"/>
      <c r="AY61" s="2061">
        <f t="shared" si="112"/>
        <v>0</v>
      </c>
      <c r="AZ61" s="1930"/>
      <c r="BA61" s="1979"/>
      <c r="BB61" s="2074"/>
      <c r="BC61" s="687"/>
      <c r="BE61" s="3103"/>
      <c r="BF61" s="697" t="s">
        <v>517</v>
      </c>
      <c r="BG61" s="1953"/>
      <c r="BH61" s="3069"/>
      <c r="BI61" s="3070"/>
      <c r="BJ61" s="3071"/>
      <c r="BK61" s="691"/>
      <c r="BL61" s="689"/>
      <c r="BM61" s="2061">
        <f t="shared" si="113"/>
        <v>0</v>
      </c>
      <c r="BN61" s="1930"/>
      <c r="BO61" s="1979"/>
      <c r="BP61" s="2074"/>
      <c r="BQ61" s="687"/>
    </row>
    <row r="62" spans="1:69" ht="15.75" customHeight="1">
      <c r="A62" s="3103"/>
      <c r="B62" s="697" t="s">
        <v>228</v>
      </c>
      <c r="C62" s="1953"/>
      <c r="D62" s="3069"/>
      <c r="E62" s="3070"/>
      <c r="F62" s="3071"/>
      <c r="G62" s="691"/>
      <c r="H62" s="689"/>
      <c r="I62" s="2061">
        <f t="shared" si="109"/>
        <v>0</v>
      </c>
      <c r="J62" s="1930"/>
      <c r="K62" s="1931"/>
      <c r="L62" s="2074"/>
      <c r="M62" s="687"/>
      <c r="O62" s="3103"/>
      <c r="P62" s="697" t="s">
        <v>228</v>
      </c>
      <c r="Q62" s="1953"/>
      <c r="R62" s="3069"/>
      <c r="S62" s="3070"/>
      <c r="T62" s="3071"/>
      <c r="U62" s="691"/>
      <c r="V62" s="689"/>
      <c r="W62" s="2061">
        <f t="shared" si="110"/>
        <v>0</v>
      </c>
      <c r="X62" s="1930"/>
      <c r="Y62" s="1979"/>
      <c r="Z62" s="2074"/>
      <c r="AA62" s="687"/>
      <c r="AC62" s="3103"/>
      <c r="AD62" s="697" t="s">
        <v>228</v>
      </c>
      <c r="AE62" s="1953"/>
      <c r="AF62" s="3069"/>
      <c r="AG62" s="3070"/>
      <c r="AH62" s="3071"/>
      <c r="AI62" s="691"/>
      <c r="AJ62" s="689"/>
      <c r="AK62" s="2061">
        <f t="shared" si="111"/>
        <v>0</v>
      </c>
      <c r="AL62" s="1930"/>
      <c r="AM62" s="1979"/>
      <c r="AN62" s="2074"/>
      <c r="AO62" s="687"/>
      <c r="AQ62" s="3103"/>
      <c r="AR62" s="697" t="s">
        <v>228</v>
      </c>
      <c r="AS62" s="1953"/>
      <c r="AT62" s="3069"/>
      <c r="AU62" s="3070"/>
      <c r="AV62" s="3071"/>
      <c r="AW62" s="691"/>
      <c r="AX62" s="689"/>
      <c r="AY62" s="2061">
        <f t="shared" si="112"/>
        <v>0</v>
      </c>
      <c r="AZ62" s="1930"/>
      <c r="BA62" s="1979"/>
      <c r="BB62" s="2074"/>
      <c r="BC62" s="687"/>
      <c r="BE62" s="3103"/>
      <c r="BF62" s="697" t="s">
        <v>228</v>
      </c>
      <c r="BG62" s="1953"/>
      <c r="BH62" s="3069"/>
      <c r="BI62" s="3070"/>
      <c r="BJ62" s="3071"/>
      <c r="BK62" s="691"/>
      <c r="BL62" s="689"/>
      <c r="BM62" s="2061">
        <f t="shared" si="113"/>
        <v>0</v>
      </c>
      <c r="BN62" s="1930"/>
      <c r="BO62" s="1979"/>
      <c r="BP62" s="2074"/>
      <c r="BQ62" s="687"/>
    </row>
    <row r="63" spans="1:69" s="2117" customFormat="1" ht="15.75" customHeight="1">
      <c r="A63" s="3103"/>
      <c r="B63" s="2007" t="s">
        <v>1086</v>
      </c>
      <c r="C63" s="2138"/>
      <c r="D63" s="3072"/>
      <c r="E63" s="3073"/>
      <c r="F63" s="3074"/>
      <c r="G63" s="2142"/>
      <c r="H63" s="2014"/>
      <c r="I63" s="2067">
        <f>SUM(I64:I66)</f>
        <v>0</v>
      </c>
      <c r="J63" s="2140"/>
      <c r="K63" s="3075"/>
      <c r="L63" s="3076"/>
      <c r="M63" s="2141"/>
      <c r="O63" s="3103"/>
      <c r="P63" s="2007" t="s">
        <v>1086</v>
      </c>
      <c r="Q63" s="2138"/>
      <c r="R63" s="3072"/>
      <c r="S63" s="3073"/>
      <c r="T63" s="3074"/>
      <c r="U63" s="2142"/>
      <c r="V63" s="2014"/>
      <c r="W63" s="2067">
        <f>SUM(W64:W66)</f>
        <v>0</v>
      </c>
      <c r="X63" s="2140"/>
      <c r="Y63" s="3075"/>
      <c r="Z63" s="3076"/>
      <c r="AA63" s="2141"/>
      <c r="AC63" s="3103"/>
      <c r="AD63" s="2007" t="s">
        <v>1086</v>
      </c>
      <c r="AE63" s="2138"/>
      <c r="AF63" s="3072"/>
      <c r="AG63" s="3073"/>
      <c r="AH63" s="3074"/>
      <c r="AI63" s="2142"/>
      <c r="AJ63" s="2014"/>
      <c r="AK63" s="2067">
        <f>SUM(AK64:AK66)</f>
        <v>0</v>
      </c>
      <c r="AL63" s="2140"/>
      <c r="AM63" s="3075"/>
      <c r="AN63" s="3076"/>
      <c r="AO63" s="2141"/>
      <c r="AQ63" s="3103"/>
      <c r="AR63" s="2007" t="s">
        <v>1086</v>
      </c>
      <c r="AS63" s="2138"/>
      <c r="AT63" s="3072"/>
      <c r="AU63" s="3073"/>
      <c r="AV63" s="3074"/>
      <c r="AW63" s="2142"/>
      <c r="AX63" s="2014"/>
      <c r="AY63" s="2067">
        <f>SUM(AY64:AY66)</f>
        <v>0</v>
      </c>
      <c r="AZ63" s="2140"/>
      <c r="BA63" s="3075"/>
      <c r="BB63" s="3076"/>
      <c r="BC63" s="2141"/>
      <c r="BE63" s="3103"/>
      <c r="BF63" s="2007" t="s">
        <v>1086</v>
      </c>
      <c r="BG63" s="2138"/>
      <c r="BH63" s="3072"/>
      <c r="BI63" s="3073"/>
      <c r="BJ63" s="3074"/>
      <c r="BK63" s="2142"/>
      <c r="BL63" s="2014"/>
      <c r="BM63" s="2067">
        <f>SUM(BM64:BM66)</f>
        <v>0</v>
      </c>
      <c r="BN63" s="2140"/>
      <c r="BO63" s="3075"/>
      <c r="BP63" s="3076"/>
      <c r="BQ63" s="2141"/>
    </row>
    <row r="64" spans="1:69" ht="15.75" customHeight="1">
      <c r="A64" s="3103"/>
      <c r="B64" s="697" t="s">
        <v>516</v>
      </c>
      <c r="C64" s="1953"/>
      <c r="D64" s="3077"/>
      <c r="E64" s="3078"/>
      <c r="F64" s="3079"/>
      <c r="G64" s="699"/>
      <c r="H64" s="689"/>
      <c r="I64" s="2061">
        <f t="shared" ref="I64:I66" si="115">G64*H64</f>
        <v>0</v>
      </c>
      <c r="J64" s="1930"/>
      <c r="K64" s="1931"/>
      <c r="L64" s="2074"/>
      <c r="M64" s="687"/>
      <c r="O64" s="3103"/>
      <c r="P64" s="697" t="s">
        <v>516</v>
      </c>
      <c r="Q64" s="1953"/>
      <c r="R64" s="3077"/>
      <c r="S64" s="3078"/>
      <c r="T64" s="3079"/>
      <c r="U64" s="699"/>
      <c r="V64" s="689"/>
      <c r="W64" s="2061">
        <f t="shared" ref="W64:W66" si="116">U64*V64</f>
        <v>0</v>
      </c>
      <c r="X64" s="1930"/>
      <c r="Y64" s="1979"/>
      <c r="Z64" s="2074"/>
      <c r="AA64" s="687"/>
      <c r="AC64" s="3103"/>
      <c r="AD64" s="697" t="s">
        <v>516</v>
      </c>
      <c r="AE64" s="1953"/>
      <c r="AF64" s="3077"/>
      <c r="AG64" s="3078"/>
      <c r="AH64" s="3079"/>
      <c r="AI64" s="699"/>
      <c r="AJ64" s="689"/>
      <c r="AK64" s="2061">
        <f t="shared" ref="AK64:AK66" si="117">AI64*AJ64</f>
        <v>0</v>
      </c>
      <c r="AL64" s="1930"/>
      <c r="AM64" s="1979"/>
      <c r="AN64" s="2074"/>
      <c r="AO64" s="687"/>
      <c r="AQ64" s="3103"/>
      <c r="AR64" s="697" t="s">
        <v>516</v>
      </c>
      <c r="AS64" s="1953"/>
      <c r="AT64" s="3077"/>
      <c r="AU64" s="3078"/>
      <c r="AV64" s="3079"/>
      <c r="AW64" s="699"/>
      <c r="AX64" s="689"/>
      <c r="AY64" s="2061">
        <f t="shared" ref="AY64:AY66" si="118">AW64*AX64</f>
        <v>0</v>
      </c>
      <c r="AZ64" s="1930"/>
      <c r="BA64" s="1979"/>
      <c r="BB64" s="2074"/>
      <c r="BC64" s="687"/>
      <c r="BE64" s="3103"/>
      <c r="BF64" s="697" t="s">
        <v>516</v>
      </c>
      <c r="BG64" s="1953"/>
      <c r="BH64" s="3077"/>
      <c r="BI64" s="3078"/>
      <c r="BJ64" s="3079"/>
      <c r="BK64" s="699"/>
      <c r="BL64" s="689"/>
      <c r="BM64" s="2061">
        <f t="shared" ref="BM64:BM66" si="119">BK64*BL64</f>
        <v>0</v>
      </c>
      <c r="BN64" s="1930"/>
      <c r="BO64" s="1979"/>
      <c r="BP64" s="2074"/>
      <c r="BQ64" s="687"/>
    </row>
    <row r="65" spans="1:69" ht="15.75" customHeight="1">
      <c r="A65" s="3103"/>
      <c r="B65" s="697" t="s">
        <v>517</v>
      </c>
      <c r="C65" s="1953"/>
      <c r="D65" s="3077"/>
      <c r="E65" s="3078"/>
      <c r="F65" s="3079"/>
      <c r="G65" s="699"/>
      <c r="H65" s="689"/>
      <c r="I65" s="2061">
        <f t="shared" si="115"/>
        <v>0</v>
      </c>
      <c r="J65" s="1930"/>
      <c r="K65" s="1931"/>
      <c r="L65" s="2074"/>
      <c r="M65" s="687"/>
      <c r="O65" s="3103"/>
      <c r="P65" s="697" t="s">
        <v>517</v>
      </c>
      <c r="Q65" s="1953"/>
      <c r="R65" s="3077"/>
      <c r="S65" s="3078"/>
      <c r="T65" s="3079"/>
      <c r="U65" s="699"/>
      <c r="V65" s="689"/>
      <c r="W65" s="2061">
        <f t="shared" si="116"/>
        <v>0</v>
      </c>
      <c r="X65" s="1930"/>
      <c r="Y65" s="1979"/>
      <c r="Z65" s="2074"/>
      <c r="AA65" s="687"/>
      <c r="AC65" s="3103"/>
      <c r="AD65" s="697" t="s">
        <v>517</v>
      </c>
      <c r="AE65" s="1953"/>
      <c r="AF65" s="3077"/>
      <c r="AG65" s="3078"/>
      <c r="AH65" s="3079"/>
      <c r="AI65" s="699"/>
      <c r="AJ65" s="689"/>
      <c r="AK65" s="2061">
        <f t="shared" si="117"/>
        <v>0</v>
      </c>
      <c r="AL65" s="1930"/>
      <c r="AM65" s="1979"/>
      <c r="AN65" s="2074"/>
      <c r="AO65" s="687"/>
      <c r="AQ65" s="3103"/>
      <c r="AR65" s="697" t="s">
        <v>517</v>
      </c>
      <c r="AS65" s="1953"/>
      <c r="AT65" s="3077"/>
      <c r="AU65" s="3078"/>
      <c r="AV65" s="3079"/>
      <c r="AW65" s="699"/>
      <c r="AX65" s="689"/>
      <c r="AY65" s="2061">
        <f t="shared" si="118"/>
        <v>0</v>
      </c>
      <c r="AZ65" s="1930"/>
      <c r="BA65" s="1979"/>
      <c r="BB65" s="2074"/>
      <c r="BC65" s="687"/>
      <c r="BE65" s="3103"/>
      <c r="BF65" s="697" t="s">
        <v>517</v>
      </c>
      <c r="BG65" s="1953"/>
      <c r="BH65" s="3077"/>
      <c r="BI65" s="3078"/>
      <c r="BJ65" s="3079"/>
      <c r="BK65" s="699"/>
      <c r="BL65" s="689"/>
      <c r="BM65" s="2061">
        <f t="shared" si="119"/>
        <v>0</v>
      </c>
      <c r="BN65" s="1930"/>
      <c r="BO65" s="1979"/>
      <c r="BP65" s="2074"/>
      <c r="BQ65" s="687"/>
    </row>
    <row r="66" spans="1:69" ht="15.75" customHeight="1" thickBot="1">
      <c r="A66" s="3103"/>
      <c r="B66" s="697" t="s">
        <v>228</v>
      </c>
      <c r="C66" s="1953"/>
      <c r="D66" s="3077"/>
      <c r="E66" s="3078"/>
      <c r="F66" s="3079"/>
      <c r="G66" s="699"/>
      <c r="H66" s="689"/>
      <c r="I66" s="2061">
        <f t="shared" si="115"/>
        <v>0</v>
      </c>
      <c r="J66" s="1932"/>
      <c r="K66" s="1933"/>
      <c r="L66" s="2075"/>
      <c r="M66" s="687"/>
      <c r="O66" s="3103"/>
      <c r="P66" s="697" t="s">
        <v>228</v>
      </c>
      <c r="Q66" s="1953"/>
      <c r="R66" s="3077"/>
      <c r="S66" s="3078"/>
      <c r="T66" s="3079"/>
      <c r="U66" s="699"/>
      <c r="V66" s="689"/>
      <c r="W66" s="2061">
        <f t="shared" si="116"/>
        <v>0</v>
      </c>
      <c r="X66" s="1932"/>
      <c r="Y66" s="1933"/>
      <c r="Z66" s="2075"/>
      <c r="AA66" s="687"/>
      <c r="AC66" s="3103"/>
      <c r="AD66" s="697" t="s">
        <v>228</v>
      </c>
      <c r="AE66" s="1953"/>
      <c r="AF66" s="3077"/>
      <c r="AG66" s="3078"/>
      <c r="AH66" s="3079"/>
      <c r="AI66" s="699"/>
      <c r="AJ66" s="689"/>
      <c r="AK66" s="2061">
        <f t="shared" si="117"/>
        <v>0</v>
      </c>
      <c r="AL66" s="1932"/>
      <c r="AM66" s="1933"/>
      <c r="AN66" s="2075"/>
      <c r="AO66" s="687"/>
      <c r="AQ66" s="3103"/>
      <c r="AR66" s="697" t="s">
        <v>228</v>
      </c>
      <c r="AS66" s="1953"/>
      <c r="AT66" s="3077"/>
      <c r="AU66" s="3078"/>
      <c r="AV66" s="3079"/>
      <c r="AW66" s="699"/>
      <c r="AX66" s="689"/>
      <c r="AY66" s="2061">
        <f t="shared" si="118"/>
        <v>0</v>
      </c>
      <c r="AZ66" s="1932"/>
      <c r="BA66" s="1933"/>
      <c r="BB66" s="2075"/>
      <c r="BC66" s="687"/>
      <c r="BE66" s="3103"/>
      <c r="BF66" s="697" t="s">
        <v>228</v>
      </c>
      <c r="BG66" s="1953"/>
      <c r="BH66" s="3077"/>
      <c r="BI66" s="3078"/>
      <c r="BJ66" s="3079"/>
      <c r="BK66" s="699"/>
      <c r="BL66" s="689"/>
      <c r="BM66" s="2061">
        <f t="shared" si="119"/>
        <v>0</v>
      </c>
      <c r="BN66" s="1932"/>
      <c r="BO66" s="1933"/>
      <c r="BP66" s="2075"/>
      <c r="BQ66" s="687"/>
    </row>
    <row r="67" spans="1:69" s="683" customFormat="1" ht="15.75" customHeight="1">
      <c r="A67" s="3103"/>
      <c r="B67" s="694" t="s">
        <v>1084</v>
      </c>
      <c r="C67" s="1949"/>
      <c r="D67" s="695"/>
      <c r="E67" s="3104"/>
      <c r="F67" s="3104"/>
      <c r="G67" s="1978"/>
      <c r="H67" s="2003"/>
      <c r="I67" s="2066">
        <f>I68+I72</f>
        <v>0</v>
      </c>
      <c r="J67" s="1978"/>
      <c r="K67" s="1978"/>
      <c r="L67" s="2076"/>
      <c r="M67" s="2143"/>
      <c r="O67" s="3103"/>
      <c r="P67" s="694" t="s">
        <v>1084</v>
      </c>
      <c r="Q67" s="1949"/>
      <c r="R67" s="695"/>
      <c r="S67" s="3104"/>
      <c r="T67" s="3104"/>
      <c r="U67" s="1978"/>
      <c r="V67" s="2003"/>
      <c r="W67" s="2066">
        <f>W68+W72</f>
        <v>0</v>
      </c>
      <c r="X67" s="1978"/>
      <c r="Y67" s="1978"/>
      <c r="Z67" s="2076"/>
      <c r="AA67" s="2143"/>
      <c r="AC67" s="3103"/>
      <c r="AD67" s="694" t="s">
        <v>1084</v>
      </c>
      <c r="AE67" s="1949"/>
      <c r="AF67" s="695"/>
      <c r="AG67" s="3104"/>
      <c r="AH67" s="3104"/>
      <c r="AI67" s="1978"/>
      <c r="AJ67" s="2003"/>
      <c r="AK67" s="2066">
        <f>AK68+AK72</f>
        <v>0</v>
      </c>
      <c r="AL67" s="1978"/>
      <c r="AM67" s="1978"/>
      <c r="AN67" s="2076"/>
      <c r="AO67" s="2143"/>
      <c r="AQ67" s="3103"/>
      <c r="AR67" s="694" t="s">
        <v>1084</v>
      </c>
      <c r="AS67" s="1949"/>
      <c r="AT67" s="695"/>
      <c r="AU67" s="3104"/>
      <c r="AV67" s="3104"/>
      <c r="AW67" s="1978"/>
      <c r="AX67" s="2003"/>
      <c r="AY67" s="2066">
        <f>AY68+AY72</f>
        <v>0</v>
      </c>
      <c r="AZ67" s="1978"/>
      <c r="BA67" s="1978"/>
      <c r="BB67" s="2076"/>
      <c r="BC67" s="2143"/>
      <c r="BE67" s="3103"/>
      <c r="BF67" s="694" t="s">
        <v>1084</v>
      </c>
      <c r="BG67" s="1949"/>
      <c r="BH67" s="695"/>
      <c r="BI67" s="3104"/>
      <c r="BJ67" s="3104"/>
      <c r="BK67" s="1978"/>
      <c r="BL67" s="2003"/>
      <c r="BM67" s="2066">
        <f>BM68+BM72</f>
        <v>0</v>
      </c>
      <c r="BN67" s="1978"/>
      <c r="BO67" s="1978"/>
      <c r="BP67" s="2076"/>
      <c r="BQ67" s="2143"/>
    </row>
    <row r="68" spans="1:69" s="2117" customFormat="1" ht="15.75" customHeight="1">
      <c r="A68" s="3103"/>
      <c r="B68" s="2007" t="s">
        <v>1085</v>
      </c>
      <c r="C68" s="2138"/>
      <c r="D68" s="3072" t="s">
        <v>358</v>
      </c>
      <c r="E68" s="3073"/>
      <c r="F68" s="3074"/>
      <c r="G68" s="2139"/>
      <c r="H68" s="2014"/>
      <c r="I68" s="2067">
        <f>SUM(I69:I71)</f>
        <v>0</v>
      </c>
      <c r="J68" s="2140"/>
      <c r="K68" s="3075"/>
      <c r="L68" s="3076"/>
      <c r="M68" s="2141"/>
      <c r="O68" s="3103"/>
      <c r="P68" s="2007" t="s">
        <v>1085</v>
      </c>
      <c r="Q68" s="2138"/>
      <c r="R68" s="3072" t="s">
        <v>358</v>
      </c>
      <c r="S68" s="3073"/>
      <c r="T68" s="3074"/>
      <c r="U68" s="2139"/>
      <c r="V68" s="2014"/>
      <c r="W68" s="2067">
        <f>SUM(W69:W71)</f>
        <v>0</v>
      </c>
      <c r="X68" s="2140"/>
      <c r="Y68" s="3075"/>
      <c r="Z68" s="3076"/>
      <c r="AA68" s="2141"/>
      <c r="AC68" s="3103"/>
      <c r="AD68" s="2007" t="s">
        <v>1085</v>
      </c>
      <c r="AE68" s="2138"/>
      <c r="AF68" s="3072" t="s">
        <v>358</v>
      </c>
      <c r="AG68" s="3073"/>
      <c r="AH68" s="3074"/>
      <c r="AI68" s="2139"/>
      <c r="AJ68" s="2014"/>
      <c r="AK68" s="2067">
        <f>SUM(AK69:AK71)</f>
        <v>0</v>
      </c>
      <c r="AL68" s="2140"/>
      <c r="AM68" s="3075"/>
      <c r="AN68" s="3076"/>
      <c r="AO68" s="2141"/>
      <c r="AQ68" s="3103"/>
      <c r="AR68" s="2007" t="s">
        <v>1085</v>
      </c>
      <c r="AS68" s="2138"/>
      <c r="AT68" s="3072" t="s">
        <v>358</v>
      </c>
      <c r="AU68" s="3073"/>
      <c r="AV68" s="3074"/>
      <c r="AW68" s="2139"/>
      <c r="AX68" s="2014"/>
      <c r="AY68" s="2067">
        <f>SUM(AY69:AY71)</f>
        <v>0</v>
      </c>
      <c r="AZ68" s="2140"/>
      <c r="BA68" s="3075"/>
      <c r="BB68" s="3076"/>
      <c r="BC68" s="2141"/>
      <c r="BE68" s="3103"/>
      <c r="BF68" s="2007" t="s">
        <v>1085</v>
      </c>
      <c r="BG68" s="2138"/>
      <c r="BH68" s="3072" t="s">
        <v>358</v>
      </c>
      <c r="BI68" s="3073"/>
      <c r="BJ68" s="3074"/>
      <c r="BK68" s="2139"/>
      <c r="BL68" s="2014"/>
      <c r="BM68" s="2067">
        <f>SUM(BM69:BM71)</f>
        <v>0</v>
      </c>
      <c r="BN68" s="2140"/>
      <c r="BO68" s="3075"/>
      <c r="BP68" s="3076"/>
      <c r="BQ68" s="2141"/>
    </row>
    <row r="69" spans="1:69" ht="15.75" customHeight="1">
      <c r="A69" s="3103"/>
      <c r="B69" s="697" t="s">
        <v>516</v>
      </c>
      <c r="C69" s="1953"/>
      <c r="D69" s="3069"/>
      <c r="E69" s="3070"/>
      <c r="F69" s="3071"/>
      <c r="G69" s="2002"/>
      <c r="H69" s="689"/>
      <c r="I69" s="2068">
        <f>G69*H69</f>
        <v>0</v>
      </c>
      <c r="J69" s="1930"/>
      <c r="K69" s="1931"/>
      <c r="L69" s="2074"/>
      <c r="M69" s="687"/>
      <c r="O69" s="3103"/>
      <c r="P69" s="697" t="s">
        <v>516</v>
      </c>
      <c r="Q69" s="1953"/>
      <c r="R69" s="3069"/>
      <c r="S69" s="3070"/>
      <c r="T69" s="3071"/>
      <c r="U69" s="2002"/>
      <c r="V69" s="689"/>
      <c r="W69" s="2068">
        <f>U69*V69</f>
        <v>0</v>
      </c>
      <c r="X69" s="1930"/>
      <c r="Y69" s="1979"/>
      <c r="Z69" s="2074"/>
      <c r="AA69" s="687"/>
      <c r="AC69" s="3103"/>
      <c r="AD69" s="697" t="s">
        <v>516</v>
      </c>
      <c r="AE69" s="1953"/>
      <c r="AF69" s="3069"/>
      <c r="AG69" s="3070"/>
      <c r="AH69" s="3071"/>
      <c r="AI69" s="2002"/>
      <c r="AJ69" s="689"/>
      <c r="AK69" s="2068">
        <f>AI69*AJ69</f>
        <v>0</v>
      </c>
      <c r="AL69" s="1930"/>
      <c r="AM69" s="1979"/>
      <c r="AN69" s="2074"/>
      <c r="AO69" s="687"/>
      <c r="AQ69" s="3103"/>
      <c r="AR69" s="697" t="s">
        <v>516</v>
      </c>
      <c r="AS69" s="1953"/>
      <c r="AT69" s="3069"/>
      <c r="AU69" s="3070"/>
      <c r="AV69" s="3071"/>
      <c r="AW69" s="2002"/>
      <c r="AX69" s="689"/>
      <c r="AY69" s="2068">
        <f>AW69*AX69</f>
        <v>0</v>
      </c>
      <c r="AZ69" s="1930"/>
      <c r="BA69" s="1979"/>
      <c r="BB69" s="2074"/>
      <c r="BC69" s="687"/>
      <c r="BE69" s="3103"/>
      <c r="BF69" s="697" t="s">
        <v>516</v>
      </c>
      <c r="BG69" s="1953"/>
      <c r="BH69" s="3069"/>
      <c r="BI69" s="3070"/>
      <c r="BJ69" s="3071"/>
      <c r="BK69" s="2002"/>
      <c r="BL69" s="689"/>
      <c r="BM69" s="2068">
        <f>BK69*BL69</f>
        <v>0</v>
      </c>
      <c r="BN69" s="1930"/>
      <c r="BO69" s="1979"/>
      <c r="BP69" s="2074"/>
      <c r="BQ69" s="687"/>
    </row>
    <row r="70" spans="1:69" ht="15.75" customHeight="1">
      <c r="A70" s="3103"/>
      <c r="B70" s="697" t="s">
        <v>517</v>
      </c>
      <c r="C70" s="1953"/>
      <c r="D70" s="3069"/>
      <c r="E70" s="3070"/>
      <c r="F70" s="3071"/>
      <c r="G70" s="2002"/>
      <c r="H70" s="689"/>
      <c r="I70" s="2068">
        <f t="shared" ref="I70" si="120">G70*H70</f>
        <v>0</v>
      </c>
      <c r="J70" s="1930"/>
      <c r="K70" s="1931"/>
      <c r="L70" s="2074"/>
      <c r="M70" s="687"/>
      <c r="O70" s="3103"/>
      <c r="P70" s="697" t="s">
        <v>517</v>
      </c>
      <c r="Q70" s="1953"/>
      <c r="R70" s="3069"/>
      <c r="S70" s="3070"/>
      <c r="T70" s="3071"/>
      <c r="U70" s="2002"/>
      <c r="V70" s="689"/>
      <c r="W70" s="2068">
        <f t="shared" ref="W70:W71" si="121">U70*V70</f>
        <v>0</v>
      </c>
      <c r="X70" s="1930"/>
      <c r="Y70" s="1979"/>
      <c r="Z70" s="2074"/>
      <c r="AA70" s="687"/>
      <c r="AC70" s="3103"/>
      <c r="AD70" s="697" t="s">
        <v>517</v>
      </c>
      <c r="AE70" s="1953"/>
      <c r="AF70" s="3069"/>
      <c r="AG70" s="3070"/>
      <c r="AH70" s="3071"/>
      <c r="AI70" s="2002"/>
      <c r="AJ70" s="689"/>
      <c r="AK70" s="2068">
        <f t="shared" ref="AK70:AK71" si="122">AI70*AJ70</f>
        <v>0</v>
      </c>
      <c r="AL70" s="1930"/>
      <c r="AM70" s="1979"/>
      <c r="AN70" s="2074"/>
      <c r="AO70" s="687"/>
      <c r="AQ70" s="3103"/>
      <c r="AR70" s="697" t="s">
        <v>517</v>
      </c>
      <c r="AS70" s="1953"/>
      <c r="AT70" s="3069"/>
      <c r="AU70" s="3070"/>
      <c r="AV70" s="3071"/>
      <c r="AW70" s="2002"/>
      <c r="AX70" s="689"/>
      <c r="AY70" s="2068">
        <f t="shared" ref="AY70:AY71" si="123">AW70*AX70</f>
        <v>0</v>
      </c>
      <c r="AZ70" s="1930"/>
      <c r="BA70" s="1979"/>
      <c r="BB70" s="2074"/>
      <c r="BC70" s="687"/>
      <c r="BE70" s="3103"/>
      <c r="BF70" s="697" t="s">
        <v>517</v>
      </c>
      <c r="BG70" s="1953"/>
      <c r="BH70" s="3069"/>
      <c r="BI70" s="3070"/>
      <c r="BJ70" s="3071"/>
      <c r="BK70" s="2002"/>
      <c r="BL70" s="689"/>
      <c r="BM70" s="2068">
        <f t="shared" ref="BM70:BM71" si="124">BK70*BL70</f>
        <v>0</v>
      </c>
      <c r="BN70" s="1930"/>
      <c r="BO70" s="1979"/>
      <c r="BP70" s="2074"/>
      <c r="BQ70" s="687"/>
    </row>
    <row r="71" spans="1:69" ht="15.75" customHeight="1">
      <c r="A71" s="3103"/>
      <c r="B71" s="697" t="s">
        <v>228</v>
      </c>
      <c r="C71" s="1953"/>
      <c r="D71" s="3069"/>
      <c r="E71" s="3070"/>
      <c r="F71" s="3071"/>
      <c r="G71" s="2002"/>
      <c r="H71" s="689"/>
      <c r="I71" s="2068">
        <f t="shared" ref="I71:I75" si="125">G71*H71</f>
        <v>0</v>
      </c>
      <c r="J71" s="1930"/>
      <c r="K71" s="1931"/>
      <c r="L71" s="2074"/>
      <c r="M71" s="687"/>
      <c r="O71" s="3103"/>
      <c r="P71" s="697" t="s">
        <v>228</v>
      </c>
      <c r="Q71" s="1953"/>
      <c r="R71" s="3069"/>
      <c r="S71" s="3070"/>
      <c r="T71" s="3071"/>
      <c r="U71" s="2002"/>
      <c r="V71" s="689"/>
      <c r="W71" s="2068">
        <f t="shared" si="121"/>
        <v>0</v>
      </c>
      <c r="X71" s="1930"/>
      <c r="Y71" s="1979"/>
      <c r="Z71" s="2074"/>
      <c r="AA71" s="687"/>
      <c r="AC71" s="3103"/>
      <c r="AD71" s="697" t="s">
        <v>228</v>
      </c>
      <c r="AE71" s="1953"/>
      <c r="AF71" s="3069"/>
      <c r="AG71" s="3070"/>
      <c r="AH71" s="3071"/>
      <c r="AI71" s="2002"/>
      <c r="AJ71" s="689"/>
      <c r="AK71" s="2068">
        <f t="shared" si="122"/>
        <v>0</v>
      </c>
      <c r="AL71" s="1930"/>
      <c r="AM71" s="1979"/>
      <c r="AN71" s="2074"/>
      <c r="AO71" s="687"/>
      <c r="AQ71" s="3103"/>
      <c r="AR71" s="697" t="s">
        <v>228</v>
      </c>
      <c r="AS71" s="1953"/>
      <c r="AT71" s="3069"/>
      <c r="AU71" s="3070"/>
      <c r="AV71" s="3071"/>
      <c r="AW71" s="2002"/>
      <c r="AX71" s="689"/>
      <c r="AY71" s="2068">
        <f t="shared" si="123"/>
        <v>0</v>
      </c>
      <c r="AZ71" s="1930"/>
      <c r="BA71" s="1979"/>
      <c r="BB71" s="2074"/>
      <c r="BC71" s="687"/>
      <c r="BE71" s="3103"/>
      <c r="BF71" s="697" t="s">
        <v>228</v>
      </c>
      <c r="BG71" s="1953"/>
      <c r="BH71" s="3069"/>
      <c r="BI71" s="3070"/>
      <c r="BJ71" s="3071"/>
      <c r="BK71" s="2002"/>
      <c r="BL71" s="689"/>
      <c r="BM71" s="2068">
        <f t="shared" si="124"/>
        <v>0</v>
      </c>
      <c r="BN71" s="1930"/>
      <c r="BO71" s="1979"/>
      <c r="BP71" s="2074"/>
      <c r="BQ71" s="687"/>
    </row>
    <row r="72" spans="1:69" s="2117" customFormat="1" ht="15.75" customHeight="1">
      <c r="A72" s="3103"/>
      <c r="B72" s="2007" t="s">
        <v>1086</v>
      </c>
      <c r="C72" s="2138"/>
      <c r="D72" s="3072"/>
      <c r="E72" s="3073"/>
      <c r="F72" s="3074"/>
      <c r="G72" s="2139"/>
      <c r="H72" s="2014"/>
      <c r="I72" s="2067">
        <f>SUM(I73:I75)</f>
        <v>0</v>
      </c>
      <c r="J72" s="2140"/>
      <c r="K72" s="3075"/>
      <c r="L72" s="3076"/>
      <c r="M72" s="2141"/>
      <c r="O72" s="3103"/>
      <c r="P72" s="2007" t="s">
        <v>1086</v>
      </c>
      <c r="Q72" s="2138"/>
      <c r="R72" s="3072"/>
      <c r="S72" s="3073"/>
      <c r="T72" s="3074"/>
      <c r="U72" s="2139"/>
      <c r="V72" s="2014"/>
      <c r="W72" s="2067">
        <f>SUM(W73:W75)</f>
        <v>0</v>
      </c>
      <c r="X72" s="2140"/>
      <c r="Y72" s="3075"/>
      <c r="Z72" s="3076"/>
      <c r="AA72" s="2141"/>
      <c r="AC72" s="3103"/>
      <c r="AD72" s="2007" t="s">
        <v>1086</v>
      </c>
      <c r="AE72" s="2138"/>
      <c r="AF72" s="3072"/>
      <c r="AG72" s="3073"/>
      <c r="AH72" s="3074"/>
      <c r="AI72" s="2139"/>
      <c r="AJ72" s="2014"/>
      <c r="AK72" s="2067">
        <f>SUM(AK73:AK75)</f>
        <v>0</v>
      </c>
      <c r="AL72" s="2140"/>
      <c r="AM72" s="3075"/>
      <c r="AN72" s="3076"/>
      <c r="AO72" s="2141"/>
      <c r="AQ72" s="3103"/>
      <c r="AR72" s="2007" t="s">
        <v>1086</v>
      </c>
      <c r="AS72" s="2138"/>
      <c r="AT72" s="3072"/>
      <c r="AU72" s="3073"/>
      <c r="AV72" s="3074"/>
      <c r="AW72" s="2139"/>
      <c r="AX72" s="2014"/>
      <c r="AY72" s="2067">
        <f>SUM(AY73:AY75)</f>
        <v>0</v>
      </c>
      <c r="AZ72" s="2140"/>
      <c r="BA72" s="3075"/>
      <c r="BB72" s="3076"/>
      <c r="BC72" s="2141"/>
      <c r="BE72" s="3103"/>
      <c r="BF72" s="2007" t="s">
        <v>1086</v>
      </c>
      <c r="BG72" s="2138"/>
      <c r="BH72" s="3072"/>
      <c r="BI72" s="3073"/>
      <c r="BJ72" s="3074"/>
      <c r="BK72" s="2139"/>
      <c r="BL72" s="2014"/>
      <c r="BM72" s="2067">
        <f>SUM(BM73:BM75)</f>
        <v>0</v>
      </c>
      <c r="BN72" s="2140"/>
      <c r="BO72" s="3075"/>
      <c r="BP72" s="3076"/>
      <c r="BQ72" s="2141"/>
    </row>
    <row r="73" spans="1:69" ht="15.75" customHeight="1">
      <c r="A73" s="3103"/>
      <c r="B73" s="697" t="s">
        <v>516</v>
      </c>
      <c r="C73" s="1953"/>
      <c r="D73" s="3077"/>
      <c r="E73" s="3078"/>
      <c r="F73" s="3079"/>
      <c r="G73" s="2002"/>
      <c r="H73" s="689"/>
      <c r="I73" s="2068">
        <f t="shared" si="125"/>
        <v>0</v>
      </c>
      <c r="J73" s="1930"/>
      <c r="K73" s="1931"/>
      <c r="L73" s="2074"/>
      <c r="M73" s="687"/>
      <c r="O73" s="3103"/>
      <c r="P73" s="697" t="s">
        <v>516</v>
      </c>
      <c r="Q73" s="1953"/>
      <c r="R73" s="3077"/>
      <c r="S73" s="3078"/>
      <c r="T73" s="3079"/>
      <c r="U73" s="2002"/>
      <c r="V73" s="689"/>
      <c r="W73" s="2068">
        <f t="shared" ref="W73:W75" si="126">U73*V73</f>
        <v>0</v>
      </c>
      <c r="X73" s="1930"/>
      <c r="Y73" s="1979"/>
      <c r="Z73" s="2074"/>
      <c r="AA73" s="687"/>
      <c r="AC73" s="3103"/>
      <c r="AD73" s="697" t="s">
        <v>516</v>
      </c>
      <c r="AE73" s="1953"/>
      <c r="AF73" s="3077"/>
      <c r="AG73" s="3078"/>
      <c r="AH73" s="3079"/>
      <c r="AI73" s="2002"/>
      <c r="AJ73" s="689"/>
      <c r="AK73" s="2068">
        <f t="shared" ref="AK73:AK75" si="127">AI73*AJ73</f>
        <v>0</v>
      </c>
      <c r="AL73" s="1930"/>
      <c r="AM73" s="1979"/>
      <c r="AN73" s="2074"/>
      <c r="AO73" s="687"/>
      <c r="AQ73" s="3103"/>
      <c r="AR73" s="697" t="s">
        <v>516</v>
      </c>
      <c r="AS73" s="1953"/>
      <c r="AT73" s="3077"/>
      <c r="AU73" s="3078"/>
      <c r="AV73" s="3079"/>
      <c r="AW73" s="2002"/>
      <c r="AX73" s="689"/>
      <c r="AY73" s="2068">
        <f t="shared" ref="AY73:AY75" si="128">AW73*AX73</f>
        <v>0</v>
      </c>
      <c r="AZ73" s="1930"/>
      <c r="BA73" s="1979"/>
      <c r="BB73" s="2074"/>
      <c r="BC73" s="687"/>
      <c r="BE73" s="3103"/>
      <c r="BF73" s="697" t="s">
        <v>516</v>
      </c>
      <c r="BG73" s="1953"/>
      <c r="BH73" s="3077"/>
      <c r="BI73" s="3078"/>
      <c r="BJ73" s="3079"/>
      <c r="BK73" s="2002"/>
      <c r="BL73" s="689"/>
      <c r="BM73" s="2068">
        <f t="shared" ref="BM73:BM75" si="129">BK73*BL73</f>
        <v>0</v>
      </c>
      <c r="BN73" s="1930"/>
      <c r="BO73" s="1979"/>
      <c r="BP73" s="2074"/>
      <c r="BQ73" s="687"/>
    </row>
    <row r="74" spans="1:69" ht="15.75" customHeight="1">
      <c r="A74" s="3103"/>
      <c r="B74" s="697" t="s">
        <v>517</v>
      </c>
      <c r="C74" s="1953"/>
      <c r="D74" s="3077"/>
      <c r="E74" s="3078"/>
      <c r="F74" s="3079"/>
      <c r="G74" s="2002"/>
      <c r="H74" s="689"/>
      <c r="I74" s="2068">
        <f t="shared" si="125"/>
        <v>0</v>
      </c>
      <c r="J74" s="1930"/>
      <c r="K74" s="1931"/>
      <c r="L74" s="2074"/>
      <c r="M74" s="687"/>
      <c r="O74" s="3103"/>
      <c r="P74" s="697" t="s">
        <v>517</v>
      </c>
      <c r="Q74" s="1953"/>
      <c r="R74" s="3077"/>
      <c r="S74" s="3078"/>
      <c r="T74" s="3079"/>
      <c r="U74" s="2002"/>
      <c r="V74" s="689"/>
      <c r="W74" s="2068">
        <f t="shared" si="126"/>
        <v>0</v>
      </c>
      <c r="X74" s="1930"/>
      <c r="Y74" s="1979"/>
      <c r="Z74" s="2074"/>
      <c r="AA74" s="687"/>
      <c r="AC74" s="3103"/>
      <c r="AD74" s="697" t="s">
        <v>517</v>
      </c>
      <c r="AE74" s="1953"/>
      <c r="AF74" s="3077"/>
      <c r="AG74" s="3078"/>
      <c r="AH74" s="3079"/>
      <c r="AI74" s="2002"/>
      <c r="AJ74" s="689"/>
      <c r="AK74" s="2068">
        <f t="shared" si="127"/>
        <v>0</v>
      </c>
      <c r="AL74" s="1930"/>
      <c r="AM74" s="1979"/>
      <c r="AN74" s="2074"/>
      <c r="AO74" s="687"/>
      <c r="AQ74" s="3103"/>
      <c r="AR74" s="697" t="s">
        <v>517</v>
      </c>
      <c r="AS74" s="1953"/>
      <c r="AT74" s="3077"/>
      <c r="AU74" s="3078"/>
      <c r="AV74" s="3079"/>
      <c r="AW74" s="2002"/>
      <c r="AX74" s="689"/>
      <c r="AY74" s="2068">
        <f t="shared" si="128"/>
        <v>0</v>
      </c>
      <c r="AZ74" s="1930"/>
      <c r="BA74" s="1979"/>
      <c r="BB74" s="2074"/>
      <c r="BC74" s="687"/>
      <c r="BE74" s="3103"/>
      <c r="BF74" s="697" t="s">
        <v>517</v>
      </c>
      <c r="BG74" s="1953"/>
      <c r="BH74" s="3077"/>
      <c r="BI74" s="3078"/>
      <c r="BJ74" s="3079"/>
      <c r="BK74" s="2002"/>
      <c r="BL74" s="689"/>
      <c r="BM74" s="2068">
        <f t="shared" si="129"/>
        <v>0</v>
      </c>
      <c r="BN74" s="1930"/>
      <c r="BO74" s="1979"/>
      <c r="BP74" s="2074"/>
      <c r="BQ74" s="687"/>
    </row>
    <row r="75" spans="1:69" ht="15.75" customHeight="1" thickBot="1">
      <c r="A75" s="3103"/>
      <c r="B75" s="697" t="s">
        <v>228</v>
      </c>
      <c r="C75" s="1953"/>
      <c r="D75" s="3077"/>
      <c r="E75" s="3078"/>
      <c r="F75" s="3079"/>
      <c r="G75" s="2002"/>
      <c r="H75" s="706"/>
      <c r="I75" s="2068">
        <f t="shared" si="125"/>
        <v>0</v>
      </c>
      <c r="J75" s="1932"/>
      <c r="K75" s="1933"/>
      <c r="L75" s="2075"/>
      <c r="M75" s="687"/>
      <c r="O75" s="3103"/>
      <c r="P75" s="697" t="s">
        <v>228</v>
      </c>
      <c r="Q75" s="1953"/>
      <c r="R75" s="3077"/>
      <c r="S75" s="3078"/>
      <c r="T75" s="3079"/>
      <c r="U75" s="2002"/>
      <c r="V75" s="706"/>
      <c r="W75" s="2068">
        <f t="shared" si="126"/>
        <v>0</v>
      </c>
      <c r="X75" s="1932"/>
      <c r="Y75" s="1933"/>
      <c r="Z75" s="2075"/>
      <c r="AA75" s="687"/>
      <c r="AC75" s="3103"/>
      <c r="AD75" s="697" t="s">
        <v>228</v>
      </c>
      <c r="AE75" s="1953"/>
      <c r="AF75" s="3077"/>
      <c r="AG75" s="3078"/>
      <c r="AH75" s="3079"/>
      <c r="AI75" s="2002"/>
      <c r="AJ75" s="706"/>
      <c r="AK75" s="2068">
        <f t="shared" si="127"/>
        <v>0</v>
      </c>
      <c r="AL75" s="1932"/>
      <c r="AM75" s="1933"/>
      <c r="AN75" s="2075"/>
      <c r="AO75" s="687"/>
      <c r="AQ75" s="3103"/>
      <c r="AR75" s="697" t="s">
        <v>228</v>
      </c>
      <c r="AS75" s="1953"/>
      <c r="AT75" s="3077"/>
      <c r="AU75" s="3078"/>
      <c r="AV75" s="3079"/>
      <c r="AW75" s="2002"/>
      <c r="AX75" s="706"/>
      <c r="AY75" s="2068">
        <f t="shared" si="128"/>
        <v>0</v>
      </c>
      <c r="AZ75" s="1932"/>
      <c r="BA75" s="1933"/>
      <c r="BB75" s="2075"/>
      <c r="BC75" s="687"/>
      <c r="BE75" s="3103"/>
      <c r="BF75" s="697" t="s">
        <v>228</v>
      </c>
      <c r="BG75" s="1953"/>
      <c r="BH75" s="3077"/>
      <c r="BI75" s="3078"/>
      <c r="BJ75" s="3079"/>
      <c r="BK75" s="2002"/>
      <c r="BL75" s="706"/>
      <c r="BM75" s="2068">
        <f t="shared" si="129"/>
        <v>0</v>
      </c>
      <c r="BN75" s="1932"/>
      <c r="BO75" s="1933"/>
      <c r="BP75" s="2075"/>
      <c r="BQ75" s="687"/>
    </row>
    <row r="76" spans="1:69" ht="15.75" customHeight="1">
      <c r="A76" s="3080" t="s">
        <v>359</v>
      </c>
      <c r="B76" s="3081"/>
      <c r="C76" s="1912"/>
      <c r="D76" s="3086" t="s">
        <v>232</v>
      </c>
      <c r="E76" s="3087"/>
      <c r="F76" s="3088"/>
      <c r="G76" s="3086" t="s">
        <v>343</v>
      </c>
      <c r="H76" s="3087"/>
      <c r="I76" s="3087"/>
      <c r="J76" s="3086" t="s">
        <v>360</v>
      </c>
      <c r="K76" s="3087"/>
      <c r="L76" s="3089"/>
      <c r="M76" s="700"/>
      <c r="O76" s="3080" t="s">
        <v>359</v>
      </c>
      <c r="P76" s="3081"/>
      <c r="Q76" s="1987"/>
      <c r="R76" s="3086" t="s">
        <v>232</v>
      </c>
      <c r="S76" s="3087"/>
      <c r="T76" s="3088"/>
      <c r="U76" s="3086" t="s">
        <v>343</v>
      </c>
      <c r="V76" s="3087"/>
      <c r="W76" s="3087"/>
      <c r="X76" s="3086" t="s">
        <v>360</v>
      </c>
      <c r="Y76" s="3087"/>
      <c r="Z76" s="3089"/>
      <c r="AA76" s="1975"/>
      <c r="AC76" s="3080" t="s">
        <v>359</v>
      </c>
      <c r="AD76" s="3081"/>
      <c r="AE76" s="1987"/>
      <c r="AF76" s="3086" t="s">
        <v>232</v>
      </c>
      <c r="AG76" s="3087"/>
      <c r="AH76" s="3088"/>
      <c r="AI76" s="3086" t="s">
        <v>343</v>
      </c>
      <c r="AJ76" s="3087"/>
      <c r="AK76" s="3087"/>
      <c r="AL76" s="3086" t="s">
        <v>360</v>
      </c>
      <c r="AM76" s="3087"/>
      <c r="AN76" s="3089"/>
      <c r="AO76" s="1975"/>
      <c r="AQ76" s="3080" t="s">
        <v>359</v>
      </c>
      <c r="AR76" s="3081"/>
      <c r="AS76" s="1987"/>
      <c r="AT76" s="3086" t="s">
        <v>232</v>
      </c>
      <c r="AU76" s="3087"/>
      <c r="AV76" s="3088"/>
      <c r="AW76" s="3086" t="s">
        <v>343</v>
      </c>
      <c r="AX76" s="3087"/>
      <c r="AY76" s="3087"/>
      <c r="AZ76" s="3086" t="s">
        <v>360</v>
      </c>
      <c r="BA76" s="3087"/>
      <c r="BB76" s="3089"/>
      <c r="BC76" s="1975"/>
      <c r="BE76" s="3080" t="s">
        <v>359</v>
      </c>
      <c r="BF76" s="3081"/>
      <c r="BG76" s="1987"/>
      <c r="BH76" s="3086" t="s">
        <v>232</v>
      </c>
      <c r="BI76" s="3087"/>
      <c r="BJ76" s="3088"/>
      <c r="BK76" s="3086" t="s">
        <v>343</v>
      </c>
      <c r="BL76" s="3087"/>
      <c r="BM76" s="3087"/>
      <c r="BN76" s="3086" t="s">
        <v>360</v>
      </c>
      <c r="BO76" s="3087"/>
      <c r="BP76" s="3089"/>
      <c r="BQ76" s="1975"/>
    </row>
    <row r="77" spans="1:69" s="701" customFormat="1" ht="15" customHeight="1">
      <c r="A77" s="3082"/>
      <c r="B77" s="3083"/>
      <c r="C77" s="1913"/>
      <c r="D77" s="1958" t="s">
        <v>1074</v>
      </c>
      <c r="E77" s="1966"/>
      <c r="F77" s="2058">
        <f>SUMIFS(F10:F41,C10:C41,"",D10:D41,"&gt;0")</f>
        <v>0</v>
      </c>
      <c r="G77" s="1929"/>
      <c r="H77" s="1928"/>
      <c r="I77" s="2058">
        <f>I9+I42+I57</f>
        <v>0</v>
      </c>
      <c r="J77" s="1929"/>
      <c r="K77" s="1928"/>
      <c r="L77" s="2077">
        <f>L9+L42+L49</f>
        <v>0</v>
      </c>
      <c r="M77" s="2011"/>
      <c r="O77" s="3082"/>
      <c r="P77" s="3083"/>
      <c r="Q77" s="1988"/>
      <c r="R77" s="1958" t="s">
        <v>1074</v>
      </c>
      <c r="S77" s="1976"/>
      <c r="T77" s="2058">
        <f>SUMIFS(T10:T41,Q10:Q41,"",R10:R41,"&gt;0")</f>
        <v>0</v>
      </c>
      <c r="U77" s="1929"/>
      <c r="V77" s="1977"/>
      <c r="W77" s="2058">
        <f>W9+W42+W57</f>
        <v>0</v>
      </c>
      <c r="X77" s="1929"/>
      <c r="Y77" s="1977"/>
      <c r="Z77" s="2077">
        <f>Z9+Z42+Z49</f>
        <v>0</v>
      </c>
      <c r="AA77" s="2011"/>
      <c r="AC77" s="3082"/>
      <c r="AD77" s="3083"/>
      <c r="AE77" s="1988"/>
      <c r="AF77" s="1958" t="s">
        <v>1074</v>
      </c>
      <c r="AG77" s="1976"/>
      <c r="AH77" s="2058">
        <f>SUMIFS(AH10:AH41,AE10:AE41,"",AF10:AF41,"&gt;0")</f>
        <v>0</v>
      </c>
      <c r="AI77" s="1929"/>
      <c r="AJ77" s="1977"/>
      <c r="AK77" s="2058">
        <f>AK9+AK42+AK57</f>
        <v>0</v>
      </c>
      <c r="AL77" s="1929"/>
      <c r="AM77" s="1977"/>
      <c r="AN77" s="2077">
        <f>AN9+AN42+AN49</f>
        <v>0</v>
      </c>
      <c r="AO77" s="2011"/>
      <c r="AQ77" s="3082"/>
      <c r="AR77" s="3083"/>
      <c r="AS77" s="1988"/>
      <c r="AT77" s="1958" t="s">
        <v>1074</v>
      </c>
      <c r="AU77" s="1976"/>
      <c r="AV77" s="2058">
        <f>SUMIFS(AV10:AV41,AS10:AS41,"",AT10:AT41,"&gt;0")</f>
        <v>0</v>
      </c>
      <c r="AW77" s="1929"/>
      <c r="AX77" s="1977"/>
      <c r="AY77" s="2058">
        <f>AY9+AY42+AY57</f>
        <v>0</v>
      </c>
      <c r="AZ77" s="1929"/>
      <c r="BA77" s="1977"/>
      <c r="BB77" s="2077">
        <f>BB9+BB42+BB49</f>
        <v>0</v>
      </c>
      <c r="BC77" s="2011"/>
      <c r="BE77" s="3082"/>
      <c r="BF77" s="3083"/>
      <c r="BG77" s="1988"/>
      <c r="BH77" s="1958" t="s">
        <v>1074</v>
      </c>
      <c r="BI77" s="1976"/>
      <c r="BJ77" s="2058">
        <f>SUMIFS(BJ10:BJ41,BG10:BG41,"",BH10:BH41,"&gt;0")</f>
        <v>0</v>
      </c>
      <c r="BK77" s="1929"/>
      <c r="BL77" s="1977"/>
      <c r="BM77" s="2058">
        <f>BM9+BM42+BM57</f>
        <v>0</v>
      </c>
      <c r="BN77" s="1929"/>
      <c r="BO77" s="1977"/>
      <c r="BP77" s="2077">
        <f>BP9+BP42+BP49</f>
        <v>0</v>
      </c>
      <c r="BQ77" s="2011"/>
    </row>
    <row r="78" spans="1:69" s="701" customFormat="1" ht="15" customHeight="1" thickBot="1">
      <c r="A78" s="3082"/>
      <c r="B78" s="3083"/>
      <c r="C78" s="1913"/>
      <c r="D78" s="1959" t="s">
        <v>1075</v>
      </c>
      <c r="E78" s="1967"/>
      <c r="F78" s="2059">
        <f>SUMIFS(F43:F49,C43:C49,"",D43:D49,"&gt;0")</f>
        <v>0</v>
      </c>
      <c r="G78" s="1954"/>
      <c r="H78" s="1955"/>
      <c r="I78" s="2069"/>
      <c r="J78" s="1961"/>
      <c r="K78" s="1962"/>
      <c r="L78" s="2078"/>
      <c r="M78" s="2012"/>
      <c r="O78" s="3082"/>
      <c r="P78" s="3083"/>
      <c r="Q78" s="1988"/>
      <c r="R78" s="1959" t="s">
        <v>1075</v>
      </c>
      <c r="S78" s="1984"/>
      <c r="T78" s="2059">
        <f>SUMIFS(T43:T49,Q43:Q49,"",R43:R49,"&gt;0")</f>
        <v>0</v>
      </c>
      <c r="U78" s="1954"/>
      <c r="V78" s="1955"/>
      <c r="W78" s="2069"/>
      <c r="X78" s="1961"/>
      <c r="Y78" s="1962"/>
      <c r="Z78" s="2078"/>
      <c r="AA78" s="2012"/>
      <c r="AC78" s="3082"/>
      <c r="AD78" s="3083"/>
      <c r="AE78" s="1988"/>
      <c r="AF78" s="1959" t="s">
        <v>1075</v>
      </c>
      <c r="AG78" s="1984"/>
      <c r="AH78" s="2059">
        <f>SUMIFS(AH43:AH49,AE43:AE49,"",AF43:AF49,"&gt;0")</f>
        <v>0</v>
      </c>
      <c r="AI78" s="1954"/>
      <c r="AJ78" s="1955"/>
      <c r="AK78" s="2069"/>
      <c r="AL78" s="1961"/>
      <c r="AM78" s="1962"/>
      <c r="AN78" s="2078"/>
      <c r="AO78" s="2012"/>
      <c r="AQ78" s="3082"/>
      <c r="AR78" s="3083"/>
      <c r="AS78" s="1988"/>
      <c r="AT78" s="1959" t="s">
        <v>1075</v>
      </c>
      <c r="AU78" s="1984"/>
      <c r="AV78" s="2059">
        <f>SUMIFS(AV43:AV49,AS43:AS49,"",AT43:AT49,"&gt;0")</f>
        <v>0</v>
      </c>
      <c r="AW78" s="1954"/>
      <c r="AX78" s="1955"/>
      <c r="AY78" s="2069"/>
      <c r="AZ78" s="1961"/>
      <c r="BA78" s="1962"/>
      <c r="BB78" s="2078"/>
      <c r="BC78" s="2012"/>
      <c r="BE78" s="3082"/>
      <c r="BF78" s="3083"/>
      <c r="BG78" s="1988"/>
      <c r="BH78" s="1959" t="s">
        <v>1075</v>
      </c>
      <c r="BI78" s="1984"/>
      <c r="BJ78" s="2059">
        <f>SUMIFS(BJ43:BJ49,BG43:BG49,"",BH43:BH49,"&gt;0")</f>
        <v>0</v>
      </c>
      <c r="BK78" s="1954"/>
      <c r="BL78" s="1955"/>
      <c r="BM78" s="2069"/>
      <c r="BN78" s="1961"/>
      <c r="BO78" s="1962"/>
      <c r="BP78" s="2078"/>
      <c r="BQ78" s="2012"/>
    </row>
    <row r="79" spans="1:69" s="701" customFormat="1" ht="15" customHeight="1">
      <c r="A79" s="3082"/>
      <c r="B79" s="3083"/>
      <c r="C79" s="1913"/>
      <c r="D79" s="3086" t="s">
        <v>788</v>
      </c>
      <c r="E79" s="3087"/>
      <c r="F79" s="3088"/>
      <c r="G79" s="1954"/>
      <c r="H79" s="1955"/>
      <c r="I79" s="2069"/>
      <c r="J79" s="1963"/>
      <c r="K79" s="1962"/>
      <c r="L79" s="2078"/>
      <c r="M79" s="2012"/>
      <c r="O79" s="3082"/>
      <c r="P79" s="3083"/>
      <c r="Q79" s="1988"/>
      <c r="R79" s="3086" t="s">
        <v>788</v>
      </c>
      <c r="S79" s="3087"/>
      <c r="T79" s="3088"/>
      <c r="U79" s="1954"/>
      <c r="V79" s="1955"/>
      <c r="W79" s="2069"/>
      <c r="X79" s="1963"/>
      <c r="Y79" s="1962"/>
      <c r="Z79" s="2078"/>
      <c r="AA79" s="2012"/>
      <c r="AC79" s="3082"/>
      <c r="AD79" s="3083"/>
      <c r="AE79" s="1988"/>
      <c r="AF79" s="3086" t="s">
        <v>788</v>
      </c>
      <c r="AG79" s="3087"/>
      <c r="AH79" s="3088"/>
      <c r="AI79" s="1954"/>
      <c r="AJ79" s="1955"/>
      <c r="AK79" s="2069"/>
      <c r="AL79" s="1963"/>
      <c r="AM79" s="1962"/>
      <c r="AN79" s="2078"/>
      <c r="AO79" s="2012"/>
      <c r="AQ79" s="3082"/>
      <c r="AR79" s="3083"/>
      <c r="AS79" s="1988"/>
      <c r="AT79" s="3086" t="s">
        <v>788</v>
      </c>
      <c r="AU79" s="3087"/>
      <c r="AV79" s="3088"/>
      <c r="AW79" s="1954"/>
      <c r="AX79" s="1955"/>
      <c r="AY79" s="2069"/>
      <c r="AZ79" s="1963"/>
      <c r="BA79" s="1962"/>
      <c r="BB79" s="2078"/>
      <c r="BC79" s="2012"/>
      <c r="BE79" s="3082"/>
      <c r="BF79" s="3083"/>
      <c r="BG79" s="1988"/>
      <c r="BH79" s="3086" t="s">
        <v>788</v>
      </c>
      <c r="BI79" s="3087"/>
      <c r="BJ79" s="3088"/>
      <c r="BK79" s="1954"/>
      <c r="BL79" s="1955"/>
      <c r="BM79" s="2069"/>
      <c r="BN79" s="1963"/>
      <c r="BO79" s="1962"/>
      <c r="BP79" s="2078"/>
      <c r="BQ79" s="2012"/>
    </row>
    <row r="80" spans="1:69" s="701" customFormat="1" ht="15.75">
      <c r="A80" s="3082"/>
      <c r="B80" s="3083"/>
      <c r="C80" s="1913"/>
      <c r="D80" s="1958" t="s">
        <v>1074</v>
      </c>
      <c r="E80" s="1966"/>
      <c r="F80" s="2058">
        <f>SUMIF(C10:C41,"R",F10:F41)</f>
        <v>0</v>
      </c>
      <c r="G80" s="1954"/>
      <c r="H80" s="1955"/>
      <c r="I80" s="2069"/>
      <c r="J80" s="1963"/>
      <c r="K80" s="1962"/>
      <c r="L80" s="2078"/>
      <c r="M80" s="2012"/>
      <c r="O80" s="3082"/>
      <c r="P80" s="3083"/>
      <c r="Q80" s="1988"/>
      <c r="R80" s="1958" t="s">
        <v>1074</v>
      </c>
      <c r="S80" s="1976"/>
      <c r="T80" s="2058">
        <f>SUMIF(Q10:Q41,"R",T10:T41)</f>
        <v>0</v>
      </c>
      <c r="U80" s="1954"/>
      <c r="V80" s="1955"/>
      <c r="W80" s="2069"/>
      <c r="X80" s="1963"/>
      <c r="Y80" s="1962"/>
      <c r="Z80" s="2078"/>
      <c r="AA80" s="2012"/>
      <c r="AC80" s="3082"/>
      <c r="AD80" s="3083"/>
      <c r="AE80" s="1988"/>
      <c r="AF80" s="1958" t="s">
        <v>1074</v>
      </c>
      <c r="AG80" s="1976"/>
      <c r="AH80" s="2058">
        <f>SUMIF(AE10:AE41,"R",AH10:AH41)</f>
        <v>0</v>
      </c>
      <c r="AI80" s="1954"/>
      <c r="AJ80" s="1955"/>
      <c r="AK80" s="2069"/>
      <c r="AL80" s="1963"/>
      <c r="AM80" s="1962"/>
      <c r="AN80" s="2078"/>
      <c r="AO80" s="2012"/>
      <c r="AQ80" s="3082"/>
      <c r="AR80" s="3083"/>
      <c r="AS80" s="1988"/>
      <c r="AT80" s="1958" t="s">
        <v>1074</v>
      </c>
      <c r="AU80" s="1976"/>
      <c r="AV80" s="2058">
        <f>SUMIF(AS10:AS41,"R",AV10:AV41)</f>
        <v>0</v>
      </c>
      <c r="AW80" s="1954"/>
      <c r="AX80" s="1955"/>
      <c r="AY80" s="2069"/>
      <c r="AZ80" s="1963"/>
      <c r="BA80" s="1962"/>
      <c r="BB80" s="2078"/>
      <c r="BC80" s="2012"/>
      <c r="BE80" s="3082"/>
      <c r="BF80" s="3083"/>
      <c r="BG80" s="1988"/>
      <c r="BH80" s="1958" t="s">
        <v>1074</v>
      </c>
      <c r="BI80" s="1976"/>
      <c r="BJ80" s="2058">
        <f>SUMIF(BG10:BG41,"R",BJ10:BJ41)</f>
        <v>0</v>
      </c>
      <c r="BK80" s="1954"/>
      <c r="BL80" s="1955"/>
      <c r="BM80" s="2069"/>
      <c r="BN80" s="1963"/>
      <c r="BO80" s="1962"/>
      <c r="BP80" s="2078"/>
      <c r="BQ80" s="2012"/>
    </row>
    <row r="81" spans="1:69" s="701" customFormat="1" ht="16.5" thickBot="1">
      <c r="A81" s="3084"/>
      <c r="B81" s="3085"/>
      <c r="C81" s="1914"/>
      <c r="D81" s="1959" t="s">
        <v>1075</v>
      </c>
      <c r="E81" s="1967"/>
      <c r="F81" s="2059">
        <f>SUMIF(C43:C75,"R",F43:F75)</f>
        <v>0</v>
      </c>
      <c r="G81" s="1956"/>
      <c r="H81" s="1957"/>
      <c r="I81" s="2070"/>
      <c r="J81" s="1964"/>
      <c r="K81" s="1965"/>
      <c r="L81" s="2079"/>
      <c r="M81" s="2013"/>
      <c r="O81" s="3084"/>
      <c r="P81" s="3085"/>
      <c r="Q81" s="1989"/>
      <c r="R81" s="1959" t="s">
        <v>1075</v>
      </c>
      <c r="S81" s="1984"/>
      <c r="T81" s="2059">
        <f>SUMIF(Q43:Q75,"R",T43:T75)</f>
        <v>0</v>
      </c>
      <c r="U81" s="1956"/>
      <c r="V81" s="1957"/>
      <c r="W81" s="2070"/>
      <c r="X81" s="1964"/>
      <c r="Y81" s="1965"/>
      <c r="Z81" s="2079"/>
      <c r="AA81" s="2013"/>
      <c r="AC81" s="3084"/>
      <c r="AD81" s="3085"/>
      <c r="AE81" s="1989"/>
      <c r="AF81" s="1959" t="s">
        <v>1075</v>
      </c>
      <c r="AG81" s="1984"/>
      <c r="AH81" s="2059">
        <f>SUMIF(AE43:AE75,"R",AH43:AH75)</f>
        <v>0</v>
      </c>
      <c r="AI81" s="1956"/>
      <c r="AJ81" s="1957"/>
      <c r="AK81" s="2070"/>
      <c r="AL81" s="1964"/>
      <c r="AM81" s="1965"/>
      <c r="AN81" s="2079"/>
      <c r="AO81" s="2013"/>
      <c r="AQ81" s="3084"/>
      <c r="AR81" s="3085"/>
      <c r="AS81" s="1989"/>
      <c r="AT81" s="1959" t="s">
        <v>1075</v>
      </c>
      <c r="AU81" s="1984"/>
      <c r="AV81" s="2059">
        <f>SUMIF(AS43:AS75,"R",AV43:AV75)</f>
        <v>0</v>
      </c>
      <c r="AW81" s="1956"/>
      <c r="AX81" s="1957"/>
      <c r="AY81" s="2070"/>
      <c r="AZ81" s="1964"/>
      <c r="BA81" s="1965"/>
      <c r="BB81" s="2079"/>
      <c r="BC81" s="2013"/>
      <c r="BE81" s="3084"/>
      <c r="BF81" s="3085"/>
      <c r="BG81" s="1989"/>
      <c r="BH81" s="1959" t="s">
        <v>1075</v>
      </c>
      <c r="BI81" s="1984"/>
      <c r="BJ81" s="2059">
        <f>SUMIF(BG43:BG75,"R",BJ43:BJ75)</f>
        <v>0</v>
      </c>
      <c r="BK81" s="1956"/>
      <c r="BL81" s="1957"/>
      <c r="BM81" s="2070"/>
      <c r="BN81" s="1964"/>
      <c r="BO81" s="1965"/>
      <c r="BP81" s="2079"/>
      <c r="BQ81" s="2013"/>
    </row>
    <row r="82" spans="1:69" ht="22.5" customHeight="1">
      <c r="A82" s="3129" t="s">
        <v>361</v>
      </c>
      <c r="B82" s="702" t="s">
        <v>362</v>
      </c>
      <c r="C82" s="1950"/>
      <c r="D82" s="2015" t="s">
        <v>1105</v>
      </c>
      <c r="E82" s="1918"/>
      <c r="F82" s="2060">
        <f>SUM(F83:F85)</f>
        <v>0</v>
      </c>
      <c r="G82" s="1985"/>
      <c r="H82" s="1985"/>
      <c r="I82" s="2071"/>
      <c r="J82" s="1919"/>
      <c r="K82" s="1919"/>
      <c r="L82" s="2071"/>
      <c r="M82" s="703"/>
      <c r="O82" s="3129" t="s">
        <v>361</v>
      </c>
      <c r="P82" s="702" t="s">
        <v>362</v>
      </c>
      <c r="Q82" s="1950"/>
      <c r="R82" s="2015" t="s">
        <v>1105</v>
      </c>
      <c r="S82" s="1986"/>
      <c r="T82" s="2060">
        <f>SUM(T83:T85)</f>
        <v>0</v>
      </c>
      <c r="U82" s="1985"/>
      <c r="V82" s="1985"/>
      <c r="W82" s="2071"/>
      <c r="X82" s="1985"/>
      <c r="Y82" s="1985"/>
      <c r="Z82" s="2071"/>
      <c r="AA82" s="703"/>
      <c r="AC82" s="3129" t="s">
        <v>361</v>
      </c>
      <c r="AD82" s="702" t="s">
        <v>362</v>
      </c>
      <c r="AE82" s="1950"/>
      <c r="AF82" s="2015" t="s">
        <v>1105</v>
      </c>
      <c r="AG82" s="1986"/>
      <c r="AH82" s="2060">
        <f>SUM(AH83:AH85)</f>
        <v>0</v>
      </c>
      <c r="AI82" s="1985"/>
      <c r="AJ82" s="1985"/>
      <c r="AK82" s="2071"/>
      <c r="AL82" s="1985"/>
      <c r="AM82" s="1985"/>
      <c r="AN82" s="2071"/>
      <c r="AO82" s="703"/>
      <c r="AQ82" s="3129" t="s">
        <v>361</v>
      </c>
      <c r="AR82" s="702" t="s">
        <v>362</v>
      </c>
      <c r="AS82" s="1950"/>
      <c r="AT82" s="2015" t="s">
        <v>1105</v>
      </c>
      <c r="AU82" s="1986"/>
      <c r="AV82" s="2060">
        <f>SUM(AV83:AV85)</f>
        <v>0</v>
      </c>
      <c r="AW82" s="1985"/>
      <c r="AX82" s="1985"/>
      <c r="AY82" s="2071"/>
      <c r="AZ82" s="1985"/>
      <c r="BA82" s="1985"/>
      <c r="BB82" s="2071"/>
      <c r="BC82" s="703"/>
      <c r="BE82" s="3129" t="s">
        <v>361</v>
      </c>
      <c r="BF82" s="702" t="s">
        <v>362</v>
      </c>
      <c r="BG82" s="1950"/>
      <c r="BH82" s="2015" t="s">
        <v>1105</v>
      </c>
      <c r="BI82" s="1986"/>
      <c r="BJ82" s="2060">
        <f>SUM(BJ83:BJ85)</f>
        <v>0</v>
      </c>
      <c r="BK82" s="1985"/>
      <c r="BL82" s="1985"/>
      <c r="BM82" s="2071"/>
      <c r="BN82" s="1985"/>
      <c r="BO82" s="1985"/>
      <c r="BP82" s="2071"/>
      <c r="BQ82" s="703"/>
    </row>
    <row r="83" spans="1:69" ht="15.75" customHeight="1">
      <c r="A83" s="3130"/>
      <c r="B83" s="704"/>
      <c r="C83" s="704"/>
      <c r="D83" s="685"/>
      <c r="E83" s="686"/>
      <c r="F83" s="2061">
        <f>D83*E83</f>
        <v>0</v>
      </c>
      <c r="G83" s="1940"/>
      <c r="H83" s="1941"/>
      <c r="I83" s="2072"/>
      <c r="J83" s="1940"/>
      <c r="K83" s="1941"/>
      <c r="L83" s="2072"/>
      <c r="M83" s="687"/>
      <c r="O83" s="3130"/>
      <c r="P83" s="704"/>
      <c r="Q83" s="704"/>
      <c r="R83" s="685"/>
      <c r="S83" s="686"/>
      <c r="T83" s="2061">
        <f>R83*S83</f>
        <v>0</v>
      </c>
      <c r="U83" s="1940"/>
      <c r="V83" s="1941"/>
      <c r="W83" s="2072"/>
      <c r="X83" s="1940"/>
      <c r="Y83" s="1941"/>
      <c r="Z83" s="2072"/>
      <c r="AA83" s="687"/>
      <c r="AC83" s="3130"/>
      <c r="AD83" s="704"/>
      <c r="AE83" s="704"/>
      <c r="AF83" s="685"/>
      <c r="AG83" s="686"/>
      <c r="AH83" s="2061">
        <f>AF83*AG83</f>
        <v>0</v>
      </c>
      <c r="AI83" s="1940"/>
      <c r="AJ83" s="1941"/>
      <c r="AK83" s="2072"/>
      <c r="AL83" s="1940"/>
      <c r="AM83" s="1941"/>
      <c r="AN83" s="2072"/>
      <c r="AO83" s="687"/>
      <c r="AQ83" s="3130"/>
      <c r="AR83" s="704"/>
      <c r="AS83" s="704"/>
      <c r="AT83" s="685"/>
      <c r="AU83" s="686"/>
      <c r="AV83" s="2061">
        <f>AT83*AU83</f>
        <v>0</v>
      </c>
      <c r="AW83" s="1940"/>
      <c r="AX83" s="1941"/>
      <c r="AY83" s="2072"/>
      <c r="AZ83" s="1940"/>
      <c r="BA83" s="1941"/>
      <c r="BB83" s="2072"/>
      <c r="BC83" s="687"/>
      <c r="BE83" s="3130"/>
      <c r="BF83" s="704"/>
      <c r="BG83" s="704"/>
      <c r="BH83" s="685"/>
      <c r="BI83" s="686"/>
      <c r="BJ83" s="2061">
        <f>BH83*BI83</f>
        <v>0</v>
      </c>
      <c r="BK83" s="1940"/>
      <c r="BL83" s="1941"/>
      <c r="BM83" s="2072"/>
      <c r="BN83" s="1940"/>
      <c r="BO83" s="1941"/>
      <c r="BP83" s="2072"/>
      <c r="BQ83" s="687"/>
    </row>
    <row r="84" spans="1:69" ht="15.75" customHeight="1">
      <c r="A84" s="3130"/>
      <c r="B84" s="704"/>
      <c r="C84" s="704"/>
      <c r="D84" s="685"/>
      <c r="E84" s="686"/>
      <c r="F84" s="2061">
        <f>D84*E84</f>
        <v>0</v>
      </c>
      <c r="G84" s="1940"/>
      <c r="H84" s="1941"/>
      <c r="I84" s="2072"/>
      <c r="J84" s="1940"/>
      <c r="K84" s="1941"/>
      <c r="L84" s="2072"/>
      <c r="M84" s="687"/>
      <c r="O84" s="3130"/>
      <c r="P84" s="704"/>
      <c r="Q84" s="704"/>
      <c r="R84" s="685"/>
      <c r="S84" s="686"/>
      <c r="T84" s="2061">
        <f>R84*S84</f>
        <v>0</v>
      </c>
      <c r="U84" s="1940"/>
      <c r="V84" s="1941"/>
      <c r="W84" s="2072"/>
      <c r="X84" s="1940"/>
      <c r="Y84" s="1941"/>
      <c r="Z84" s="2072"/>
      <c r="AA84" s="687"/>
      <c r="AC84" s="3130"/>
      <c r="AD84" s="704"/>
      <c r="AE84" s="704"/>
      <c r="AF84" s="685"/>
      <c r="AG84" s="686"/>
      <c r="AH84" s="2061">
        <f>AF84*AG84</f>
        <v>0</v>
      </c>
      <c r="AI84" s="1940"/>
      <c r="AJ84" s="1941"/>
      <c r="AK84" s="2072"/>
      <c r="AL84" s="1940"/>
      <c r="AM84" s="1941"/>
      <c r="AN84" s="2072"/>
      <c r="AO84" s="687"/>
      <c r="AQ84" s="3130"/>
      <c r="AR84" s="704"/>
      <c r="AS84" s="704"/>
      <c r="AT84" s="685"/>
      <c r="AU84" s="686"/>
      <c r="AV84" s="2061">
        <f>AT84*AU84</f>
        <v>0</v>
      </c>
      <c r="AW84" s="1940"/>
      <c r="AX84" s="1941"/>
      <c r="AY84" s="2072"/>
      <c r="AZ84" s="1940"/>
      <c r="BA84" s="1941"/>
      <c r="BB84" s="2072"/>
      <c r="BC84" s="687"/>
      <c r="BE84" s="3130"/>
      <c r="BF84" s="704"/>
      <c r="BG84" s="704"/>
      <c r="BH84" s="685"/>
      <c r="BI84" s="686"/>
      <c r="BJ84" s="2061">
        <f>BH84*BI84</f>
        <v>0</v>
      </c>
      <c r="BK84" s="1940"/>
      <c r="BL84" s="1941"/>
      <c r="BM84" s="2072"/>
      <c r="BN84" s="1940"/>
      <c r="BO84" s="1941"/>
      <c r="BP84" s="2072"/>
      <c r="BQ84" s="687"/>
    </row>
    <row r="85" spans="1:69" ht="15.75" customHeight="1" thickBot="1">
      <c r="A85" s="3131"/>
      <c r="B85" s="705"/>
      <c r="C85" s="705"/>
      <c r="D85" s="692"/>
      <c r="E85" s="693"/>
      <c r="F85" s="2062">
        <f>D85*E85</f>
        <v>0</v>
      </c>
      <c r="G85" s="1942"/>
      <c r="H85" s="1943"/>
      <c r="I85" s="2073"/>
      <c r="J85" s="1942"/>
      <c r="K85" s="1943"/>
      <c r="L85" s="2073"/>
      <c r="M85" s="690"/>
      <c r="O85" s="3131"/>
      <c r="P85" s="705"/>
      <c r="Q85" s="705"/>
      <c r="R85" s="692"/>
      <c r="S85" s="693"/>
      <c r="T85" s="2062">
        <f>R85*S85</f>
        <v>0</v>
      </c>
      <c r="U85" s="1942"/>
      <c r="V85" s="1943"/>
      <c r="W85" s="2073"/>
      <c r="X85" s="1942"/>
      <c r="Y85" s="1943"/>
      <c r="Z85" s="2073"/>
      <c r="AA85" s="690"/>
      <c r="AC85" s="3131"/>
      <c r="AD85" s="705"/>
      <c r="AE85" s="705"/>
      <c r="AF85" s="692"/>
      <c r="AG85" s="693"/>
      <c r="AH85" s="2062">
        <f>AF85*AG85</f>
        <v>0</v>
      </c>
      <c r="AI85" s="1942"/>
      <c r="AJ85" s="1943"/>
      <c r="AK85" s="2073"/>
      <c r="AL85" s="1942"/>
      <c r="AM85" s="1943"/>
      <c r="AN85" s="2073"/>
      <c r="AO85" s="690"/>
      <c r="AQ85" s="3131"/>
      <c r="AR85" s="705"/>
      <c r="AS85" s="705"/>
      <c r="AT85" s="692"/>
      <c r="AU85" s="693"/>
      <c r="AV85" s="2062">
        <f>AT85*AU85</f>
        <v>0</v>
      </c>
      <c r="AW85" s="1942"/>
      <c r="AX85" s="1943"/>
      <c r="AY85" s="2073"/>
      <c r="AZ85" s="1942"/>
      <c r="BA85" s="1943"/>
      <c r="BB85" s="2073"/>
      <c r="BC85" s="690"/>
      <c r="BE85" s="3131"/>
      <c r="BF85" s="705"/>
      <c r="BG85" s="705"/>
      <c r="BH85" s="692"/>
      <c r="BI85" s="693"/>
      <c r="BJ85" s="2062">
        <f>BH85*BI85</f>
        <v>0</v>
      </c>
      <c r="BK85" s="1942"/>
      <c r="BL85" s="1943"/>
      <c r="BM85" s="2073"/>
      <c r="BN85" s="1942"/>
      <c r="BO85" s="1943"/>
      <c r="BP85" s="2073"/>
      <c r="BQ85" s="690"/>
    </row>
  </sheetData>
  <mergeCells count="231">
    <mergeCell ref="A9:A32"/>
    <mergeCell ref="A33:A41"/>
    <mergeCell ref="E67:F67"/>
    <mergeCell ref="A49:A56"/>
    <mergeCell ref="A58:A75"/>
    <mergeCell ref="D72:F72"/>
    <mergeCell ref="D73:F73"/>
    <mergeCell ref="D74:F74"/>
    <mergeCell ref="D71:F71"/>
    <mergeCell ref="D70:F70"/>
    <mergeCell ref="E58:F58"/>
    <mergeCell ref="A42:A48"/>
    <mergeCell ref="D59:F59"/>
    <mergeCell ref="D68:F68"/>
    <mergeCell ref="D75:F75"/>
    <mergeCell ref="E49:F49"/>
    <mergeCell ref="D69:F69"/>
    <mergeCell ref="E57:F57"/>
    <mergeCell ref="A1:B1"/>
    <mergeCell ref="D1:L1"/>
    <mergeCell ref="A2:A5"/>
    <mergeCell ref="D2:L2"/>
    <mergeCell ref="M2:M5"/>
    <mergeCell ref="D3:L5"/>
    <mergeCell ref="A6:A8"/>
    <mergeCell ref="B7:B8"/>
    <mergeCell ref="D7:F7"/>
    <mergeCell ref="G7:I7"/>
    <mergeCell ref="M7:M8"/>
    <mergeCell ref="J7:L7"/>
    <mergeCell ref="D6:L6"/>
    <mergeCell ref="A82:A85"/>
    <mergeCell ref="O82:O85"/>
    <mergeCell ref="AC82:AC85"/>
    <mergeCell ref="AQ82:AQ85"/>
    <mergeCell ref="BE82:BE85"/>
    <mergeCell ref="A76:B81"/>
    <mergeCell ref="D76:F76"/>
    <mergeCell ref="G76:I76"/>
    <mergeCell ref="J76:L76"/>
    <mergeCell ref="O6:O8"/>
    <mergeCell ref="R6:Z6"/>
    <mergeCell ref="P7:P8"/>
    <mergeCell ref="R7:T7"/>
    <mergeCell ref="U7:W7"/>
    <mergeCell ref="X7:Z7"/>
    <mergeCell ref="AA7:AA8"/>
    <mergeCell ref="D79:F79"/>
    <mergeCell ref="D64:F64"/>
    <mergeCell ref="D63:F63"/>
    <mergeCell ref="K63:L63"/>
    <mergeCell ref="D62:F62"/>
    <mergeCell ref="K68:L68"/>
    <mergeCell ref="D66:F66"/>
    <mergeCell ref="D65:F65"/>
    <mergeCell ref="D61:F61"/>
    <mergeCell ref="D60:F60"/>
    <mergeCell ref="K59:L59"/>
    <mergeCell ref="K58:L58"/>
    <mergeCell ref="H49:I49"/>
    <mergeCell ref="K72:L72"/>
    <mergeCell ref="K57:L57"/>
    <mergeCell ref="O9:O32"/>
    <mergeCell ref="O33:O41"/>
    <mergeCell ref="O42:O48"/>
    <mergeCell ref="O49:O56"/>
    <mergeCell ref="S49:T49"/>
    <mergeCell ref="V49:W49"/>
    <mergeCell ref="S57:T57"/>
    <mergeCell ref="Y57:Z57"/>
    <mergeCell ref="O58:O75"/>
    <mergeCell ref="S58:T58"/>
    <mergeCell ref="Y58:Z58"/>
    <mergeCell ref="R59:T59"/>
    <mergeCell ref="Y59:Z59"/>
    <mergeCell ref="R60:T60"/>
    <mergeCell ref="R61:T61"/>
    <mergeCell ref="R62:T62"/>
    <mergeCell ref="R63:T63"/>
    <mergeCell ref="Y63:Z63"/>
    <mergeCell ref="R64:T64"/>
    <mergeCell ref="R65:T65"/>
    <mergeCell ref="R66:T66"/>
    <mergeCell ref="S67:T67"/>
    <mergeCell ref="R68:T68"/>
    <mergeCell ref="Y68:Z68"/>
    <mergeCell ref="R69:T69"/>
    <mergeCell ref="R70:T70"/>
    <mergeCell ref="R71:T71"/>
    <mergeCell ref="R72:T72"/>
    <mergeCell ref="Y72:Z72"/>
    <mergeCell ref="R73:T73"/>
    <mergeCell ref="R74:T74"/>
    <mergeCell ref="R75:T75"/>
    <mergeCell ref="O76:P81"/>
    <mergeCell ref="R76:T76"/>
    <mergeCell ref="U76:W76"/>
    <mergeCell ref="X76:Z76"/>
    <mergeCell ref="R79:T79"/>
    <mergeCell ref="AC6:AC8"/>
    <mergeCell ref="AF6:AN6"/>
    <mergeCell ref="AD7:AD8"/>
    <mergeCell ref="AF7:AH7"/>
    <mergeCell ref="AI7:AK7"/>
    <mergeCell ref="AL7:AN7"/>
    <mergeCell ref="AO7:AO8"/>
    <mergeCell ref="AC9:AC32"/>
    <mergeCell ref="AC33:AC41"/>
    <mergeCell ref="AC42:AC48"/>
    <mergeCell ref="AC49:AC56"/>
    <mergeCell ref="AG49:AH49"/>
    <mergeCell ref="AJ49:AK49"/>
    <mergeCell ref="AG57:AH57"/>
    <mergeCell ref="AM57:AN57"/>
    <mergeCell ref="AC58:AC75"/>
    <mergeCell ref="AG58:AH58"/>
    <mergeCell ref="AM58:AN58"/>
    <mergeCell ref="AF59:AH59"/>
    <mergeCell ref="AM59:AN59"/>
    <mergeCell ref="AF60:AH60"/>
    <mergeCell ref="AF61:AH61"/>
    <mergeCell ref="AF62:AH62"/>
    <mergeCell ref="AF63:AH63"/>
    <mergeCell ref="AM63:AN63"/>
    <mergeCell ref="AF64:AH64"/>
    <mergeCell ref="AF65:AH65"/>
    <mergeCell ref="AF66:AH66"/>
    <mergeCell ref="AG67:AH67"/>
    <mergeCell ref="AF68:AH68"/>
    <mergeCell ref="AM68:AN68"/>
    <mergeCell ref="AF69:AH69"/>
    <mergeCell ref="AF70:AH70"/>
    <mergeCell ref="AF71:AH71"/>
    <mergeCell ref="AF72:AH72"/>
    <mergeCell ref="AM72:AN72"/>
    <mergeCell ref="AF73:AH73"/>
    <mergeCell ref="AF74:AH74"/>
    <mergeCell ref="AF75:AH75"/>
    <mergeCell ref="AC76:AD81"/>
    <mergeCell ref="AF76:AH76"/>
    <mergeCell ref="AI76:AK76"/>
    <mergeCell ref="AL76:AN76"/>
    <mergeCell ref="AF79:AH79"/>
    <mergeCell ref="AQ6:AQ8"/>
    <mergeCell ref="AT6:BB6"/>
    <mergeCell ref="AR7:AR8"/>
    <mergeCell ref="AT7:AV7"/>
    <mergeCell ref="AW7:AY7"/>
    <mergeCell ref="AZ7:BB7"/>
    <mergeCell ref="BC7:BC8"/>
    <mergeCell ref="AQ9:AQ32"/>
    <mergeCell ref="AQ33:AQ41"/>
    <mergeCell ref="AQ42:AQ48"/>
    <mergeCell ref="AQ49:AQ56"/>
    <mergeCell ref="AU49:AV49"/>
    <mergeCell ref="AX49:AY49"/>
    <mergeCell ref="AU57:AV57"/>
    <mergeCell ref="BA57:BB57"/>
    <mergeCell ref="AQ58:AQ75"/>
    <mergeCell ref="AU58:AV58"/>
    <mergeCell ref="BA58:BB58"/>
    <mergeCell ref="AT59:AV59"/>
    <mergeCell ref="BA59:BB59"/>
    <mergeCell ref="AT60:AV60"/>
    <mergeCell ref="AT61:AV61"/>
    <mergeCell ref="AT62:AV62"/>
    <mergeCell ref="AT63:AV63"/>
    <mergeCell ref="BA63:BB63"/>
    <mergeCell ref="AT64:AV64"/>
    <mergeCell ref="AT65:AV65"/>
    <mergeCell ref="AT66:AV66"/>
    <mergeCell ref="AU67:AV67"/>
    <mergeCell ref="AT68:AV68"/>
    <mergeCell ref="BA68:BB68"/>
    <mergeCell ref="AT69:AV69"/>
    <mergeCell ref="AT70:AV70"/>
    <mergeCell ref="AT71:AV71"/>
    <mergeCell ref="AT72:AV72"/>
    <mergeCell ref="BA72:BB72"/>
    <mergeCell ref="AT73:AV73"/>
    <mergeCell ref="AT74:AV74"/>
    <mergeCell ref="AT75:AV75"/>
    <mergeCell ref="AQ76:AR81"/>
    <mergeCell ref="AT76:AV76"/>
    <mergeCell ref="AW76:AY76"/>
    <mergeCell ref="AZ76:BB76"/>
    <mergeCell ref="AT79:AV79"/>
    <mergeCell ref="BE6:BE8"/>
    <mergeCell ref="BH6:BP6"/>
    <mergeCell ref="BF7:BF8"/>
    <mergeCell ref="BH7:BJ7"/>
    <mergeCell ref="BK7:BM7"/>
    <mergeCell ref="BN7:BP7"/>
    <mergeCell ref="BQ7:BQ8"/>
    <mergeCell ref="BE9:BE32"/>
    <mergeCell ref="BE33:BE41"/>
    <mergeCell ref="BE42:BE48"/>
    <mergeCell ref="BE49:BE56"/>
    <mergeCell ref="BI49:BJ49"/>
    <mergeCell ref="BL49:BM49"/>
    <mergeCell ref="BI57:BJ57"/>
    <mergeCell ref="BO57:BP57"/>
    <mergeCell ref="BE58:BE75"/>
    <mergeCell ref="BI58:BJ58"/>
    <mergeCell ref="BO58:BP58"/>
    <mergeCell ref="BH59:BJ59"/>
    <mergeCell ref="BO59:BP59"/>
    <mergeCell ref="BH60:BJ60"/>
    <mergeCell ref="BH61:BJ61"/>
    <mergeCell ref="BH62:BJ62"/>
    <mergeCell ref="BH63:BJ63"/>
    <mergeCell ref="BO63:BP63"/>
    <mergeCell ref="BH64:BJ64"/>
    <mergeCell ref="BH65:BJ65"/>
    <mergeCell ref="BH66:BJ66"/>
    <mergeCell ref="BI67:BJ67"/>
    <mergeCell ref="BH68:BJ68"/>
    <mergeCell ref="BO68:BP68"/>
    <mergeCell ref="BH69:BJ69"/>
    <mergeCell ref="BH70:BJ70"/>
    <mergeCell ref="BH71:BJ71"/>
    <mergeCell ref="BH72:BJ72"/>
    <mergeCell ref="BO72:BP72"/>
    <mergeCell ref="BH73:BJ73"/>
    <mergeCell ref="BH74:BJ74"/>
    <mergeCell ref="BH75:BJ75"/>
    <mergeCell ref="BE76:BF81"/>
    <mergeCell ref="BH76:BJ76"/>
    <mergeCell ref="BK76:BM76"/>
    <mergeCell ref="BN76:BP76"/>
    <mergeCell ref="BH79:BJ79"/>
  </mergeCells>
  <printOptions horizontalCentered="1"/>
  <pageMargins left="0.19685039370078741" right="0.19685039370078741" top="0.47244094488188981" bottom="0.43307086614173229" header="7.874015748031496E-2" footer="0.11811023622047245"/>
  <pageSetup paperSize="9" scale="57" orientation="portrait" r:id="rId1"/>
  <headerFooter alignWithMargins="0">
    <oddHeader>&amp;L&amp;"Arial,Gras"&amp;14&amp;K0000FFGEFCO&amp;C&amp;"Arial,Gras"&amp;24PROJECT REQUEST - DETAILS&amp;R&amp;D - &amp;T</oddHeader>
    <oddFooter>&amp;L&amp;F/&amp;A</oddFooter>
  </headerFooter>
  <legacyDrawing r:id="rId2"/>
</worksheet>
</file>

<file path=xl/worksheets/sheet36.xml><?xml version="1.0" encoding="utf-8"?>
<worksheet xmlns="http://schemas.openxmlformats.org/spreadsheetml/2006/main" xmlns:r="http://schemas.openxmlformats.org/officeDocument/2006/relationships">
  <sheetPr codeName="Feuil7">
    <tabColor rgb="FF00B050"/>
    <pageSetUpPr fitToPage="1"/>
  </sheetPr>
  <dimension ref="A1:AL116"/>
  <sheetViews>
    <sheetView workbookViewId="0">
      <selection activeCell="E51" sqref="E51"/>
    </sheetView>
  </sheetViews>
  <sheetFormatPr baseColWidth="10" defaultColWidth="11.42578125" defaultRowHeight="12.75"/>
  <cols>
    <col min="1" max="1" width="15.42578125" customWidth="1"/>
    <col min="2" max="4" width="13.7109375" customWidth="1"/>
    <col min="5" max="5" width="13.85546875" customWidth="1"/>
    <col min="6" max="10" width="13.7109375" customWidth="1"/>
    <col min="11" max="11" width="17.5703125" customWidth="1"/>
    <col min="12" max="12" width="12.140625" customWidth="1"/>
    <col min="13" max="13" width="12.42578125" style="1222" hidden="1" customWidth="1"/>
    <col min="14" max="14" width="11.42578125" style="1222" hidden="1" customWidth="1"/>
    <col min="15" max="15" width="11.42578125" hidden="1" customWidth="1"/>
    <col min="16" max="19" width="13.7109375" hidden="1" customWidth="1"/>
    <col min="20" max="20" width="13.85546875" hidden="1" customWidth="1"/>
    <col min="21" max="25" width="13.7109375" hidden="1" customWidth="1"/>
    <col min="26" max="26" width="17.5703125" hidden="1" customWidth="1"/>
    <col min="27" max="27" width="11.42578125" hidden="1" customWidth="1"/>
    <col min="28" max="31" width="13.7109375" style="1487" hidden="1" customWidth="1"/>
    <col min="32" max="32" width="13.85546875" style="1487" hidden="1" customWidth="1"/>
    <col min="33" max="37" width="13.7109375" style="1487" hidden="1" customWidth="1"/>
    <col min="38" max="38" width="17.5703125" style="1487" hidden="1" customWidth="1"/>
  </cols>
  <sheetData>
    <row r="1" spans="1:38" s="621" customFormat="1" ht="26.25">
      <c r="A1" s="3068" t="str">
        <f>IF('Mode Opératoire'!$I$1="Français",+Equipement!P1,Equipement!AB1)</f>
        <v>Equipements et Matériels</v>
      </c>
      <c r="B1" s="3068"/>
      <c r="C1" s="3068"/>
      <c r="D1" s="3068"/>
      <c r="E1" s="3068"/>
      <c r="F1" s="3068"/>
      <c r="G1" s="3068"/>
      <c r="H1" s="3068"/>
      <c r="I1" s="3068"/>
      <c r="J1" s="3068"/>
      <c r="K1" s="3068"/>
      <c r="M1" s="1222"/>
      <c r="N1" s="1222"/>
      <c r="P1" s="3068" t="s">
        <v>758</v>
      </c>
      <c r="Q1" s="3068"/>
      <c r="R1" s="3068"/>
      <c r="S1" s="3068"/>
      <c r="T1" s="3068"/>
      <c r="U1" s="3068"/>
      <c r="V1" s="3068"/>
      <c r="W1" s="3068"/>
      <c r="X1" s="3068"/>
      <c r="Y1" s="3068"/>
      <c r="Z1" s="3068"/>
      <c r="AB1" s="3147" t="s">
        <v>759</v>
      </c>
      <c r="AC1" s="3147"/>
      <c r="AD1" s="3147"/>
      <c r="AE1" s="3147"/>
      <c r="AF1" s="3147"/>
      <c r="AG1" s="3147"/>
      <c r="AH1" s="3147"/>
      <c r="AI1" s="3147"/>
      <c r="AJ1" s="3147"/>
      <c r="AK1" s="3147"/>
      <c r="AL1" s="3147"/>
    </row>
    <row r="2" spans="1:38" s="621" customFormat="1">
      <c r="M2" s="1222"/>
      <c r="N2" s="1222"/>
      <c r="AB2" s="1487"/>
      <c r="AC2" s="1487"/>
      <c r="AD2" s="1487"/>
      <c r="AE2" s="1487"/>
      <c r="AF2" s="1487"/>
      <c r="AG2" s="1487"/>
      <c r="AH2" s="1487"/>
      <c r="AI2" s="1487"/>
      <c r="AJ2" s="1487"/>
      <c r="AK2" s="1487"/>
      <c r="AL2" s="1487"/>
    </row>
    <row r="3" spans="1:38" s="621" customFormat="1">
      <c r="M3" s="1223"/>
      <c r="N3" s="1222"/>
      <c r="AB3" s="1487"/>
      <c r="AC3" s="1487"/>
      <c r="AD3" s="1487"/>
      <c r="AE3" s="1487"/>
      <c r="AF3" s="1487"/>
      <c r="AG3" s="1487"/>
      <c r="AH3" s="1487"/>
      <c r="AI3" s="1487"/>
      <c r="AJ3" s="1487"/>
      <c r="AK3" s="1487"/>
      <c r="AL3" s="1487"/>
    </row>
    <row r="4" spans="1:38" ht="26.25">
      <c r="A4" s="78" t="str">
        <f>+'Synthèse projet'!A3</f>
        <v>Nom projet / Project Name :</v>
      </c>
      <c r="B4" s="145"/>
      <c r="C4" s="145"/>
      <c r="D4" s="145"/>
      <c r="E4" s="2368" t="str">
        <f>+'Synthèse projet'!C3</f>
        <v>xxxxxx</v>
      </c>
      <c r="F4" s="14"/>
      <c r="G4" s="14"/>
      <c r="H4" s="14"/>
      <c r="I4" s="14"/>
      <c r="J4" s="14"/>
      <c r="K4" s="14"/>
      <c r="L4" s="1"/>
      <c r="M4" s="1224"/>
      <c r="P4" s="78">
        <f>+'Synthèse projet'!N3</f>
        <v>0</v>
      </c>
      <c r="Q4" s="953"/>
      <c r="R4" s="953"/>
      <c r="S4" s="953"/>
      <c r="T4" s="14">
        <f>+'Synthèse projet'!Q3</f>
        <v>0</v>
      </c>
      <c r="U4" s="14"/>
      <c r="V4" s="14"/>
      <c r="W4" s="14"/>
      <c r="X4" s="14"/>
      <c r="Y4" s="14"/>
      <c r="Z4" s="14"/>
      <c r="AB4" s="1488">
        <f>+'Synthèse projet'!Y3</f>
        <v>0</v>
      </c>
      <c r="AC4" s="1489"/>
      <c r="AD4" s="1489"/>
      <c r="AE4" s="1489"/>
      <c r="AF4" s="1490">
        <f>+'Synthèse projet'!AB3</f>
        <v>0</v>
      </c>
      <c r="AG4" s="1490"/>
      <c r="AH4" s="1490"/>
      <c r="AI4" s="1490"/>
      <c r="AJ4" s="1490"/>
      <c r="AK4" s="1490"/>
      <c r="AL4" s="1490"/>
    </row>
    <row r="5" spans="1:38" s="621" customFormat="1">
      <c r="M5" s="1222"/>
      <c r="N5" s="1222"/>
      <c r="AB5" s="1487"/>
      <c r="AC5" s="1487"/>
      <c r="AD5" s="1487"/>
      <c r="AE5" s="1487"/>
      <c r="AF5" s="1487"/>
      <c r="AG5" s="1487"/>
      <c r="AH5" s="1487"/>
      <c r="AI5" s="1487"/>
      <c r="AJ5" s="1487"/>
      <c r="AK5" s="1487"/>
      <c r="AL5" s="1487"/>
    </row>
    <row r="6" spans="1:38" s="906" customFormat="1" ht="23.25">
      <c r="A6" s="146" t="s">
        <v>281</v>
      </c>
      <c r="B6" s="146"/>
      <c r="C6" s="146"/>
      <c r="D6" s="146"/>
      <c r="E6" s="146"/>
      <c r="F6" s="148">
        <f>+'Synthèse projet'!E5</f>
        <v>0</v>
      </c>
      <c r="G6" s="924"/>
      <c r="I6" s="1765"/>
      <c r="J6" s="925" t="s">
        <v>98</v>
      </c>
      <c r="K6" s="926" t="s">
        <v>20</v>
      </c>
      <c r="L6" s="27"/>
      <c r="M6" s="1225"/>
      <c r="N6" s="1222"/>
      <c r="P6" s="146" t="s">
        <v>71</v>
      </c>
      <c r="Q6" s="146"/>
      <c r="R6" s="146"/>
      <c r="S6" s="146"/>
      <c r="T6" s="146"/>
      <c r="U6" s="148" t="str">
        <f>+'Synthèse projet'!R5</f>
        <v>FVL</v>
      </c>
      <c r="V6" s="924"/>
      <c r="W6" s="925" t="s">
        <v>98</v>
      </c>
      <c r="X6" s="925"/>
      <c r="Y6" s="925"/>
      <c r="Z6" s="926" t="s">
        <v>20</v>
      </c>
      <c r="AB6" s="1491" t="s">
        <v>795</v>
      </c>
      <c r="AC6" s="1491"/>
      <c r="AD6" s="1491"/>
      <c r="AE6" s="1491"/>
      <c r="AF6" s="1491"/>
      <c r="AG6" s="1492">
        <f>+'Synthèse projet'!AC5</f>
        <v>0</v>
      </c>
      <c r="AH6" s="1493"/>
      <c r="AI6" s="1494" t="s">
        <v>98</v>
      </c>
      <c r="AJ6" s="1494"/>
      <c r="AK6" s="1494"/>
      <c r="AL6" s="1495" t="s">
        <v>20</v>
      </c>
    </row>
    <row r="7" spans="1:38" s="907" customFormat="1" ht="18">
      <c r="A7" s="147" t="s">
        <v>72</v>
      </c>
      <c r="B7" s="147"/>
      <c r="C7" s="147"/>
      <c r="D7" s="147"/>
      <c r="E7" s="147"/>
      <c r="F7" s="921">
        <f>+'Synthèse projet'!E6</f>
        <v>0</v>
      </c>
      <c r="G7" s="924"/>
      <c r="I7" s="1766"/>
      <c r="J7" s="506" t="str">
        <f>IF('Mode Opératoire'!$I$1="Français",W7,AI7)</f>
        <v xml:space="preserve">PAYS </v>
      </c>
      <c r="K7" s="927" t="s">
        <v>1389</v>
      </c>
      <c r="L7" s="27"/>
      <c r="M7" s="1225"/>
      <c r="N7" s="1222"/>
      <c r="P7" s="147" t="s">
        <v>72</v>
      </c>
      <c r="Q7" s="147"/>
      <c r="R7" s="147"/>
      <c r="S7" s="147"/>
      <c r="T7" s="147"/>
      <c r="U7" s="921" t="str">
        <f>+'Synthèse projet'!R6</f>
        <v>Brésil</v>
      </c>
      <c r="V7" s="924"/>
      <c r="W7" s="927" t="s">
        <v>99</v>
      </c>
      <c r="X7" s="927"/>
      <c r="Y7" s="927"/>
      <c r="Z7" s="927">
        <f>+'Synthèse projet'!V6</f>
        <v>0</v>
      </c>
      <c r="AB7" s="1496" t="s">
        <v>72</v>
      </c>
      <c r="AC7" s="1496"/>
      <c r="AD7" s="1496"/>
      <c r="AE7" s="1496"/>
      <c r="AF7" s="1496"/>
      <c r="AG7" s="1497">
        <f>+'Synthèse projet'!AC6</f>
        <v>0</v>
      </c>
      <c r="AH7" s="1493"/>
      <c r="AI7" s="1498" t="s">
        <v>857</v>
      </c>
      <c r="AJ7" s="1498"/>
      <c r="AK7" s="1498"/>
      <c r="AL7" s="1498">
        <f>+'Synthèse projet'!AE6</f>
        <v>0</v>
      </c>
    </row>
    <row r="8" spans="1:38" s="621" customFormat="1">
      <c r="A8" s="922"/>
      <c r="B8" s="622"/>
      <c r="C8" s="622"/>
      <c r="D8" s="622"/>
      <c r="E8" s="622"/>
      <c r="F8" s="622"/>
      <c r="G8" s="622"/>
      <c r="H8" s="622"/>
      <c r="I8" s="622"/>
      <c r="J8" s="622"/>
      <c r="K8" s="622"/>
      <c r="M8" s="1222"/>
      <c r="N8" s="1222"/>
      <c r="P8" s="922"/>
      <c r="Q8" s="622"/>
      <c r="R8" s="622"/>
      <c r="S8" s="622"/>
      <c r="T8" s="622"/>
      <c r="U8" s="622"/>
      <c r="V8" s="622"/>
      <c r="W8" s="622"/>
      <c r="X8" s="622"/>
      <c r="Y8" s="622"/>
      <c r="Z8" s="622"/>
      <c r="AB8" s="1499"/>
      <c r="AC8" s="1499"/>
      <c r="AD8" s="1499"/>
      <c r="AE8" s="1499"/>
      <c r="AF8" s="1499"/>
      <c r="AG8" s="1499"/>
      <c r="AH8" s="1499"/>
      <c r="AI8" s="1499"/>
      <c r="AJ8" s="1499"/>
      <c r="AK8" s="1499"/>
      <c r="AL8" s="1499"/>
    </row>
    <row r="9" spans="1:38" s="912" customFormat="1">
      <c r="A9" s="911"/>
      <c r="B9" s="911"/>
      <c r="C9" s="911"/>
      <c r="D9" s="911"/>
      <c r="E9" s="911"/>
      <c r="F9" s="911"/>
      <c r="G9" s="911"/>
      <c r="H9" s="911"/>
      <c r="I9" s="911"/>
      <c r="J9" s="911"/>
      <c r="K9" s="911"/>
      <c r="L9" s="911"/>
      <c r="M9" s="1226"/>
      <c r="N9" s="1222"/>
      <c r="P9" s="911"/>
      <c r="Q9" s="911"/>
      <c r="R9" s="911"/>
      <c r="S9" s="911"/>
      <c r="T9" s="911"/>
      <c r="U9" s="911"/>
      <c r="V9" s="911"/>
      <c r="W9" s="911"/>
      <c r="X9" s="911"/>
      <c r="Y9" s="911"/>
      <c r="Z9" s="911"/>
      <c r="AB9" s="1499"/>
      <c r="AC9" s="1499"/>
      <c r="AD9" s="1499"/>
      <c r="AE9" s="1499"/>
      <c r="AF9" s="1499"/>
      <c r="AG9" s="1499"/>
      <c r="AH9" s="1499"/>
      <c r="AI9" s="1499"/>
      <c r="AJ9" s="1499"/>
      <c r="AK9" s="1499"/>
      <c r="AL9" s="1499"/>
    </row>
    <row r="10" spans="1:38" s="912" customFormat="1">
      <c r="A10" s="911"/>
      <c r="B10" s="911"/>
      <c r="C10" s="911"/>
      <c r="D10" s="911"/>
      <c r="E10" s="911"/>
      <c r="F10" s="911"/>
      <c r="G10" s="911"/>
      <c r="H10" s="911"/>
      <c r="I10" s="911"/>
      <c r="J10" s="911"/>
      <c r="K10" s="911"/>
      <c r="L10" s="911"/>
      <c r="M10" s="1226"/>
      <c r="N10" s="1222"/>
      <c r="P10" s="911"/>
      <c r="Q10" s="911"/>
      <c r="R10" s="911"/>
      <c r="S10" s="911"/>
      <c r="T10" s="911"/>
      <c r="U10" s="911"/>
      <c r="V10" s="911"/>
      <c r="W10" s="911"/>
      <c r="X10" s="911"/>
      <c r="Y10" s="911"/>
      <c r="Z10" s="911"/>
      <c r="AB10" s="1499"/>
      <c r="AC10" s="1499"/>
      <c r="AD10" s="1499"/>
      <c r="AE10" s="1499"/>
      <c r="AF10" s="1499"/>
      <c r="AG10" s="1499"/>
      <c r="AH10" s="1499"/>
      <c r="AI10" s="1499"/>
      <c r="AJ10" s="1499"/>
      <c r="AK10" s="1499"/>
      <c r="AL10" s="1499"/>
    </row>
    <row r="11" spans="1:38" s="912" customFormat="1">
      <c r="A11" s="923"/>
      <c r="B11" s="923"/>
      <c r="C11" s="923"/>
      <c r="D11" s="923"/>
      <c r="E11" s="923"/>
      <c r="F11" s="923"/>
      <c r="G11" s="923"/>
      <c r="H11" s="923"/>
      <c r="I11" s="923"/>
      <c r="J11" s="923"/>
      <c r="K11" s="923"/>
      <c r="L11" s="911"/>
      <c r="M11" s="1226"/>
      <c r="N11" s="1222"/>
      <c r="P11" s="923"/>
      <c r="Q11" s="923"/>
      <c r="R11" s="923"/>
      <c r="S11" s="923"/>
      <c r="T11" s="923"/>
      <c r="U11" s="923"/>
      <c r="V11" s="923"/>
      <c r="W11" s="923"/>
      <c r="X11" s="923"/>
      <c r="Y11" s="923"/>
      <c r="Z11" s="923"/>
      <c r="AB11" s="1500"/>
      <c r="AC11" s="1500"/>
      <c r="AD11" s="1500"/>
      <c r="AE11" s="1500"/>
      <c r="AF11" s="1500"/>
      <c r="AG11" s="1500"/>
      <c r="AH11" s="1500"/>
      <c r="AI11" s="1500"/>
      <c r="AJ11" s="1500"/>
      <c r="AK11" s="1500"/>
      <c r="AL11" s="1500"/>
    </row>
    <row r="12" spans="1:38" s="26" customFormat="1" ht="15.75">
      <c r="A12" s="74" t="str">
        <f>IF('Mode Opératoire'!$I$1="Français",+Equipement!P12,Equipement!AB12)</f>
        <v>Détail des équipements d'exploitation :</v>
      </c>
      <c r="B12" s="36"/>
      <c r="C12" s="36"/>
      <c r="D12" s="36"/>
      <c r="E12" s="36"/>
      <c r="F12" s="37"/>
      <c r="G12" s="36"/>
      <c r="H12" s="38"/>
      <c r="I12" s="36"/>
      <c r="J12" s="36"/>
      <c r="K12" s="39"/>
      <c r="L12" s="53"/>
      <c r="M12" s="931"/>
      <c r="N12" s="1227"/>
      <c r="P12" s="74" t="s">
        <v>915</v>
      </c>
      <c r="Q12" s="36"/>
      <c r="R12" s="36"/>
      <c r="S12" s="36"/>
      <c r="T12" s="36"/>
      <c r="U12" s="37"/>
      <c r="V12" s="36"/>
      <c r="W12" s="38"/>
      <c r="X12" s="36"/>
      <c r="Y12" s="36"/>
      <c r="Z12" s="39"/>
      <c r="AB12" s="1501" t="s">
        <v>917</v>
      </c>
      <c r="AC12" s="1502"/>
      <c r="AD12" s="1502"/>
      <c r="AE12" s="1502"/>
      <c r="AF12" s="1502"/>
      <c r="AG12" s="1503"/>
      <c r="AH12" s="1502"/>
      <c r="AI12" s="1504"/>
      <c r="AJ12" s="1502"/>
      <c r="AK12" s="1502"/>
      <c r="AL12" s="1505"/>
    </row>
    <row r="13" spans="1:38" s="912" customFormat="1">
      <c r="A13" s="928"/>
      <c r="B13" s="929"/>
      <c r="C13" s="929"/>
      <c r="D13" s="929"/>
      <c r="E13" s="929"/>
      <c r="F13" s="929"/>
      <c r="G13" s="929"/>
      <c r="H13" s="929"/>
      <c r="I13" s="929"/>
      <c r="J13" s="929"/>
      <c r="K13" s="929"/>
      <c r="L13" s="911"/>
      <c r="M13" s="1226"/>
      <c r="N13" s="1226"/>
      <c r="P13" s="928"/>
      <c r="Q13" s="929"/>
      <c r="R13" s="929"/>
      <c r="S13" s="929"/>
      <c r="T13" s="929"/>
      <c r="U13" s="929"/>
      <c r="V13" s="929"/>
      <c r="W13" s="929"/>
      <c r="X13" s="929"/>
      <c r="Y13" s="929"/>
      <c r="Z13" s="929"/>
      <c r="AB13" s="1506"/>
      <c r="AC13" s="1507"/>
      <c r="AD13" s="1507"/>
      <c r="AE13" s="1507"/>
      <c r="AF13" s="1507"/>
      <c r="AG13" s="1507"/>
      <c r="AH13" s="1507"/>
      <c r="AI13" s="1507"/>
      <c r="AJ13" s="1507"/>
      <c r="AK13" s="1507"/>
      <c r="AL13" s="1507"/>
    </row>
    <row r="14" spans="1:38" s="912" customFormat="1">
      <c r="A14" s="930"/>
      <c r="B14" s="911"/>
      <c r="C14" s="911"/>
      <c r="D14" s="911"/>
      <c r="E14" s="911"/>
      <c r="F14" s="911"/>
      <c r="G14" s="911"/>
      <c r="H14" s="911"/>
      <c r="I14" s="911"/>
      <c r="J14" s="911"/>
      <c r="K14" s="911"/>
      <c r="L14" s="911"/>
      <c r="M14" s="1226" t="s">
        <v>528</v>
      </c>
      <c r="N14" s="1222"/>
      <c r="P14" s="930"/>
      <c r="Q14" s="911"/>
      <c r="R14" s="911"/>
      <c r="S14" s="911"/>
      <c r="T14" s="911"/>
      <c r="U14" s="911"/>
      <c r="V14" s="911"/>
      <c r="W14" s="911"/>
      <c r="X14" s="911"/>
      <c r="Y14" s="911"/>
      <c r="Z14" s="911"/>
      <c r="AB14" s="1508"/>
      <c r="AC14" s="1499"/>
      <c r="AD14" s="1499"/>
      <c r="AE14" s="1499"/>
      <c r="AF14" s="1499"/>
      <c r="AG14" s="1499"/>
      <c r="AH14" s="1499"/>
      <c r="AI14" s="1499"/>
      <c r="AJ14" s="1499"/>
      <c r="AK14" s="1499"/>
      <c r="AL14" s="1499"/>
    </row>
    <row r="15" spans="1:38" s="22" customFormat="1" ht="15.75">
      <c r="A15" s="931"/>
      <c r="B15" s="931"/>
      <c r="C15" s="931"/>
      <c r="D15" s="931"/>
      <c r="E15" s="1759" t="str">
        <f>IF('Mode Opératoire'!$I$1="Français",+Equipement!T15,Equipement!AF15)</f>
        <v>Achat</v>
      </c>
      <c r="F15" s="1760"/>
      <c r="G15" s="1761" t="str">
        <f>IF('Mode Opératoire'!$I$1="Français",+Equipement!V15,Equipement!AH15)</f>
        <v>Location</v>
      </c>
      <c r="H15" s="1762"/>
      <c r="I15" s="1763"/>
      <c r="J15" s="1764"/>
      <c r="K15" s="1235"/>
      <c r="M15" s="3166" t="s">
        <v>529</v>
      </c>
      <c r="N15" s="3166"/>
      <c r="P15" s="931"/>
      <c r="Q15" s="931"/>
      <c r="R15" s="931"/>
      <c r="S15" s="931"/>
      <c r="T15" s="55" t="s">
        <v>483</v>
      </c>
      <c r="U15" s="56"/>
      <c r="V15" s="3167" t="s">
        <v>321</v>
      </c>
      <c r="W15" s="3168"/>
      <c r="X15" s="3168"/>
      <c r="Y15" s="3169"/>
      <c r="Z15" s="932"/>
      <c r="AB15" s="1509"/>
      <c r="AC15" s="1509"/>
      <c r="AD15" s="1509"/>
      <c r="AE15" s="1509"/>
      <c r="AF15" s="1510" t="s">
        <v>755</v>
      </c>
      <c r="AG15" s="1511"/>
      <c r="AH15" s="1512" t="s">
        <v>756</v>
      </c>
      <c r="AI15" s="1513"/>
      <c r="AJ15" s="1754"/>
      <c r="AK15" s="1754"/>
      <c r="AL15" s="1514"/>
    </row>
    <row r="16" spans="1:38" s="1233" customFormat="1" ht="25.5">
      <c r="A16" s="1236" t="str">
        <f>IF('Mode Opératoire'!$I$1="Français",+Equipement!P16,Equipement!AB16)</f>
        <v>Nature de l'équipement</v>
      </c>
      <c r="B16" s="1237" t="str">
        <f>IF('Mode Opératoire'!$I$1="Français",+Equipement!Q16,Equipement!AC16)</f>
        <v>Valeur d'achat
€</v>
      </c>
      <c r="C16" s="1237" t="str">
        <f>IF('Mode Opératoire'!$I$1="Français",+Equipement!R16,Equipement!AD16)</f>
        <v>Quantité</v>
      </c>
      <c r="D16" s="1237" t="str">
        <f>IF('Mode Opératoire'!$I$1="Français",+Equipement!S16,Equipement!AE16)</f>
        <v>Valeur totale
€</v>
      </c>
      <c r="E16" s="1758" t="str">
        <f>IF('Mode Opératoire'!$I$1="Français",+Equipement!T16,Equipement!AF16)</f>
        <v>Durée Amortissement</v>
      </c>
      <c r="F16" s="1758" t="str">
        <f>IF('Mode Opératoire'!$I$1="Français",+Equipement!U16,Equipement!AG16)</f>
        <v>Amort. Annuel
€</v>
      </c>
      <c r="G16" s="1758" t="str">
        <f>IF('Mode Opératoire'!$I$1="Français",+Equipement!V16,Equipement!AH16)</f>
        <v xml:space="preserve">Durée du contrat </v>
      </c>
      <c r="H16" s="1758" t="str">
        <f>IF('Mode Opératoire'!$I$1="Français",+Equipement!W16,Equipement!AI16)</f>
        <v>Loyer annuel
€</v>
      </c>
      <c r="I16" s="1758" t="str">
        <f>IF('Mode Opératoire'!$I$1="Français",+Equipement!X16,Equipement!AJ16)</f>
        <v>Option de résiliation</v>
      </c>
      <c r="J16" s="1758" t="str">
        <f>IF('Mode Opératoire'!$I$1="Français",+Equipement!Y16,Equipement!AK16)</f>
        <v>Pénalités de sorties</v>
      </c>
      <c r="K16" s="1238" t="str">
        <f>IF('Mode Opératoire'!$I$1="Français",+Equipement!Z16,Equipement!AL16)</f>
        <v>Date de mise en service</v>
      </c>
      <c r="M16" s="1234"/>
      <c r="N16" s="1234"/>
      <c r="P16" s="1230" t="s">
        <v>484</v>
      </c>
      <c r="Q16" s="1231" t="s">
        <v>543</v>
      </c>
      <c r="R16" s="1229" t="s">
        <v>485</v>
      </c>
      <c r="S16" s="1229" t="s">
        <v>545</v>
      </c>
      <c r="T16" s="1229" t="s">
        <v>486</v>
      </c>
      <c r="U16" s="1229" t="s">
        <v>546</v>
      </c>
      <c r="V16" s="1229" t="s">
        <v>487</v>
      </c>
      <c r="W16" s="1229" t="s">
        <v>544</v>
      </c>
      <c r="X16" s="1751" t="s">
        <v>1004</v>
      </c>
      <c r="Y16" s="1751" t="s">
        <v>1001</v>
      </c>
      <c r="Z16" s="1232" t="s">
        <v>74</v>
      </c>
      <c r="AB16" s="1515" t="s">
        <v>757</v>
      </c>
      <c r="AC16" s="1516" t="s">
        <v>754</v>
      </c>
      <c r="AD16" s="1517" t="s">
        <v>748</v>
      </c>
      <c r="AE16" s="1517" t="s">
        <v>753</v>
      </c>
      <c r="AF16" s="1517" t="s">
        <v>752</v>
      </c>
      <c r="AG16" s="1517" t="s">
        <v>751</v>
      </c>
      <c r="AH16" s="1517" t="s">
        <v>750</v>
      </c>
      <c r="AI16" s="1517" t="s">
        <v>749</v>
      </c>
      <c r="AJ16" s="1755" t="s">
        <v>1002</v>
      </c>
      <c r="AK16" s="1755" t="s">
        <v>1003</v>
      </c>
      <c r="AL16" s="1518" t="s">
        <v>679</v>
      </c>
    </row>
    <row r="17" spans="1:38" s="912" customFormat="1">
      <c r="A17" s="908"/>
      <c r="B17" s="909"/>
      <c r="C17" s="910"/>
      <c r="D17" s="910"/>
      <c r="E17" s="910"/>
      <c r="F17" s="908"/>
      <c r="G17" s="911"/>
      <c r="H17" s="908"/>
      <c r="I17" s="910"/>
      <c r="J17" s="910"/>
      <c r="K17" s="910"/>
      <c r="M17" s="1222"/>
      <c r="N17" s="1222"/>
      <c r="P17" s="908"/>
      <c r="Q17" s="909"/>
      <c r="R17" s="910"/>
      <c r="S17" s="910"/>
      <c r="T17" s="910"/>
      <c r="U17" s="908"/>
      <c r="V17" s="911"/>
      <c r="W17" s="908"/>
      <c r="X17" s="910"/>
      <c r="Y17" s="910"/>
      <c r="Z17" s="910"/>
      <c r="AB17" s="1519"/>
      <c r="AC17" s="1520"/>
      <c r="AD17" s="1521"/>
      <c r="AE17" s="1521"/>
      <c r="AF17" s="1521"/>
      <c r="AG17" s="1519"/>
      <c r="AH17" s="1499"/>
      <c r="AI17" s="1519"/>
      <c r="AJ17" s="1521"/>
      <c r="AK17" s="1521"/>
      <c r="AL17" s="1521"/>
    </row>
    <row r="18" spans="1:38" s="912" customFormat="1">
      <c r="A18" s="913" t="str">
        <f>IF('Mode Opératoire'!$I$1="Français",+Equipement!P18,Equipement!AB18)</f>
        <v xml:space="preserve"> Racks</v>
      </c>
      <c r="B18" s="914"/>
      <c r="C18" s="915"/>
      <c r="D18" s="1048">
        <f>+C18*B18</f>
        <v>0</v>
      </c>
      <c r="E18" s="915"/>
      <c r="F18" s="1049">
        <f>IF(E18=0,0,ROUND(D18/E18,0))</f>
        <v>0</v>
      </c>
      <c r="G18" s="916"/>
      <c r="H18" s="914"/>
      <c r="I18" s="915"/>
      <c r="J18" s="915"/>
      <c r="K18" s="915"/>
      <c r="M18" s="1222">
        <f>IF(G18=0,+D18,0)</f>
        <v>0</v>
      </c>
      <c r="N18" s="1222">
        <f>IF(G18&gt;0,+G18*H18,0)</f>
        <v>0</v>
      </c>
      <c r="P18" s="913" t="s">
        <v>114</v>
      </c>
      <c r="Q18" s="914"/>
      <c r="R18" s="915"/>
      <c r="S18" s="1048">
        <f>+R18*Q18</f>
        <v>0</v>
      </c>
      <c r="T18" s="915"/>
      <c r="U18" s="1049">
        <f>IF(T18=0,0,ROUND(S18/T18,0))</f>
        <v>0</v>
      </c>
      <c r="V18" s="916"/>
      <c r="W18" s="914"/>
      <c r="X18" s="915"/>
      <c r="Y18" s="915"/>
      <c r="Z18" s="915"/>
      <c r="AB18" s="1522" t="s">
        <v>814</v>
      </c>
      <c r="AC18" s="1523"/>
      <c r="AD18" s="1524"/>
      <c r="AE18" s="1524">
        <f>+AD18*AC18</f>
        <v>0</v>
      </c>
      <c r="AF18" s="1524"/>
      <c r="AG18" s="1523">
        <f>IF(AF18=0,0,ROUND(AE18/AF18,0))</f>
        <v>0</v>
      </c>
      <c r="AH18" s="1525"/>
      <c r="AI18" s="1523"/>
      <c r="AJ18" s="1524"/>
      <c r="AK18" s="1524"/>
      <c r="AL18" s="1524"/>
    </row>
    <row r="19" spans="1:38" s="912" customFormat="1">
      <c r="A19" s="913"/>
      <c r="B19" s="914"/>
      <c r="C19" s="915"/>
      <c r="D19" s="915"/>
      <c r="E19" s="915"/>
      <c r="F19" s="914"/>
      <c r="G19" s="916"/>
      <c r="H19" s="914"/>
      <c r="I19" s="915"/>
      <c r="J19" s="915"/>
      <c r="K19" s="915"/>
      <c r="M19" s="1222"/>
      <c r="N19" s="1222"/>
      <c r="P19" s="913"/>
      <c r="Q19" s="914"/>
      <c r="R19" s="915"/>
      <c r="S19" s="915"/>
      <c r="T19" s="915"/>
      <c r="U19" s="914"/>
      <c r="V19" s="916"/>
      <c r="W19" s="914"/>
      <c r="X19" s="915"/>
      <c r="Y19" s="915"/>
      <c r="Z19" s="915"/>
      <c r="AB19" s="1522"/>
      <c r="AC19" s="1523"/>
      <c r="AD19" s="1524"/>
      <c r="AE19" s="1524"/>
      <c r="AF19" s="1524"/>
      <c r="AG19" s="1523"/>
      <c r="AH19" s="1525"/>
      <c r="AI19" s="1523"/>
      <c r="AJ19" s="1524"/>
      <c r="AK19" s="1524"/>
      <c r="AL19" s="1524"/>
    </row>
    <row r="20" spans="1:38" s="912" customFormat="1">
      <c r="A20" s="913" t="str">
        <f>IF('Mode Opératoire'!$I$1="Français",+Equipement!P20,Equipement!AB20)</f>
        <v xml:space="preserve"> Chariots</v>
      </c>
      <c r="B20" s="914"/>
      <c r="C20" s="915"/>
      <c r="D20" s="1048">
        <f>+C20*B20</f>
        <v>0</v>
      </c>
      <c r="E20" s="915"/>
      <c r="F20" s="1049">
        <f>IF(E20=0,0,ROUND(D20/E20,0))</f>
        <v>0</v>
      </c>
      <c r="G20" s="916"/>
      <c r="H20" s="914"/>
      <c r="I20" s="915"/>
      <c r="J20" s="915"/>
      <c r="K20" s="915"/>
      <c r="M20" s="1222">
        <f t="shared" ref="M20:M26" si="0">IF(G20=0,+D20,0)</f>
        <v>0</v>
      </c>
      <c r="N20" s="1222">
        <f>IF(G20&gt;0,+G20*H20,0)</f>
        <v>0</v>
      </c>
      <c r="P20" s="913" t="s">
        <v>115</v>
      </c>
      <c r="Q20" s="914"/>
      <c r="R20" s="915"/>
      <c r="S20" s="1048">
        <f>+R20*Q20</f>
        <v>0</v>
      </c>
      <c r="T20" s="915"/>
      <c r="U20" s="1049">
        <f>IF(T20=0,0,ROUND(S20/T20,0))</f>
        <v>0</v>
      </c>
      <c r="V20" s="916"/>
      <c r="W20" s="914"/>
      <c r="X20" s="915"/>
      <c r="Y20" s="915"/>
      <c r="Z20" s="915"/>
      <c r="AB20" s="1522" t="s">
        <v>761</v>
      </c>
      <c r="AC20" s="1523"/>
      <c r="AD20" s="1524"/>
      <c r="AE20" s="1524">
        <f>+AD20*AC20</f>
        <v>0</v>
      </c>
      <c r="AF20" s="1524"/>
      <c r="AG20" s="1523">
        <f>IF(AF20=0,0,ROUND(AE20/AF20,0))</f>
        <v>0</v>
      </c>
      <c r="AH20" s="1525"/>
      <c r="AI20" s="1523"/>
      <c r="AJ20" s="1524"/>
      <c r="AK20" s="1524"/>
      <c r="AL20" s="1524"/>
    </row>
    <row r="21" spans="1:38" s="912" customFormat="1" ht="14.25" customHeight="1">
      <c r="A21" s="913"/>
      <c r="B21" s="914"/>
      <c r="C21" s="915"/>
      <c r="D21" s="915"/>
      <c r="E21" s="915"/>
      <c r="F21" s="914"/>
      <c r="G21" s="916"/>
      <c r="H21" s="914"/>
      <c r="I21" s="915"/>
      <c r="J21" s="915"/>
      <c r="K21" s="915"/>
      <c r="M21" s="1222"/>
      <c r="N21" s="1222"/>
      <c r="P21" s="913"/>
      <c r="Q21" s="914"/>
      <c r="R21" s="915"/>
      <c r="S21" s="915"/>
      <c r="T21" s="915"/>
      <c r="U21" s="914"/>
      <c r="V21" s="916"/>
      <c r="W21" s="914"/>
      <c r="X21" s="915"/>
      <c r="Y21" s="915"/>
      <c r="Z21" s="915"/>
      <c r="AB21" s="1522"/>
      <c r="AC21" s="1523"/>
      <c r="AD21" s="1524"/>
      <c r="AE21" s="1524"/>
      <c r="AF21" s="1524"/>
      <c r="AG21" s="1523"/>
      <c r="AH21" s="1525"/>
      <c r="AI21" s="1523"/>
      <c r="AJ21" s="1524"/>
      <c r="AK21" s="1524"/>
      <c r="AL21" s="1524"/>
    </row>
    <row r="22" spans="1:38" s="912" customFormat="1" ht="14.25" customHeight="1">
      <c r="A22" s="913" t="str">
        <f>IF('Mode Opératoire'!$I$1="Français",+Equipement!P22,Equipement!AB22)</f>
        <v>Outillage</v>
      </c>
      <c r="B22" s="914"/>
      <c r="C22" s="915"/>
      <c r="D22" s="1048">
        <f>+C22*B22</f>
        <v>0</v>
      </c>
      <c r="E22" s="915"/>
      <c r="F22" s="1049">
        <f>IF(E22=0,0,ROUND(D22/E22,0))</f>
        <v>0</v>
      </c>
      <c r="G22" s="916"/>
      <c r="H22" s="914"/>
      <c r="I22" s="915"/>
      <c r="J22" s="915"/>
      <c r="K22" s="915"/>
      <c r="M22" s="1222">
        <f t="shared" si="0"/>
        <v>0</v>
      </c>
      <c r="N22" s="1222">
        <f>IF(G22&gt;0,+G22*H22,0)</f>
        <v>0</v>
      </c>
      <c r="P22" s="913" t="s">
        <v>116</v>
      </c>
      <c r="Q22" s="914"/>
      <c r="R22" s="915"/>
      <c r="S22" s="1048">
        <f>+R22*Q22</f>
        <v>0</v>
      </c>
      <c r="T22" s="915"/>
      <c r="U22" s="1049">
        <f>IF(T22=0,0,ROUND(S22/T22,0))</f>
        <v>0</v>
      </c>
      <c r="V22" s="916"/>
      <c r="W22" s="914"/>
      <c r="X22" s="915"/>
      <c r="Y22" s="915"/>
      <c r="Z22" s="915"/>
      <c r="AB22" s="1522" t="s">
        <v>762</v>
      </c>
      <c r="AC22" s="1523"/>
      <c r="AD22" s="1524"/>
      <c r="AE22" s="1524">
        <f>+AD22*AC22</f>
        <v>0</v>
      </c>
      <c r="AF22" s="1524"/>
      <c r="AG22" s="1523">
        <f>IF(AF22=0,0,ROUND(AE22/AF22,0))</f>
        <v>0</v>
      </c>
      <c r="AH22" s="1525"/>
      <c r="AI22" s="1523"/>
      <c r="AJ22" s="1524"/>
      <c r="AK22" s="1524"/>
      <c r="AL22" s="1524"/>
    </row>
    <row r="23" spans="1:38" s="912" customFormat="1" ht="14.25" customHeight="1">
      <c r="B23" s="908"/>
      <c r="C23" s="910"/>
      <c r="D23" s="910"/>
      <c r="E23" s="910"/>
      <c r="F23" s="908"/>
      <c r="G23" s="911"/>
      <c r="H23" s="908"/>
      <c r="I23" s="910"/>
      <c r="J23" s="910"/>
      <c r="K23" s="910"/>
      <c r="M23" s="1222"/>
      <c r="N23" s="1222"/>
      <c r="Q23" s="908"/>
      <c r="R23" s="910"/>
      <c r="S23" s="910"/>
      <c r="T23" s="910"/>
      <c r="U23" s="908"/>
      <c r="V23" s="911"/>
      <c r="W23" s="908"/>
      <c r="X23" s="910"/>
      <c r="Y23" s="910"/>
      <c r="Z23" s="910"/>
      <c r="AB23" s="1487"/>
      <c r="AC23" s="1519"/>
      <c r="AD23" s="1521"/>
      <c r="AE23" s="1521"/>
      <c r="AF23" s="1521"/>
      <c r="AG23" s="1519"/>
      <c r="AH23" s="1499"/>
      <c r="AI23" s="1519"/>
      <c r="AJ23" s="1521"/>
      <c r="AK23" s="1521"/>
      <c r="AL23" s="1521"/>
    </row>
    <row r="24" spans="1:38" s="912" customFormat="1" ht="14.25" customHeight="1">
      <c r="A24" s="1052" t="s">
        <v>1058</v>
      </c>
      <c r="B24" s="908"/>
      <c r="C24" s="910"/>
      <c r="D24" s="1048">
        <f>+C24*B24</f>
        <v>0</v>
      </c>
      <c r="E24" s="910"/>
      <c r="F24" s="1049">
        <f>IF(E24=0,0,ROUND(D24/E24,0))</f>
        <v>0</v>
      </c>
      <c r="G24" s="911"/>
      <c r="H24" s="908"/>
      <c r="I24" s="910"/>
      <c r="J24" s="910"/>
      <c r="K24" s="910"/>
      <c r="M24" s="1222">
        <f t="shared" si="0"/>
        <v>0</v>
      </c>
      <c r="N24" s="1222">
        <f>IF(G24&gt;0,+G24*H24,0)</f>
        <v>0</v>
      </c>
      <c r="P24" s="1052" t="s">
        <v>488</v>
      </c>
      <c r="Q24" s="908"/>
      <c r="R24" s="910"/>
      <c r="S24" s="1048">
        <f>+R24*Q24</f>
        <v>0</v>
      </c>
      <c r="T24" s="910"/>
      <c r="U24" s="1049">
        <f>IF(T24=0,0,ROUND(S24/T24,0))</f>
        <v>0</v>
      </c>
      <c r="V24" s="911"/>
      <c r="W24" s="908"/>
      <c r="X24" s="910"/>
      <c r="Y24" s="910"/>
      <c r="Z24" s="910"/>
      <c r="AB24" s="1526" t="s">
        <v>488</v>
      </c>
      <c r="AC24" s="1519"/>
      <c r="AD24" s="1521"/>
      <c r="AE24" s="1524">
        <f>+AD24*AC24</f>
        <v>0</v>
      </c>
      <c r="AF24" s="1521"/>
      <c r="AG24" s="1523">
        <f>IF(AF24=0,0,ROUND(AE24/AF24,0))</f>
        <v>0</v>
      </c>
      <c r="AH24" s="1499"/>
      <c r="AI24" s="1519"/>
      <c r="AJ24" s="1521"/>
      <c r="AK24" s="1521"/>
      <c r="AL24" s="1521"/>
    </row>
    <row r="25" spans="1:38" s="912" customFormat="1" ht="14.25" customHeight="1">
      <c r="A25" s="908"/>
      <c r="B25" s="908"/>
      <c r="C25" s="910"/>
      <c r="D25" s="910"/>
      <c r="E25" s="908"/>
      <c r="F25" s="908"/>
      <c r="G25" s="910"/>
      <c r="H25" s="908"/>
      <c r="I25" s="910"/>
      <c r="J25" s="910"/>
      <c r="K25" s="910"/>
      <c r="M25" s="1222"/>
      <c r="N25" s="1222"/>
      <c r="P25" s="908"/>
      <c r="Q25" s="908"/>
      <c r="R25" s="910"/>
      <c r="S25" s="910"/>
      <c r="T25" s="908"/>
      <c r="U25" s="908"/>
      <c r="V25" s="910"/>
      <c r="W25" s="908"/>
      <c r="X25" s="910"/>
      <c r="Y25" s="910"/>
      <c r="Z25" s="910"/>
      <c r="AB25" s="1519"/>
      <c r="AC25" s="1519"/>
      <c r="AD25" s="1521"/>
      <c r="AE25" s="1521"/>
      <c r="AF25" s="1519"/>
      <c r="AG25" s="1519"/>
      <c r="AH25" s="1521"/>
      <c r="AI25" s="1519"/>
      <c r="AJ25" s="1521"/>
      <c r="AK25" s="1521"/>
      <c r="AL25" s="1521"/>
    </row>
    <row r="26" spans="1:38" s="912" customFormat="1" ht="14.25" customHeight="1">
      <c r="A26" s="1053" t="s">
        <v>542</v>
      </c>
      <c r="B26" s="917"/>
      <c r="C26" s="917"/>
      <c r="D26" s="1050">
        <f>+C26*B26</f>
        <v>0</v>
      </c>
      <c r="E26" s="917"/>
      <c r="F26" s="1051">
        <f>IF(E26=0,0,ROUND(D26/E26,0))</f>
        <v>0</v>
      </c>
      <c r="G26" s="917"/>
      <c r="H26" s="917"/>
      <c r="I26" s="918"/>
      <c r="J26" s="918"/>
      <c r="K26" s="918"/>
      <c r="M26" s="1222">
        <f t="shared" si="0"/>
        <v>0</v>
      </c>
      <c r="N26" s="1222">
        <f>IF(G26&gt;0,+G26*H26,0)</f>
        <v>0</v>
      </c>
      <c r="P26" s="1053" t="s">
        <v>542</v>
      </c>
      <c r="Q26" s="917"/>
      <c r="R26" s="917"/>
      <c r="S26" s="1050">
        <f>+R26*Q26</f>
        <v>0</v>
      </c>
      <c r="T26" s="917"/>
      <c r="U26" s="1051">
        <f>IF(T26=0,0,ROUND(S26/T26,0))</f>
        <v>0</v>
      </c>
      <c r="V26" s="917"/>
      <c r="W26" s="917"/>
      <c r="X26" s="918"/>
      <c r="Y26" s="918"/>
      <c r="Z26" s="918"/>
      <c r="AB26" s="1527" t="s">
        <v>542</v>
      </c>
      <c r="AC26" s="1528"/>
      <c r="AD26" s="1528"/>
      <c r="AE26" s="1529">
        <f>+AD26*AC26</f>
        <v>0</v>
      </c>
      <c r="AF26" s="1528"/>
      <c r="AG26" s="1530">
        <f>IF(AF26=0,0,ROUND(AE26/AF26,0))</f>
        <v>0</v>
      </c>
      <c r="AH26" s="1528"/>
      <c r="AI26" s="1528"/>
      <c r="AJ26" s="1531"/>
      <c r="AK26" s="1531"/>
      <c r="AL26" s="1531"/>
    </row>
    <row r="27" spans="1:38" s="912" customFormat="1" ht="14.25" customHeight="1">
      <c r="A27" s="920"/>
      <c r="B27" s="911"/>
      <c r="C27" s="911"/>
      <c r="D27" s="911"/>
      <c r="E27" s="911"/>
      <c r="F27" s="911"/>
      <c r="G27" s="911"/>
      <c r="H27" s="911"/>
      <c r="I27" s="911"/>
      <c r="J27" s="911"/>
      <c r="K27" s="910"/>
      <c r="M27" s="1222"/>
      <c r="N27" s="1222"/>
      <c r="P27" s="920"/>
      <c r="Q27" s="911"/>
      <c r="R27" s="911"/>
      <c r="S27" s="911"/>
      <c r="T27" s="911"/>
      <c r="U27" s="911"/>
      <c r="V27" s="911"/>
      <c r="W27" s="911"/>
      <c r="X27" s="911"/>
      <c r="Y27" s="911"/>
      <c r="Z27" s="910"/>
      <c r="AB27" s="1532"/>
      <c r="AC27" s="1499"/>
      <c r="AD27" s="1499"/>
      <c r="AE27" s="1499"/>
      <c r="AF27" s="1499"/>
      <c r="AG27" s="1499"/>
      <c r="AH27" s="1499"/>
      <c r="AI27" s="1499"/>
      <c r="AJ27" s="1499"/>
      <c r="AK27" s="1499"/>
      <c r="AL27" s="1521"/>
    </row>
    <row r="28" spans="1:38" s="912" customFormat="1" ht="14.25" customHeight="1">
      <c r="A28" s="920"/>
      <c r="B28" s="911"/>
      <c r="C28" s="911"/>
      <c r="D28" s="911"/>
      <c r="E28" s="911"/>
      <c r="F28" s="911"/>
      <c r="G28" s="911"/>
      <c r="H28" s="911"/>
      <c r="I28" s="911"/>
      <c r="J28" s="911"/>
      <c r="K28" s="910"/>
      <c r="M28" s="1222"/>
      <c r="N28" s="1222"/>
      <c r="P28" s="920"/>
      <c r="Q28" s="911"/>
      <c r="R28" s="911"/>
      <c r="S28" s="911"/>
      <c r="T28" s="911"/>
      <c r="U28" s="911"/>
      <c r="V28" s="911"/>
      <c r="W28" s="911"/>
      <c r="X28" s="911"/>
      <c r="Y28" s="911"/>
      <c r="Z28" s="910"/>
      <c r="AB28" s="1532"/>
      <c r="AC28" s="1499"/>
      <c r="AD28" s="1499"/>
      <c r="AE28" s="1499"/>
      <c r="AF28" s="1499"/>
      <c r="AG28" s="1499"/>
      <c r="AH28" s="1499"/>
      <c r="AI28" s="1499"/>
      <c r="AJ28" s="1499"/>
      <c r="AK28" s="1499"/>
      <c r="AL28" s="1521"/>
    </row>
    <row r="29" spans="1:38" s="912" customFormat="1" ht="14.25" customHeight="1">
      <c r="A29" s="920"/>
      <c r="B29" s="911"/>
      <c r="C29" s="911"/>
      <c r="D29" s="911"/>
      <c r="E29" s="911"/>
      <c r="F29" s="911"/>
      <c r="G29" s="911"/>
      <c r="H29" s="911"/>
      <c r="I29" s="911"/>
      <c r="J29" s="911"/>
      <c r="K29" s="910"/>
      <c r="M29" s="1222"/>
      <c r="N29" s="1222"/>
      <c r="P29" s="920"/>
      <c r="Q29" s="911"/>
      <c r="R29" s="911"/>
      <c r="S29" s="911"/>
      <c r="T29" s="911"/>
      <c r="U29" s="911"/>
      <c r="V29" s="911"/>
      <c r="W29" s="911"/>
      <c r="X29" s="911"/>
      <c r="Y29" s="911"/>
      <c r="Z29" s="910"/>
      <c r="AB29" s="1532"/>
      <c r="AC29" s="1499"/>
      <c r="AD29" s="1499"/>
      <c r="AE29" s="1499"/>
      <c r="AF29" s="1499"/>
      <c r="AG29" s="1499"/>
      <c r="AH29" s="1499"/>
      <c r="AI29" s="1499"/>
      <c r="AJ29" s="1499"/>
      <c r="AK29" s="1499"/>
      <c r="AL29" s="1521"/>
    </row>
    <row r="30" spans="1:38" s="912" customFormat="1" ht="14.25" customHeight="1">
      <c r="A30" s="920"/>
      <c r="B30" s="911"/>
      <c r="C30" s="911"/>
      <c r="D30" s="911"/>
      <c r="E30" s="911"/>
      <c r="F30" s="911"/>
      <c r="G30" s="911"/>
      <c r="H30" s="911"/>
      <c r="I30" s="911"/>
      <c r="J30" s="911"/>
      <c r="K30" s="910"/>
      <c r="M30" s="1222"/>
      <c r="N30" s="1222"/>
      <c r="P30" s="920"/>
      <c r="Q30" s="911"/>
      <c r="R30" s="911"/>
      <c r="S30" s="911"/>
      <c r="T30" s="911"/>
      <c r="U30" s="911"/>
      <c r="V30" s="911"/>
      <c r="W30" s="911"/>
      <c r="X30" s="911"/>
      <c r="Y30" s="911"/>
      <c r="Z30" s="910"/>
      <c r="AB30" s="1532"/>
      <c r="AC30" s="1499"/>
      <c r="AD30" s="1499"/>
      <c r="AE30" s="1499"/>
      <c r="AF30" s="1499"/>
      <c r="AG30" s="1499"/>
      <c r="AH30" s="1499"/>
      <c r="AI30" s="1499"/>
      <c r="AJ30" s="1499"/>
      <c r="AK30" s="1499"/>
      <c r="AL30" s="1521"/>
    </row>
    <row r="31" spans="1:38" s="26" customFormat="1" ht="15.75">
      <c r="A31" s="74" t="str">
        <f>IF('Mode Opératoire'!$I$1="Français",+Equipement!P31,Equipement!AB31)</f>
        <v>Détail des équipements mobilier de bureau et divers:</v>
      </c>
      <c r="B31" s="1228"/>
      <c r="C31" s="36"/>
      <c r="D31" s="36"/>
      <c r="E31" s="36"/>
      <c r="F31" s="37"/>
      <c r="G31" s="36"/>
      <c r="H31" s="38"/>
      <c r="I31" s="36"/>
      <c r="J31" s="36"/>
      <c r="K31" s="39"/>
      <c r="L31" s="53"/>
      <c r="M31" s="931"/>
      <c r="N31" s="1227"/>
      <c r="P31" s="74" t="s">
        <v>916</v>
      </c>
      <c r="Q31" s="1055"/>
      <c r="R31" s="36"/>
      <c r="S31" s="36"/>
      <c r="T31" s="36"/>
      <c r="U31" s="37"/>
      <c r="V31" s="36"/>
      <c r="W31" s="38"/>
      <c r="X31" s="36"/>
      <c r="Y31" s="36"/>
      <c r="Z31" s="39"/>
      <c r="AB31" s="1501" t="s">
        <v>918</v>
      </c>
      <c r="AC31" s="1502"/>
      <c r="AD31" s="1502"/>
      <c r="AE31" s="1502"/>
      <c r="AF31" s="1502"/>
      <c r="AG31" s="1503"/>
      <c r="AH31" s="1502"/>
      <c r="AI31" s="1504"/>
      <c r="AJ31" s="1502"/>
      <c r="AK31" s="1502"/>
      <c r="AL31" s="1505"/>
    </row>
    <row r="32" spans="1:38" s="22" customFormat="1">
      <c r="A32" s="54"/>
      <c r="B32" s="34"/>
      <c r="C32" s="34"/>
      <c r="D32" s="34"/>
      <c r="E32" s="34"/>
      <c r="F32" s="34"/>
      <c r="G32" s="34"/>
      <c r="H32" s="34"/>
      <c r="I32" s="34"/>
      <c r="J32" s="34"/>
      <c r="K32" s="50"/>
      <c r="L32" s="24"/>
      <c r="M32" s="1226"/>
      <c r="N32" s="1226"/>
      <c r="P32" s="54"/>
      <c r="Q32" s="34"/>
      <c r="R32" s="34"/>
      <c r="S32" s="34"/>
      <c r="T32" s="34"/>
      <c r="U32" s="34"/>
      <c r="V32" s="34"/>
      <c r="W32" s="34"/>
      <c r="X32" s="34"/>
      <c r="Y32" s="34"/>
      <c r="Z32" s="50"/>
      <c r="AB32" s="1506"/>
      <c r="AC32" s="1507"/>
      <c r="AD32" s="1507"/>
      <c r="AE32" s="1507"/>
      <c r="AF32" s="1507"/>
      <c r="AG32" s="1507"/>
      <c r="AH32" s="1507"/>
      <c r="AI32" s="1507"/>
      <c r="AJ32" s="1507"/>
      <c r="AK32" s="1507"/>
      <c r="AL32" s="1533"/>
    </row>
    <row r="33" spans="1:38" s="22" customFormat="1">
      <c r="A33" s="51"/>
      <c r="B33" s="24"/>
      <c r="C33" s="24"/>
      <c r="D33" s="24"/>
      <c r="E33" s="24"/>
      <c r="F33" s="24"/>
      <c r="G33" s="24"/>
      <c r="H33" s="24"/>
      <c r="I33" s="24"/>
      <c r="J33" s="24"/>
      <c r="K33" s="25"/>
      <c r="L33" s="24"/>
      <c r="M33" s="1226"/>
      <c r="N33" s="1222"/>
      <c r="P33" s="51"/>
      <c r="Q33" s="24"/>
      <c r="R33" s="24"/>
      <c r="S33" s="24"/>
      <c r="T33" s="24"/>
      <c r="U33" s="24"/>
      <c r="V33" s="24"/>
      <c r="W33" s="24"/>
      <c r="X33" s="24"/>
      <c r="Y33" s="24"/>
      <c r="Z33" s="25"/>
      <c r="AB33" s="1508"/>
      <c r="AC33" s="1499"/>
      <c r="AD33" s="1499"/>
      <c r="AE33" s="1499"/>
      <c r="AF33" s="1499"/>
      <c r="AG33" s="1499"/>
      <c r="AH33" s="1499"/>
      <c r="AI33" s="1499"/>
      <c r="AJ33" s="1499"/>
      <c r="AK33" s="1499"/>
      <c r="AL33" s="1521"/>
    </row>
    <row r="34" spans="1:38" s="22" customFormat="1" ht="15.75">
      <c r="A34" s="62"/>
      <c r="B34" s="62"/>
      <c r="C34" s="62"/>
      <c r="D34" s="62"/>
      <c r="E34" s="1759" t="str">
        <f>IF('Mode Opératoire'!$I$1="Français",+Equipement!T34,Equipement!AF34)</f>
        <v>Achat</v>
      </c>
      <c r="F34" s="1760"/>
      <c r="G34" s="1761" t="str">
        <f>IF('Mode Opératoire'!$I$1="Français",+Equipement!V34,Equipement!AH34)</f>
        <v>Location</v>
      </c>
      <c r="H34" s="1762"/>
      <c r="I34" s="1763"/>
      <c r="J34" s="1764"/>
      <c r="K34" s="63"/>
      <c r="M34" s="1222"/>
      <c r="N34" s="1222"/>
      <c r="P34" s="62"/>
      <c r="Q34" s="62"/>
      <c r="R34" s="62"/>
      <c r="S34" s="62"/>
      <c r="T34" s="55" t="s">
        <v>483</v>
      </c>
      <c r="U34" s="56"/>
      <c r="V34" s="57" t="s">
        <v>321</v>
      </c>
      <c r="W34" s="58"/>
      <c r="X34" s="1750"/>
      <c r="Y34" s="1750"/>
      <c r="Z34" s="63"/>
      <c r="AB34" s="1509"/>
      <c r="AC34" s="1509"/>
      <c r="AD34" s="1509"/>
      <c r="AE34" s="1509"/>
      <c r="AF34" s="1510" t="s">
        <v>755</v>
      </c>
      <c r="AG34" s="1511"/>
      <c r="AH34" s="1512" t="s">
        <v>756</v>
      </c>
      <c r="AI34" s="1513"/>
      <c r="AJ34" s="1754"/>
      <c r="AK34" s="1754"/>
      <c r="AL34" s="1534"/>
    </row>
    <row r="35" spans="1:38" s="1233" customFormat="1" ht="25.5">
      <c r="A35" s="1230" t="str">
        <f>IF('Mode Opératoire'!$I$1="Français",+Equipement!P35,Equipement!AB35)</f>
        <v>Nature de l'équipement</v>
      </c>
      <c r="B35" s="1231" t="str">
        <f>IF('Mode Opératoire'!$I$1="Français",+Equipement!Q35,Equipement!AC35)</f>
        <v>Valeur d'achat
€</v>
      </c>
      <c r="C35" s="1229" t="str">
        <f>IF('Mode Opératoire'!$I$1="Français",+Equipement!R35,Equipement!AD35)</f>
        <v>Quantité</v>
      </c>
      <c r="D35" s="1229" t="str">
        <f>IF('Mode Opératoire'!$I$1="Français",+Equipement!S35,Equipement!AE35)</f>
        <v>Valeur totale
€</v>
      </c>
      <c r="E35" s="1229" t="str">
        <f>IF('Mode Opératoire'!$I$1="Français",+Equipement!T35,Equipement!AF35)</f>
        <v>Durée Amortissement</v>
      </c>
      <c r="F35" s="1229" t="str">
        <f>IF('Mode Opératoire'!$I$1="Français",+Equipement!U35,Equipement!AG35)</f>
        <v>Amort. Annuel
€</v>
      </c>
      <c r="G35" s="1229" t="str">
        <f>IF('Mode Opératoire'!$I$1="Français",+Equipement!V35,Equipement!AH35)</f>
        <v xml:space="preserve">Durée du contrat </v>
      </c>
      <c r="H35" s="1229" t="str">
        <f>IF('Mode Opératoire'!$I$1="Français",+Equipement!W35,Equipement!AI35)</f>
        <v>Loyer annuel
€</v>
      </c>
      <c r="I35" s="1758" t="str">
        <f>IF('Mode Opératoire'!$I$1="Français",+Equipement!X35,Equipement!AJ35)</f>
        <v>Option de résiliation</v>
      </c>
      <c r="J35" s="1758" t="str">
        <f>IF('Mode Opératoire'!$I$1="Français",+Equipement!Y35,Equipement!AK35)</f>
        <v>Pénalités de sorties</v>
      </c>
      <c r="K35" s="1232" t="str">
        <f>IF('Mode Opératoire'!$I$1="Français",+Equipement!Z35,Equipement!AL35)</f>
        <v>Date de mise en service</v>
      </c>
      <c r="M35" s="1234"/>
      <c r="N35" s="1234"/>
      <c r="P35" s="1230" t="s">
        <v>484</v>
      </c>
      <c r="Q35" s="1231" t="s">
        <v>543</v>
      </c>
      <c r="R35" s="1229" t="s">
        <v>485</v>
      </c>
      <c r="S35" s="1229" t="s">
        <v>545</v>
      </c>
      <c r="T35" s="1229" t="s">
        <v>486</v>
      </c>
      <c r="U35" s="1229" t="s">
        <v>546</v>
      </c>
      <c r="V35" s="1229" t="s">
        <v>487</v>
      </c>
      <c r="W35" s="1229" t="s">
        <v>544</v>
      </c>
      <c r="X35" s="1751" t="s">
        <v>1004</v>
      </c>
      <c r="Y35" s="1751" t="s">
        <v>1001</v>
      </c>
      <c r="Z35" s="1232" t="s">
        <v>74</v>
      </c>
      <c r="AB35" s="1515" t="s">
        <v>757</v>
      </c>
      <c r="AC35" s="1516" t="s">
        <v>754</v>
      </c>
      <c r="AD35" s="1517" t="s">
        <v>748</v>
      </c>
      <c r="AE35" s="1517" t="s">
        <v>753</v>
      </c>
      <c r="AF35" s="1517" t="s">
        <v>919</v>
      </c>
      <c r="AG35" s="1517" t="s">
        <v>751</v>
      </c>
      <c r="AH35" s="1517" t="s">
        <v>750</v>
      </c>
      <c r="AI35" s="1517" t="s">
        <v>749</v>
      </c>
      <c r="AJ35" s="1755" t="s">
        <v>1002</v>
      </c>
      <c r="AK35" s="1755" t="s">
        <v>1003</v>
      </c>
      <c r="AL35" s="1518" t="s">
        <v>679</v>
      </c>
    </row>
    <row r="36" spans="1:38" s="912" customFormat="1">
      <c r="A36" s="908"/>
      <c r="B36" s="909"/>
      <c r="C36" s="910"/>
      <c r="D36" s="910"/>
      <c r="E36" s="910"/>
      <c r="F36" s="908"/>
      <c r="G36" s="911"/>
      <c r="H36" s="908"/>
      <c r="I36" s="910"/>
      <c r="J36" s="910"/>
      <c r="K36" s="910"/>
      <c r="M36" s="1222"/>
      <c r="N36" s="1222"/>
      <c r="P36" s="908"/>
      <c r="Q36" s="909"/>
      <c r="R36" s="910"/>
      <c r="S36" s="910"/>
      <c r="T36" s="910"/>
      <c r="U36" s="908"/>
      <c r="V36" s="911"/>
      <c r="W36" s="908"/>
      <c r="X36" s="910"/>
      <c r="Y36" s="910"/>
      <c r="Z36" s="910"/>
      <c r="AB36" s="1519"/>
      <c r="AC36" s="1520"/>
      <c r="AD36" s="1521"/>
      <c r="AE36" s="1521"/>
      <c r="AF36" s="1521"/>
      <c r="AG36" s="1519"/>
      <c r="AH36" s="1499"/>
      <c r="AI36" s="1519"/>
      <c r="AJ36" s="1521"/>
      <c r="AK36" s="1521"/>
      <c r="AL36" s="1521"/>
    </row>
    <row r="37" spans="1:38" s="912" customFormat="1">
      <c r="A37" s="913" t="str">
        <f>IF('Mode Opératoire'!$I$1="Français",+Equipement!P37,Equipement!AB37)</f>
        <v>Badgeuse</v>
      </c>
      <c r="B37" s="914"/>
      <c r="C37" s="915"/>
      <c r="D37" s="1048">
        <f>+C37*B37</f>
        <v>0</v>
      </c>
      <c r="E37" s="915"/>
      <c r="F37" s="1049">
        <f>IF(E37=0,0,ROUND(D37/E37,0))</f>
        <v>0</v>
      </c>
      <c r="G37" s="916"/>
      <c r="H37" s="914"/>
      <c r="I37" s="915"/>
      <c r="J37" s="915"/>
      <c r="K37" s="910"/>
      <c r="M37" s="1222">
        <f t="shared" ref="M37" si="1">IF(G37=0,+D37,0)</f>
        <v>0</v>
      </c>
      <c r="N37" s="1222">
        <f>IF(G37&gt;0,+G37*H37,0)</f>
        <v>0</v>
      </c>
      <c r="P37" s="913" t="s">
        <v>489</v>
      </c>
      <c r="Q37" s="914"/>
      <c r="R37" s="915"/>
      <c r="S37" s="1048">
        <f>+R37*Q37</f>
        <v>0</v>
      </c>
      <c r="T37" s="915"/>
      <c r="U37" s="1049">
        <f>IF(T37=0,0,ROUND(S37/T37,0))</f>
        <v>0</v>
      </c>
      <c r="V37" s="916"/>
      <c r="W37" s="914"/>
      <c r="X37" s="915"/>
      <c r="Y37" s="915"/>
      <c r="Z37" s="910"/>
      <c r="AB37" s="1522" t="s">
        <v>812</v>
      </c>
      <c r="AC37" s="1523"/>
      <c r="AD37" s="1524"/>
      <c r="AE37" s="1524">
        <f>+AD37*AC37</f>
        <v>0</v>
      </c>
      <c r="AF37" s="1524"/>
      <c r="AG37" s="1523">
        <f>IF(AF37=0,0,ROUND(AE37/AF37,0))</f>
        <v>0</v>
      </c>
      <c r="AH37" s="1525"/>
      <c r="AI37" s="1523"/>
      <c r="AJ37" s="1524"/>
      <c r="AK37" s="1524"/>
      <c r="AL37" s="1521"/>
    </row>
    <row r="38" spans="1:38" s="912" customFormat="1">
      <c r="A38" s="913"/>
      <c r="B38" s="908"/>
      <c r="C38" s="910"/>
      <c r="D38" s="910"/>
      <c r="E38" s="910"/>
      <c r="F38" s="908"/>
      <c r="G38" s="911"/>
      <c r="H38" s="908"/>
      <c r="I38" s="910"/>
      <c r="J38" s="910"/>
      <c r="K38" s="910"/>
      <c r="M38" s="1222"/>
      <c r="N38" s="1222"/>
      <c r="P38" s="913"/>
      <c r="Q38" s="908"/>
      <c r="R38" s="910"/>
      <c r="S38" s="910"/>
      <c r="T38" s="910"/>
      <c r="U38" s="908"/>
      <c r="V38" s="911"/>
      <c r="W38" s="908"/>
      <c r="X38" s="910"/>
      <c r="Y38" s="910"/>
      <c r="Z38" s="910"/>
      <c r="AB38" s="1522"/>
      <c r="AC38" s="1519"/>
      <c r="AD38" s="1521"/>
      <c r="AE38" s="1521"/>
      <c r="AF38" s="1521"/>
      <c r="AG38" s="1519"/>
      <c r="AH38" s="1499"/>
      <c r="AI38" s="1519"/>
      <c r="AJ38" s="1521"/>
      <c r="AK38" s="1521"/>
      <c r="AL38" s="1521"/>
    </row>
    <row r="39" spans="1:38" s="912" customFormat="1">
      <c r="A39" s="913" t="str">
        <f>IF('Mode Opératoire'!$I$1="Français",+Equipement!P39,Equipement!AB39)</f>
        <v>Mobilier</v>
      </c>
      <c r="B39" s="914"/>
      <c r="C39" s="915"/>
      <c r="D39" s="1048">
        <f>+C39*B39</f>
        <v>0</v>
      </c>
      <c r="E39" s="915"/>
      <c r="F39" s="1049">
        <f>IF(E39=0,0,ROUND(D39/E39,0))</f>
        <v>0</v>
      </c>
      <c r="G39" s="916"/>
      <c r="H39" s="914"/>
      <c r="I39" s="915"/>
      <c r="J39" s="915"/>
      <c r="K39" s="910"/>
      <c r="M39" s="1222">
        <f t="shared" ref="M39" si="2">IF(G39=0,+D39,0)</f>
        <v>0</v>
      </c>
      <c r="N39" s="1222">
        <f>IF(G39&gt;0,+G39*H39,0)</f>
        <v>0</v>
      </c>
      <c r="P39" s="913" t="s">
        <v>490</v>
      </c>
      <c r="Q39" s="914"/>
      <c r="R39" s="915"/>
      <c r="S39" s="1048">
        <f>+R39*Q39</f>
        <v>0</v>
      </c>
      <c r="T39" s="915"/>
      <c r="U39" s="1049">
        <f>IF(T39=0,0,ROUND(S39/T39,0))</f>
        <v>0</v>
      </c>
      <c r="V39" s="916"/>
      <c r="W39" s="914"/>
      <c r="X39" s="915"/>
      <c r="Y39" s="915"/>
      <c r="Z39" s="910"/>
      <c r="AB39" s="1522" t="s">
        <v>760</v>
      </c>
      <c r="AC39" s="1523"/>
      <c r="AD39" s="1524"/>
      <c r="AE39" s="1524">
        <f>+AD39*AC39</f>
        <v>0</v>
      </c>
      <c r="AF39" s="1524"/>
      <c r="AG39" s="1523">
        <f>IF(AF39=0,0,ROUND(AE39/AF39,0))</f>
        <v>0</v>
      </c>
      <c r="AH39" s="1525"/>
      <c r="AI39" s="1523"/>
      <c r="AJ39" s="1524"/>
      <c r="AK39" s="1524"/>
      <c r="AL39" s="1521"/>
    </row>
    <row r="40" spans="1:38" s="912" customFormat="1" ht="14.25" customHeight="1">
      <c r="A40" s="913"/>
      <c r="B40" s="908"/>
      <c r="C40" s="910"/>
      <c r="D40" s="910"/>
      <c r="E40" s="910"/>
      <c r="F40" s="908"/>
      <c r="G40" s="911"/>
      <c r="H40" s="908"/>
      <c r="I40" s="910"/>
      <c r="J40" s="910"/>
      <c r="K40" s="910"/>
      <c r="M40" s="1222"/>
      <c r="N40" s="1222"/>
      <c r="P40" s="913"/>
      <c r="Q40" s="908"/>
      <c r="R40" s="910"/>
      <c r="S40" s="910"/>
      <c r="T40" s="910"/>
      <c r="U40" s="908"/>
      <c r="V40" s="911"/>
      <c r="W40" s="908"/>
      <c r="X40" s="910"/>
      <c r="Y40" s="910"/>
      <c r="Z40" s="910"/>
      <c r="AB40" s="1522"/>
      <c r="AC40" s="1519"/>
      <c r="AD40" s="1521"/>
      <c r="AE40" s="1521"/>
      <c r="AF40" s="1521"/>
      <c r="AG40" s="1519"/>
      <c r="AH40" s="1499"/>
      <c r="AI40" s="1519"/>
      <c r="AJ40" s="1521"/>
      <c r="AK40" s="1521"/>
      <c r="AL40" s="1521"/>
    </row>
    <row r="41" spans="1:38" s="912" customFormat="1" ht="14.25" customHeight="1">
      <c r="A41" s="1052" t="s">
        <v>488</v>
      </c>
      <c r="B41" s="908"/>
      <c r="C41" s="910"/>
      <c r="D41" s="1048">
        <f>+C41*B41</f>
        <v>0</v>
      </c>
      <c r="E41" s="910"/>
      <c r="F41" s="1049">
        <f>IF(E41=0,0,ROUND(D41/E41,0))</f>
        <v>0</v>
      </c>
      <c r="G41" s="911"/>
      <c r="H41" s="908"/>
      <c r="I41" s="910"/>
      <c r="J41" s="910"/>
      <c r="K41" s="910"/>
      <c r="M41" s="1222">
        <f t="shared" ref="M41" si="3">IF(G41=0,+D41,0)</f>
        <v>0</v>
      </c>
      <c r="N41" s="1222">
        <f>IF(G41&gt;0,+G41*H41,0)</f>
        <v>0</v>
      </c>
      <c r="P41" s="1052" t="s">
        <v>488</v>
      </c>
      <c r="Q41" s="908"/>
      <c r="R41" s="910"/>
      <c r="S41" s="1048">
        <f>+R41*Q41</f>
        <v>0</v>
      </c>
      <c r="T41" s="910"/>
      <c r="U41" s="1049">
        <f>IF(T41=0,0,ROUND(S41/T41,0))</f>
        <v>0</v>
      </c>
      <c r="V41" s="911"/>
      <c r="W41" s="908"/>
      <c r="X41" s="910"/>
      <c r="Y41" s="910"/>
      <c r="Z41" s="910"/>
      <c r="AB41" s="1526" t="s">
        <v>488</v>
      </c>
      <c r="AC41" s="1519"/>
      <c r="AD41" s="1521"/>
      <c r="AE41" s="1524">
        <f>+AD41*AC41</f>
        <v>0</v>
      </c>
      <c r="AF41" s="1521"/>
      <c r="AG41" s="1523">
        <f>IF(AF41=0,0,ROUND(AE41/AF41,0))</f>
        <v>0</v>
      </c>
      <c r="AH41" s="1499"/>
      <c r="AI41" s="1519"/>
      <c r="AJ41" s="1521"/>
      <c r="AK41" s="1521"/>
      <c r="AL41" s="1521"/>
    </row>
    <row r="42" spans="1:38" s="912" customFormat="1" ht="14.25" customHeight="1">
      <c r="B42" s="908"/>
      <c r="C42" s="910"/>
      <c r="D42" s="910"/>
      <c r="E42" s="910"/>
      <c r="F42" s="908"/>
      <c r="G42" s="911"/>
      <c r="H42" s="908"/>
      <c r="I42" s="910"/>
      <c r="J42" s="910"/>
      <c r="K42" s="910"/>
      <c r="M42" s="1222"/>
      <c r="N42" s="1222"/>
      <c r="Q42" s="908"/>
      <c r="R42" s="910"/>
      <c r="S42" s="910"/>
      <c r="T42" s="910"/>
      <c r="U42" s="908"/>
      <c r="V42" s="911"/>
      <c r="W42" s="908"/>
      <c r="X42" s="910"/>
      <c r="Y42" s="910"/>
      <c r="Z42" s="910"/>
      <c r="AB42" s="1487"/>
      <c r="AC42" s="1519"/>
      <c r="AD42" s="1521"/>
      <c r="AE42" s="1521"/>
      <c r="AF42" s="1521"/>
      <c r="AG42" s="1519"/>
      <c r="AH42" s="1499"/>
      <c r="AI42" s="1519"/>
      <c r="AJ42" s="1521"/>
      <c r="AK42" s="1521"/>
      <c r="AL42" s="1521"/>
    </row>
    <row r="43" spans="1:38" s="912" customFormat="1" ht="14.25" customHeight="1">
      <c r="A43" s="1052" t="s">
        <v>488</v>
      </c>
      <c r="B43" s="908"/>
      <c r="C43" s="910"/>
      <c r="D43" s="1048">
        <f>+C43*B43</f>
        <v>0</v>
      </c>
      <c r="E43" s="910"/>
      <c r="F43" s="1049">
        <f>IF(E43=0,0,ROUND(D43/E43,0))</f>
        <v>0</v>
      </c>
      <c r="G43" s="911"/>
      <c r="H43" s="908"/>
      <c r="I43" s="910"/>
      <c r="J43" s="910"/>
      <c r="K43" s="910"/>
      <c r="M43" s="1222">
        <f t="shared" ref="M43" si="4">IF(G43=0,+D43,0)</f>
        <v>0</v>
      </c>
      <c r="N43" s="1222">
        <f>IF(G43&gt;0,+G43*H43,0)</f>
        <v>0</v>
      </c>
      <c r="P43" s="1052" t="s">
        <v>488</v>
      </c>
      <c r="Q43" s="908"/>
      <c r="R43" s="910"/>
      <c r="S43" s="1048">
        <f>+R43*Q43</f>
        <v>0</v>
      </c>
      <c r="T43" s="910"/>
      <c r="U43" s="1049">
        <f>IF(T43=0,0,ROUND(S43/T43,0))</f>
        <v>0</v>
      </c>
      <c r="V43" s="911"/>
      <c r="W43" s="908"/>
      <c r="X43" s="910"/>
      <c r="Y43" s="910"/>
      <c r="Z43" s="910"/>
      <c r="AB43" s="1526" t="s">
        <v>488</v>
      </c>
      <c r="AC43" s="1519"/>
      <c r="AD43" s="1521"/>
      <c r="AE43" s="1524">
        <f>+AD43*AC43</f>
        <v>0</v>
      </c>
      <c r="AF43" s="1521"/>
      <c r="AG43" s="1523">
        <f>IF(AF43=0,0,ROUND(AE43/AF43,0))</f>
        <v>0</v>
      </c>
      <c r="AH43" s="1499"/>
      <c r="AI43" s="1519"/>
      <c r="AJ43" s="1521"/>
      <c r="AK43" s="1521"/>
      <c r="AL43" s="1521"/>
    </row>
    <row r="44" spans="1:38" s="912" customFormat="1" ht="14.25" customHeight="1">
      <c r="A44" s="908"/>
      <c r="B44" s="908"/>
      <c r="C44" s="910"/>
      <c r="D44" s="910"/>
      <c r="E44" s="910"/>
      <c r="F44" s="908"/>
      <c r="G44" s="911"/>
      <c r="H44" s="908"/>
      <c r="I44" s="910"/>
      <c r="J44" s="910"/>
      <c r="K44" s="910"/>
      <c r="M44" s="1222"/>
      <c r="N44" s="1222"/>
      <c r="P44" s="908"/>
      <c r="Q44" s="908"/>
      <c r="R44" s="910"/>
      <c r="S44" s="910"/>
      <c r="T44" s="910"/>
      <c r="U44" s="908"/>
      <c r="V44" s="911"/>
      <c r="W44" s="908"/>
      <c r="X44" s="910"/>
      <c r="Y44" s="910"/>
      <c r="Z44" s="910"/>
      <c r="AB44" s="1519"/>
      <c r="AC44" s="1519"/>
      <c r="AD44" s="1521"/>
      <c r="AE44" s="1521"/>
      <c r="AF44" s="1521"/>
      <c r="AG44" s="1519"/>
      <c r="AH44" s="1499"/>
      <c r="AI44" s="1519"/>
      <c r="AJ44" s="1521"/>
      <c r="AK44" s="1521"/>
      <c r="AL44" s="1521"/>
    </row>
    <row r="45" spans="1:38" s="912" customFormat="1" ht="14.25" customHeight="1">
      <c r="A45" s="1053" t="s">
        <v>488</v>
      </c>
      <c r="B45" s="917"/>
      <c r="C45" s="918"/>
      <c r="D45" s="1050">
        <f>+C45*B45</f>
        <v>0</v>
      </c>
      <c r="E45" s="918"/>
      <c r="F45" s="1051">
        <f>IF(E45=0,0,ROUND(D45/E45,0))</f>
        <v>0</v>
      </c>
      <c r="G45" s="919"/>
      <c r="H45" s="917"/>
      <c r="I45" s="918"/>
      <c r="J45" s="918"/>
      <c r="K45" s="918"/>
      <c r="M45" s="1222">
        <f t="shared" ref="M45" si="5">IF(G45=0,+D45,0)</f>
        <v>0</v>
      </c>
      <c r="N45" s="1222">
        <f>IF(G45&gt;0,+G45*H45,0)</f>
        <v>0</v>
      </c>
      <c r="P45" s="1053" t="s">
        <v>488</v>
      </c>
      <c r="Q45" s="917"/>
      <c r="R45" s="918"/>
      <c r="S45" s="1050">
        <f>+R45*Q45</f>
        <v>0</v>
      </c>
      <c r="T45" s="918"/>
      <c r="U45" s="1051">
        <f>IF(T45=0,0,ROUND(S45/T45,0))</f>
        <v>0</v>
      </c>
      <c r="V45" s="919"/>
      <c r="W45" s="917"/>
      <c r="X45" s="918"/>
      <c r="Y45" s="918"/>
      <c r="Z45" s="918"/>
      <c r="AB45" s="1527" t="s">
        <v>488</v>
      </c>
      <c r="AC45" s="1528"/>
      <c r="AD45" s="1531"/>
      <c r="AE45" s="1529">
        <f>+AD45*AC45</f>
        <v>0</v>
      </c>
      <c r="AF45" s="1531"/>
      <c r="AG45" s="1530">
        <f>IF(AF45=0,0,ROUND(AE45/AF45,0))</f>
        <v>0</v>
      </c>
      <c r="AH45" s="1535"/>
      <c r="AI45" s="1528"/>
      <c r="AJ45" s="1531"/>
      <c r="AK45" s="1531"/>
      <c r="AL45" s="1531"/>
    </row>
    <row r="46" spans="1:38" s="912" customFormat="1" ht="14.25" customHeight="1">
      <c r="A46" s="911"/>
      <c r="B46" s="911"/>
      <c r="C46" s="911"/>
      <c r="D46" s="911"/>
      <c r="E46" s="911"/>
      <c r="F46" s="911"/>
      <c r="G46" s="911"/>
      <c r="H46" s="911"/>
      <c r="I46" s="911"/>
      <c r="J46" s="911"/>
      <c r="K46" s="911"/>
      <c r="M46" s="1222"/>
      <c r="N46" s="1222"/>
      <c r="P46" s="911"/>
      <c r="Q46" s="911"/>
      <c r="R46" s="911"/>
      <c r="S46" s="911"/>
      <c r="T46" s="911"/>
      <c r="U46" s="911"/>
      <c r="V46" s="911"/>
      <c r="W46" s="911"/>
      <c r="X46" s="911"/>
      <c r="Y46" s="911"/>
      <c r="Z46" s="911"/>
      <c r="AB46" s="1499"/>
      <c r="AC46" s="1499"/>
      <c r="AD46" s="1499"/>
      <c r="AE46" s="1499"/>
      <c r="AF46" s="1499"/>
      <c r="AG46" s="1499"/>
      <c r="AH46" s="1499"/>
      <c r="AI46" s="1499"/>
      <c r="AJ46" s="1499"/>
      <c r="AK46" s="1499"/>
      <c r="AL46" s="1499"/>
    </row>
    <row r="47" spans="1:38" s="912" customFormat="1">
      <c r="A47" s="3066" t="s">
        <v>555</v>
      </c>
      <c r="B47" s="3067"/>
      <c r="C47" s="3067"/>
      <c r="D47" s="911"/>
      <c r="E47" s="1057" t="str">
        <f>IF('Mode Opératoire'!$I$1="Français",+Equipement!T47,Equipement!AF47)</f>
        <v>Investissements</v>
      </c>
      <c r="F47" s="1058" t="s">
        <v>4</v>
      </c>
      <c r="G47" s="1054">
        <f>ROUND(SUM(M18:M45)/1000,1)</f>
        <v>0</v>
      </c>
      <c r="H47" s="911"/>
      <c r="I47" s="911"/>
      <c r="J47" s="911"/>
      <c r="K47" s="911"/>
      <c r="L47" s="911"/>
      <c r="M47" s="1226"/>
      <c r="N47" s="1222"/>
      <c r="P47" s="3066" t="s">
        <v>555</v>
      </c>
      <c r="Q47" s="3067"/>
      <c r="R47" s="3067"/>
      <c r="S47" s="911"/>
      <c r="T47" s="1057" t="s">
        <v>6</v>
      </c>
      <c r="U47" s="1058" t="s">
        <v>4</v>
      </c>
      <c r="V47" s="1054">
        <f>ROUND(SUM(AB18:AB45)/1000,1)</f>
        <v>0</v>
      </c>
      <c r="W47" s="911"/>
      <c r="X47" s="911"/>
      <c r="Y47" s="911"/>
      <c r="Z47" s="911"/>
      <c r="AB47" s="3148" t="s">
        <v>796</v>
      </c>
      <c r="AC47" s="3149"/>
      <c r="AD47" s="3149"/>
      <c r="AE47" s="1499"/>
      <c r="AF47" s="1536" t="s">
        <v>755</v>
      </c>
      <c r="AG47" s="1537" t="s">
        <v>4</v>
      </c>
      <c r="AH47" s="1533">
        <f>ROUND(SUM(AN18:AN45)/1000,1)</f>
        <v>0</v>
      </c>
      <c r="AI47" s="1499"/>
      <c r="AJ47" s="1499"/>
      <c r="AK47" s="1499"/>
      <c r="AL47" s="1499"/>
    </row>
    <row r="48" spans="1:38" s="912" customFormat="1">
      <c r="A48" s="665" t="s">
        <v>58</v>
      </c>
      <c r="B48" s="1143"/>
      <c r="C48" s="667"/>
      <c r="D48" s="911"/>
      <c r="E48" s="1059" t="str">
        <f>IF('Mode Opératoire'!$I$1="Français",+Equipement!T48,Equipement!AF48)</f>
        <v>Locations</v>
      </c>
      <c r="F48" s="1060" t="s">
        <v>4</v>
      </c>
      <c r="G48" s="1056">
        <f>ROUND(SUM(N18:N45)/1000,1)</f>
        <v>0</v>
      </c>
      <c r="H48" s="916"/>
      <c r="I48" s="916"/>
      <c r="J48" s="916"/>
      <c r="K48" s="911"/>
      <c r="L48" s="911"/>
      <c r="M48" s="1226"/>
      <c r="N48" s="1222"/>
      <c r="P48" s="665" t="s">
        <v>58</v>
      </c>
      <c r="Q48" s="1143" t="s">
        <v>554</v>
      </c>
      <c r="R48" s="667"/>
      <c r="S48" s="911"/>
      <c r="T48" s="1059" t="s">
        <v>527</v>
      </c>
      <c r="U48" s="1060" t="s">
        <v>4</v>
      </c>
      <c r="V48" s="1056">
        <f>ROUND(SUM(AC18:AC45)/1000,1)</f>
        <v>0</v>
      </c>
      <c r="W48" s="916"/>
      <c r="X48" s="916"/>
      <c r="Y48" s="916"/>
      <c r="Z48" s="911"/>
      <c r="AB48" s="1538" t="s">
        <v>58</v>
      </c>
      <c r="AC48" s="1539" t="s">
        <v>554</v>
      </c>
      <c r="AD48" s="1540"/>
      <c r="AE48" s="1499"/>
      <c r="AF48" s="1535" t="s">
        <v>756</v>
      </c>
      <c r="AG48" s="1541" t="s">
        <v>4</v>
      </c>
      <c r="AH48" s="1542">
        <f>ROUND(SUM(AO18:AO45)/1000,1)</f>
        <v>0</v>
      </c>
      <c r="AI48" s="1525"/>
      <c r="AJ48" s="1525"/>
      <c r="AK48" s="1525"/>
      <c r="AL48" s="1499"/>
    </row>
    <row r="49" spans="1:38" s="912" customFormat="1">
      <c r="A49" s="3160" t="s">
        <v>59</v>
      </c>
      <c r="B49" s="3163"/>
      <c r="C49" s="3163"/>
      <c r="D49" s="911"/>
      <c r="E49" s="911"/>
      <c r="F49" s="911"/>
      <c r="G49" s="911"/>
      <c r="H49" s="911"/>
      <c r="I49" s="911"/>
      <c r="J49" s="911"/>
      <c r="K49" s="911"/>
      <c r="L49" s="911"/>
      <c r="M49" s="1226"/>
      <c r="N49" s="1222"/>
      <c r="P49" s="3160" t="s">
        <v>59</v>
      </c>
      <c r="Q49" s="3163"/>
      <c r="R49" s="3163"/>
      <c r="S49" s="911"/>
      <c r="T49" s="911"/>
      <c r="U49" s="911"/>
      <c r="V49" s="911"/>
      <c r="W49" s="911"/>
      <c r="X49" s="911"/>
      <c r="Y49" s="911"/>
      <c r="Z49" s="911"/>
      <c r="AB49" s="3150" t="s">
        <v>59</v>
      </c>
      <c r="AC49" s="3153"/>
      <c r="AD49" s="3153"/>
      <c r="AE49" s="1499"/>
      <c r="AF49" s="1499"/>
      <c r="AG49" s="1499"/>
      <c r="AH49" s="1499"/>
      <c r="AI49" s="1499"/>
      <c r="AJ49" s="1499"/>
      <c r="AK49" s="1499"/>
      <c r="AL49" s="1499"/>
    </row>
    <row r="50" spans="1:38" s="912" customFormat="1">
      <c r="A50" s="3161"/>
      <c r="B50" s="3164"/>
      <c r="C50" s="3164"/>
      <c r="D50" s="911"/>
      <c r="E50" s="911"/>
      <c r="F50" s="1190"/>
      <c r="G50" s="911"/>
      <c r="H50" s="916"/>
      <c r="I50" s="916"/>
      <c r="J50" s="1767"/>
      <c r="K50" s="911"/>
      <c r="L50" s="911"/>
      <c r="M50" s="1226"/>
      <c r="N50" s="1222"/>
      <c r="P50" s="3161"/>
      <c r="Q50" s="3164"/>
      <c r="R50" s="3164"/>
      <c r="S50" s="911"/>
      <c r="T50" s="911"/>
      <c r="U50" s="1190"/>
      <c r="V50" s="911"/>
      <c r="W50" s="916"/>
      <c r="X50" s="916"/>
      <c r="Y50" s="916"/>
      <c r="Z50" s="911"/>
      <c r="AB50" s="3151"/>
      <c r="AC50" s="3154"/>
      <c r="AD50" s="3154"/>
      <c r="AE50" s="1499"/>
      <c r="AF50" s="1499"/>
      <c r="AG50" s="1543"/>
      <c r="AH50" s="1499"/>
      <c r="AI50" s="1525"/>
      <c r="AJ50" s="1525"/>
      <c r="AK50" s="1525"/>
      <c r="AL50" s="1499"/>
    </row>
    <row r="51" spans="1:38" s="912" customFormat="1">
      <c r="A51" s="3162"/>
      <c r="B51" s="3165"/>
      <c r="C51" s="3165"/>
      <c r="D51" s="911"/>
      <c r="E51" s="911"/>
      <c r="F51" s="1190"/>
      <c r="G51" s="911"/>
      <c r="H51" s="916"/>
      <c r="I51" s="916"/>
      <c r="J51" s="916"/>
      <c r="K51" s="911"/>
      <c r="L51" s="911"/>
      <c r="M51" s="1226"/>
      <c r="N51" s="1222"/>
      <c r="P51" s="3162"/>
      <c r="Q51" s="3165"/>
      <c r="R51" s="3165"/>
      <c r="S51" s="911"/>
      <c r="T51" s="911"/>
      <c r="U51" s="1190"/>
      <c r="V51" s="911"/>
      <c r="W51" s="916"/>
      <c r="X51" s="916"/>
      <c r="Y51" s="916"/>
      <c r="Z51" s="911"/>
      <c r="AB51" s="3152"/>
      <c r="AC51" s="3155"/>
      <c r="AD51" s="3155"/>
      <c r="AE51" s="1499"/>
      <c r="AF51" s="1499"/>
      <c r="AG51" s="1543"/>
      <c r="AH51" s="1499"/>
      <c r="AI51" s="1525"/>
      <c r="AJ51" s="1525"/>
      <c r="AK51" s="1525"/>
      <c r="AL51" s="1499"/>
    </row>
    <row r="52" spans="1:38" s="22" customFormat="1">
      <c r="A52" s="24"/>
      <c r="B52" s="24"/>
      <c r="C52" s="24"/>
      <c r="D52" s="24"/>
      <c r="E52" s="24"/>
      <c r="F52" s="24"/>
      <c r="G52" s="24"/>
      <c r="H52" s="24"/>
      <c r="I52" s="24"/>
      <c r="J52" s="24"/>
      <c r="K52" s="24"/>
      <c r="L52" s="24"/>
      <c r="M52" s="1226"/>
      <c r="N52" s="1222"/>
      <c r="P52" s="24"/>
      <c r="Q52" s="24"/>
      <c r="R52" s="24"/>
      <c r="S52" s="24"/>
      <c r="T52" s="24"/>
      <c r="U52" s="24"/>
      <c r="V52" s="24"/>
      <c r="W52" s="24"/>
      <c r="X52" s="24"/>
      <c r="Y52" s="24"/>
      <c r="Z52" s="24"/>
      <c r="AB52" s="1499"/>
      <c r="AC52" s="1499"/>
      <c r="AD52" s="1499"/>
      <c r="AE52" s="1499"/>
      <c r="AF52" s="1499"/>
      <c r="AG52" s="1499"/>
      <c r="AH52" s="1499"/>
      <c r="AI52" s="1499"/>
      <c r="AJ52" s="1499"/>
      <c r="AK52" s="1499"/>
      <c r="AL52" s="1499"/>
    </row>
    <row r="53" spans="1:38" s="22" customFormat="1">
      <c r="A53" s="3158" t="str">
        <f>IF('Mode Opératoire'!$I$1="Français",+Equipement!P53,Equipement!AB53)</f>
        <v>Ne pas éditer - calcul pour contrôle</v>
      </c>
      <c r="B53" s="3159"/>
      <c r="C53" s="173"/>
      <c r="D53" s="173"/>
      <c r="E53" s="173"/>
      <c r="F53" s="173"/>
      <c r="G53" s="173"/>
      <c r="H53" s="176"/>
      <c r="I53" s="1752"/>
      <c r="J53" s="1752"/>
      <c r="K53" s="24"/>
      <c r="L53" s="24"/>
      <c r="M53" s="1226"/>
      <c r="N53" s="1222"/>
      <c r="P53" s="3158" t="s">
        <v>638</v>
      </c>
      <c r="Q53" s="3159"/>
      <c r="R53" s="173"/>
      <c r="S53" s="173"/>
      <c r="T53" s="173"/>
      <c r="U53" s="173"/>
      <c r="V53" s="173"/>
      <c r="W53" s="176"/>
      <c r="X53" s="1752"/>
      <c r="Y53" s="1752"/>
      <c r="Z53" s="24"/>
      <c r="AB53" s="3156" t="s">
        <v>834</v>
      </c>
      <c r="AC53" s="3157"/>
      <c r="AD53" s="1544"/>
      <c r="AE53" s="1544"/>
      <c r="AF53" s="1544"/>
      <c r="AG53" s="1544"/>
      <c r="AH53" s="1544"/>
      <c r="AI53" s="1545"/>
      <c r="AJ53" s="1756"/>
      <c r="AK53" s="1756"/>
      <c r="AL53" s="1499"/>
    </row>
    <row r="54" spans="1:38" s="22" customFormat="1">
      <c r="A54" s="3158"/>
      <c r="B54" s="3159"/>
      <c r="C54" s="174" t="str">
        <f>IF('Mode Opératoire'!$I$1="Français",+Equipement!R54,Equipement!AD54)</f>
        <v>Année 1</v>
      </c>
      <c r="D54" s="174" t="str">
        <f>IF('Mode Opératoire'!$I$1="Français",+Equipement!S54,Equipement!AE54)</f>
        <v>Année 2</v>
      </c>
      <c r="E54" s="174" t="str">
        <f>IF('Mode Opératoire'!$I$1="Français",+Equipement!T54,Equipement!AF54)</f>
        <v>Année 3</v>
      </c>
      <c r="F54" s="174" t="str">
        <f>IF('Mode Opératoire'!$I$1="Français",+Equipement!U54,Equipement!AG54)</f>
        <v>Année 4</v>
      </c>
      <c r="G54" s="174" t="str">
        <f>IF('Mode Opératoire'!$I$1="Français",+Equipement!V54,Equipement!AH54)</f>
        <v>Année 5</v>
      </c>
      <c r="H54" s="177" t="str">
        <f>IF('Mode Opératoire'!$I$1="Français",+Equipement!W54,Equipement!AI54)</f>
        <v>Année 6</v>
      </c>
      <c r="I54" s="1753"/>
      <c r="J54" s="1753"/>
      <c r="K54" s="24"/>
      <c r="L54" s="24"/>
      <c r="M54" s="1226"/>
      <c r="N54" s="1222"/>
      <c r="P54" s="3158"/>
      <c r="Q54" s="3159"/>
      <c r="R54" s="174" t="s">
        <v>38</v>
      </c>
      <c r="S54" s="174" t="s">
        <v>39</v>
      </c>
      <c r="T54" s="174" t="s">
        <v>40</v>
      </c>
      <c r="U54" s="174" t="s">
        <v>41</v>
      </c>
      <c r="V54" s="174" t="s">
        <v>42</v>
      </c>
      <c r="W54" s="177" t="s">
        <v>78</v>
      </c>
      <c r="X54" s="1753"/>
      <c r="Y54" s="1753"/>
      <c r="Z54" s="24"/>
      <c r="AB54" s="3156"/>
      <c r="AC54" s="3157"/>
      <c r="AD54" s="1546" t="s">
        <v>742</v>
      </c>
      <c r="AE54" s="1546" t="s">
        <v>747</v>
      </c>
      <c r="AF54" s="1546" t="s">
        <v>743</v>
      </c>
      <c r="AG54" s="1546" t="s">
        <v>744</v>
      </c>
      <c r="AH54" s="1546" t="s">
        <v>745</v>
      </c>
      <c r="AI54" s="1547" t="s">
        <v>746</v>
      </c>
      <c r="AJ54" s="1757"/>
      <c r="AK54" s="1757"/>
      <c r="AL54" s="1499"/>
    </row>
    <row r="55" spans="1:38" s="22" customFormat="1">
      <c r="A55" s="3158"/>
      <c r="B55" s="3159"/>
      <c r="C55" s="175">
        <f>'UO 1'!D13</f>
        <v>2014</v>
      </c>
      <c r="D55" s="175">
        <f>C55+1</f>
        <v>2015</v>
      </c>
      <c r="E55" s="175">
        <f>D55+1</f>
        <v>2016</v>
      </c>
      <c r="F55" s="175">
        <f>E55+1</f>
        <v>2017</v>
      </c>
      <c r="G55" s="175">
        <f>F55+1</f>
        <v>2018</v>
      </c>
      <c r="H55" s="178">
        <f>G55+1</f>
        <v>2019</v>
      </c>
      <c r="I55" s="1753"/>
      <c r="J55" s="1753"/>
      <c r="K55" s="24"/>
      <c r="L55" s="24"/>
      <c r="M55" s="1226"/>
      <c r="N55" s="1222"/>
      <c r="P55" s="3158"/>
      <c r="Q55" s="3159"/>
      <c r="R55" s="175">
        <v>1</v>
      </c>
      <c r="S55" s="175">
        <f>R55+1</f>
        <v>2</v>
      </c>
      <c r="T55" s="175">
        <f>S55+1</f>
        <v>3</v>
      </c>
      <c r="U55" s="175">
        <f>T55+1</f>
        <v>4</v>
      </c>
      <c r="V55" s="175">
        <f>U55+1</f>
        <v>5</v>
      </c>
      <c r="W55" s="178">
        <f>V55+1</f>
        <v>6</v>
      </c>
      <c r="X55" s="1753"/>
      <c r="Y55" s="1753"/>
      <c r="Z55" s="24"/>
      <c r="AB55" s="3156"/>
      <c r="AC55" s="3157"/>
      <c r="AD55" s="1548">
        <v>1</v>
      </c>
      <c r="AE55" s="1548">
        <f>AD55+1</f>
        <v>2</v>
      </c>
      <c r="AF55" s="1548">
        <f>AE55+1</f>
        <v>3</v>
      </c>
      <c r="AG55" s="1548">
        <f>AF55+1</f>
        <v>4</v>
      </c>
      <c r="AH55" s="1548">
        <f>AG55+1</f>
        <v>5</v>
      </c>
      <c r="AI55" s="1549">
        <f>AH55+1</f>
        <v>6</v>
      </c>
      <c r="AJ55" s="1757"/>
      <c r="AK55" s="1757"/>
      <c r="AL55" s="1499"/>
    </row>
    <row r="56" spans="1:38" s="22" customFormat="1">
      <c r="A56" s="24"/>
      <c r="B56" s="24"/>
      <c r="C56" s="24"/>
      <c r="D56" s="24"/>
      <c r="E56" s="24"/>
      <c r="F56" s="24"/>
      <c r="G56" s="24"/>
      <c r="H56" s="24"/>
      <c r="I56" s="24"/>
      <c r="J56" s="24"/>
      <c r="K56" s="24"/>
      <c r="L56" s="24"/>
      <c r="M56" s="1226"/>
      <c r="N56" s="1222"/>
      <c r="P56" s="24"/>
      <c r="Q56" s="24"/>
      <c r="R56" s="24"/>
      <c r="S56" s="24"/>
      <c r="T56" s="24"/>
      <c r="U56" s="24"/>
      <c r="V56" s="24"/>
      <c r="W56" s="24"/>
      <c r="X56" s="24"/>
      <c r="Y56" s="24"/>
      <c r="Z56" s="24"/>
      <c r="AB56" s="1499"/>
      <c r="AC56" s="1499"/>
      <c r="AD56" s="1499"/>
      <c r="AE56" s="1499"/>
      <c r="AF56" s="1499"/>
      <c r="AG56" s="1499"/>
      <c r="AH56" s="1499"/>
      <c r="AI56" s="1499"/>
      <c r="AJ56" s="1499"/>
      <c r="AK56" s="1499"/>
      <c r="AL56" s="1499"/>
    </row>
    <row r="57" spans="1:38" s="22" customFormat="1">
      <c r="A57" s="24" t="str">
        <f>+A18</f>
        <v xml:space="preserve"> Racks</v>
      </c>
      <c r="B57" s="24"/>
      <c r="C57" s="1187">
        <f>+H18</f>
        <v>0</v>
      </c>
      <c r="D57" s="24">
        <f>IF(G18&gt;=D55,H18,0)</f>
        <v>0</v>
      </c>
      <c r="E57" s="24">
        <f>IF($G$18&gt;=E55,$H$18,0)</f>
        <v>0</v>
      </c>
      <c r="F57" s="24">
        <f t="shared" ref="F57:H57" si="6">IF($G$18&gt;=F55,$H$18,0)</f>
        <v>0</v>
      </c>
      <c r="G57" s="24">
        <f t="shared" si="6"/>
        <v>0</v>
      </c>
      <c r="H57" s="24">
        <f t="shared" si="6"/>
        <v>0</v>
      </c>
      <c r="I57" s="24"/>
      <c r="J57" s="24"/>
      <c r="K57" s="24"/>
      <c r="L57" s="24"/>
      <c r="M57" s="1226"/>
      <c r="N57" s="1222"/>
      <c r="P57" s="24" t="str">
        <f>+P18</f>
        <v xml:space="preserve"> Racks</v>
      </c>
      <c r="Q57" s="24"/>
      <c r="R57" s="1187">
        <f>+W18</f>
        <v>0</v>
      </c>
      <c r="S57" s="24">
        <f>IF(V18&gt;=S55,W18,0)</f>
        <v>0</v>
      </c>
      <c r="T57" s="24">
        <f>IF($G$18&gt;=T55,$H$18,0)</f>
        <v>0</v>
      </c>
      <c r="U57" s="24">
        <f t="shared" ref="U57:W57" si="7">IF($G$18&gt;=U55,$H$18,0)</f>
        <v>0</v>
      </c>
      <c r="V57" s="24">
        <f t="shared" si="7"/>
        <v>0</v>
      </c>
      <c r="W57" s="24">
        <f t="shared" si="7"/>
        <v>0</v>
      </c>
      <c r="X57" s="24"/>
      <c r="Y57" s="24"/>
      <c r="Z57" s="24"/>
      <c r="AB57" s="1499" t="str">
        <f>+AB18</f>
        <v>Racks</v>
      </c>
      <c r="AC57" s="1499"/>
      <c r="AD57" s="1525">
        <f>+AI18</f>
        <v>0</v>
      </c>
      <c r="AE57" s="1499">
        <f>IF(AH18&gt;=AE55,AI18,0)</f>
        <v>0</v>
      </c>
      <c r="AF57" s="1499">
        <f>IF($G$18&gt;=AF55,$H$18,0)</f>
        <v>0</v>
      </c>
      <c r="AG57" s="1499">
        <f t="shared" ref="AG57:AI57" si="8">IF($G$18&gt;=AG55,$H$18,0)</f>
        <v>0</v>
      </c>
      <c r="AH57" s="1499">
        <f t="shared" si="8"/>
        <v>0</v>
      </c>
      <c r="AI57" s="1499">
        <f t="shared" si="8"/>
        <v>0</v>
      </c>
      <c r="AJ57" s="1499"/>
      <c r="AK57" s="1499"/>
      <c r="AL57" s="1499"/>
    </row>
    <row r="58" spans="1:38" s="22" customFormat="1">
      <c r="A58" s="24" t="str">
        <f>+A20</f>
        <v xml:space="preserve"> Chariots</v>
      </c>
      <c r="B58" s="24"/>
      <c r="C58" s="1187">
        <f>+H20</f>
        <v>0</v>
      </c>
      <c r="D58" s="24">
        <f>IF($G$20&gt;=D55,$H$20,0)</f>
        <v>0</v>
      </c>
      <c r="E58" s="24">
        <f t="shared" ref="E58:H58" si="9">IF($G$20&gt;=E55,$H$20,0)</f>
        <v>0</v>
      </c>
      <c r="F58" s="24">
        <f t="shared" si="9"/>
        <v>0</v>
      </c>
      <c r="G58" s="24">
        <f t="shared" si="9"/>
        <v>0</v>
      </c>
      <c r="H58" s="24">
        <f t="shared" si="9"/>
        <v>0</v>
      </c>
      <c r="I58" s="24"/>
      <c r="J58" s="24"/>
      <c r="K58" s="24"/>
      <c r="L58" s="24"/>
      <c r="M58" s="1226"/>
      <c r="N58" s="1222"/>
      <c r="P58" s="24" t="str">
        <f>+P20</f>
        <v xml:space="preserve"> Chariots</v>
      </c>
      <c r="Q58" s="24"/>
      <c r="R58" s="1187">
        <f>+W20</f>
        <v>0</v>
      </c>
      <c r="S58" s="24">
        <f>IF($G$20&gt;=S55,$H$20,0)</f>
        <v>0</v>
      </c>
      <c r="T58" s="24">
        <f t="shared" ref="T58:W58" si="10">IF($G$20&gt;=T55,$H$20,0)</f>
        <v>0</v>
      </c>
      <c r="U58" s="24">
        <f t="shared" si="10"/>
        <v>0</v>
      </c>
      <c r="V58" s="24">
        <f t="shared" si="10"/>
        <v>0</v>
      </c>
      <c r="W58" s="24">
        <f t="shared" si="10"/>
        <v>0</v>
      </c>
      <c r="X58" s="24"/>
      <c r="Y58" s="24"/>
      <c r="Z58" s="24"/>
      <c r="AB58" s="1499" t="str">
        <f>+AB20</f>
        <v>Forklift</v>
      </c>
      <c r="AC58" s="1499"/>
      <c r="AD58" s="1525">
        <f>+AI20</f>
        <v>0</v>
      </c>
      <c r="AE58" s="1499">
        <f>IF($G$20&gt;=AE55,$H$20,0)</f>
        <v>0</v>
      </c>
      <c r="AF58" s="1499">
        <f t="shared" ref="AF58:AI58" si="11">IF($G$20&gt;=AF55,$H$20,0)</f>
        <v>0</v>
      </c>
      <c r="AG58" s="1499">
        <f t="shared" si="11"/>
        <v>0</v>
      </c>
      <c r="AH58" s="1499">
        <f t="shared" si="11"/>
        <v>0</v>
      </c>
      <c r="AI58" s="1499">
        <f t="shared" si="11"/>
        <v>0</v>
      </c>
      <c r="AJ58" s="1499"/>
      <c r="AK58" s="1499"/>
      <c r="AL58" s="1499"/>
    </row>
    <row r="59" spans="1:38" s="22" customFormat="1">
      <c r="A59" s="24" t="str">
        <f>+A22</f>
        <v>Outillage</v>
      </c>
      <c r="B59" s="24"/>
      <c r="C59" s="1187">
        <f>+H22</f>
        <v>0</v>
      </c>
      <c r="D59" s="24">
        <f>IF($G$22&gt;=D55,$H$22,0)</f>
        <v>0</v>
      </c>
      <c r="E59" s="24">
        <f t="shared" ref="E59:H59" si="12">IF($G$22&gt;=E55,$H$22,0)</f>
        <v>0</v>
      </c>
      <c r="F59" s="24">
        <f t="shared" si="12"/>
        <v>0</v>
      </c>
      <c r="G59" s="24">
        <f t="shared" si="12"/>
        <v>0</v>
      </c>
      <c r="H59" s="24">
        <f t="shared" si="12"/>
        <v>0</v>
      </c>
      <c r="I59" s="24"/>
      <c r="J59" s="24"/>
      <c r="K59" s="24"/>
      <c r="L59" s="24"/>
      <c r="M59" s="1226"/>
      <c r="N59" s="1222"/>
      <c r="P59" s="24" t="str">
        <f>+P22</f>
        <v>Outillage</v>
      </c>
      <c r="Q59" s="24"/>
      <c r="R59" s="1187">
        <f>+W22</f>
        <v>0</v>
      </c>
      <c r="S59" s="24">
        <f>IF($G$22&gt;=S55,$H$22,0)</f>
        <v>0</v>
      </c>
      <c r="T59" s="24">
        <f t="shared" ref="T59:W59" si="13">IF($G$22&gt;=T55,$H$22,0)</f>
        <v>0</v>
      </c>
      <c r="U59" s="24">
        <f t="shared" si="13"/>
        <v>0</v>
      </c>
      <c r="V59" s="24">
        <f t="shared" si="13"/>
        <v>0</v>
      </c>
      <c r="W59" s="24">
        <f t="shared" si="13"/>
        <v>0</v>
      </c>
      <c r="X59" s="24"/>
      <c r="Y59" s="24"/>
      <c r="Z59" s="24"/>
      <c r="AB59" s="1499" t="str">
        <f>+AB22</f>
        <v>Tools</v>
      </c>
      <c r="AC59" s="1499"/>
      <c r="AD59" s="1525">
        <f>+AI22</f>
        <v>0</v>
      </c>
      <c r="AE59" s="1499">
        <f>IF($G$22&gt;=AE55,$H$22,0)</f>
        <v>0</v>
      </c>
      <c r="AF59" s="1499">
        <f t="shared" ref="AF59:AI59" si="14">IF($G$22&gt;=AF55,$H$22,0)</f>
        <v>0</v>
      </c>
      <c r="AG59" s="1499">
        <f t="shared" si="14"/>
        <v>0</v>
      </c>
      <c r="AH59" s="1499">
        <f t="shared" si="14"/>
        <v>0</v>
      </c>
      <c r="AI59" s="1499">
        <f t="shared" si="14"/>
        <v>0</v>
      </c>
      <c r="AJ59" s="1499"/>
      <c r="AK59" s="1499"/>
      <c r="AL59" s="1499"/>
    </row>
    <row r="60" spans="1:38" s="22" customFormat="1">
      <c r="A60" s="24" t="str">
        <f>+A24</f>
        <v>Materiel de buerau</v>
      </c>
      <c r="B60" s="24"/>
      <c r="C60" s="1187">
        <f>+H24</f>
        <v>0</v>
      </c>
      <c r="D60" s="24">
        <f>IF($G$24&gt;=D55,$H$24,0)</f>
        <v>0</v>
      </c>
      <c r="E60" s="24">
        <f t="shared" ref="E60:H60" si="15">IF($G$24&gt;=E55,$H$24,0)</f>
        <v>0</v>
      </c>
      <c r="F60" s="24">
        <f t="shared" si="15"/>
        <v>0</v>
      </c>
      <c r="G60" s="24">
        <f t="shared" si="15"/>
        <v>0</v>
      </c>
      <c r="H60" s="24">
        <f t="shared" si="15"/>
        <v>0</v>
      </c>
      <c r="I60" s="24"/>
      <c r="J60" s="24"/>
      <c r="K60" s="24"/>
      <c r="L60" s="24"/>
      <c r="M60" s="1226"/>
      <c r="N60" s="1222"/>
      <c r="P60" s="24" t="str">
        <f>+P24</f>
        <v>…</v>
      </c>
      <c r="Q60" s="24"/>
      <c r="R60" s="1187">
        <f>+W24</f>
        <v>0</v>
      </c>
      <c r="S60" s="24">
        <f>IF($G$24&gt;=S55,$H$24,0)</f>
        <v>0</v>
      </c>
      <c r="T60" s="24">
        <f t="shared" ref="T60:W60" si="16">IF($G$24&gt;=T55,$H$24,0)</f>
        <v>0</v>
      </c>
      <c r="U60" s="24">
        <f t="shared" si="16"/>
        <v>0</v>
      </c>
      <c r="V60" s="24">
        <f t="shared" si="16"/>
        <v>0</v>
      </c>
      <c r="W60" s="24">
        <f t="shared" si="16"/>
        <v>0</v>
      </c>
      <c r="X60" s="24"/>
      <c r="Y60" s="24"/>
      <c r="Z60" s="24"/>
      <c r="AB60" s="1499" t="str">
        <f>+AB24</f>
        <v>…</v>
      </c>
      <c r="AC60" s="1499"/>
      <c r="AD60" s="1525">
        <f>+AI24</f>
        <v>0</v>
      </c>
      <c r="AE60" s="1499">
        <f>IF($G$24&gt;=AE55,$H$24,0)</f>
        <v>0</v>
      </c>
      <c r="AF60" s="1499">
        <f t="shared" ref="AF60:AI60" si="17">IF($G$24&gt;=AF55,$H$24,0)</f>
        <v>0</v>
      </c>
      <c r="AG60" s="1499">
        <f t="shared" si="17"/>
        <v>0</v>
      </c>
      <c r="AH60" s="1499">
        <f t="shared" si="17"/>
        <v>0</v>
      </c>
      <c r="AI60" s="1499">
        <f t="shared" si="17"/>
        <v>0</v>
      </c>
      <c r="AJ60" s="1499"/>
      <c r="AK60" s="1499"/>
      <c r="AL60" s="1499"/>
    </row>
    <row r="61" spans="1:38" s="22" customFormat="1">
      <c r="A61" s="22" t="str">
        <f>+A26</f>
        <v>….</v>
      </c>
      <c r="C61" s="1187">
        <f>+H26</f>
        <v>0</v>
      </c>
      <c r="D61" s="24">
        <f>IF($G$26&gt;=D55,$H$26,0)</f>
        <v>0</v>
      </c>
      <c r="E61" s="24">
        <f t="shared" ref="E61:H61" si="18">IF($G$26&gt;=E55,$H$26,0)</f>
        <v>0</v>
      </c>
      <c r="F61" s="24">
        <f t="shared" si="18"/>
        <v>0</v>
      </c>
      <c r="G61" s="24">
        <f t="shared" si="18"/>
        <v>0</v>
      </c>
      <c r="H61" s="24">
        <f t="shared" si="18"/>
        <v>0</v>
      </c>
      <c r="I61" s="24"/>
      <c r="J61" s="24"/>
      <c r="M61" s="1222"/>
      <c r="N61" s="1222"/>
      <c r="P61" s="22" t="str">
        <f>+P26</f>
        <v>….</v>
      </c>
      <c r="R61" s="1187">
        <f>+W26</f>
        <v>0</v>
      </c>
      <c r="S61" s="24">
        <f>IF($G$26&gt;=S55,$H$26,0)</f>
        <v>0</v>
      </c>
      <c r="T61" s="24">
        <f t="shared" ref="T61:W61" si="19">IF($G$26&gt;=T55,$H$26,0)</f>
        <v>0</v>
      </c>
      <c r="U61" s="24">
        <f t="shared" si="19"/>
        <v>0</v>
      </c>
      <c r="V61" s="24">
        <f t="shared" si="19"/>
        <v>0</v>
      </c>
      <c r="W61" s="24">
        <f t="shared" si="19"/>
        <v>0</v>
      </c>
      <c r="X61" s="24"/>
      <c r="Y61" s="24"/>
      <c r="AB61" s="1487" t="str">
        <f>+AB26</f>
        <v>….</v>
      </c>
      <c r="AC61" s="1487"/>
      <c r="AD61" s="1525">
        <f>+AI26</f>
        <v>0</v>
      </c>
      <c r="AE61" s="1499">
        <f>IF($G$26&gt;=AE55,$H$26,0)</f>
        <v>0</v>
      </c>
      <c r="AF61" s="1499">
        <f t="shared" ref="AF61:AI61" si="20">IF($G$26&gt;=AF55,$H$26,0)</f>
        <v>0</v>
      </c>
      <c r="AG61" s="1499">
        <f t="shared" si="20"/>
        <v>0</v>
      </c>
      <c r="AH61" s="1499">
        <f t="shared" si="20"/>
        <v>0</v>
      </c>
      <c r="AI61" s="1499">
        <f t="shared" si="20"/>
        <v>0</v>
      </c>
      <c r="AJ61" s="1499"/>
      <c r="AK61" s="1499"/>
      <c r="AL61" s="1487"/>
    </row>
    <row r="62" spans="1:38" s="22" customFormat="1">
      <c r="A62" s="1188" t="s">
        <v>636</v>
      </c>
      <c r="B62" s="1188"/>
      <c r="C62" s="1189">
        <f>SUM(C57:C61)</f>
        <v>0</v>
      </c>
      <c r="D62" s="1189">
        <f t="shared" ref="D62:H62" si="21">SUM(D57:D61)</f>
        <v>0</v>
      </c>
      <c r="E62" s="1189">
        <f t="shared" si="21"/>
        <v>0</v>
      </c>
      <c r="F62" s="1189">
        <f t="shared" si="21"/>
        <v>0</v>
      </c>
      <c r="G62" s="1189">
        <f t="shared" si="21"/>
        <v>0</v>
      </c>
      <c r="H62" s="1189">
        <f t="shared" si="21"/>
        <v>0</v>
      </c>
      <c r="I62" s="1189"/>
      <c r="J62" s="1189"/>
      <c r="K62" s="24"/>
      <c r="L62" s="24"/>
      <c r="M62" s="1226"/>
      <c r="N62" s="1222"/>
      <c r="P62" s="1188" t="s">
        <v>636</v>
      </c>
      <c r="Q62" s="1188"/>
      <c r="R62" s="1189">
        <f>SUM(R57:R61)</f>
        <v>0</v>
      </c>
      <c r="S62" s="1189">
        <f t="shared" ref="S62" si="22">SUM(S57:S61)</f>
        <v>0</v>
      </c>
      <c r="T62" s="1189">
        <f t="shared" ref="T62" si="23">SUM(T57:T61)</f>
        <v>0</v>
      </c>
      <c r="U62" s="1189">
        <f t="shared" ref="U62" si="24">SUM(U57:U61)</f>
        <v>0</v>
      </c>
      <c r="V62" s="1189">
        <f t="shared" ref="V62" si="25">SUM(V57:V61)</f>
        <v>0</v>
      </c>
      <c r="W62" s="1189">
        <f t="shared" ref="W62" si="26">SUM(W57:W61)</f>
        <v>0</v>
      </c>
      <c r="X62" s="1189"/>
      <c r="Y62" s="1189"/>
      <c r="Z62" s="24"/>
      <c r="AB62" s="1499" t="s">
        <v>636</v>
      </c>
      <c r="AC62" s="1499"/>
      <c r="AD62" s="1525">
        <f>SUM(AD57:AD61)</f>
        <v>0</v>
      </c>
      <c r="AE62" s="1525">
        <f t="shared" ref="AE62" si="27">SUM(AE57:AE61)</f>
        <v>0</v>
      </c>
      <c r="AF62" s="1525">
        <f t="shared" ref="AF62" si="28">SUM(AF57:AF61)</f>
        <v>0</v>
      </c>
      <c r="AG62" s="1525">
        <f t="shared" ref="AG62" si="29">SUM(AG57:AG61)</f>
        <v>0</v>
      </c>
      <c r="AH62" s="1525">
        <f t="shared" ref="AH62" si="30">SUM(AH57:AH61)</f>
        <v>0</v>
      </c>
      <c r="AI62" s="1525">
        <f t="shared" ref="AI62" si="31">SUM(AI57:AI61)</f>
        <v>0</v>
      </c>
      <c r="AJ62" s="1525"/>
      <c r="AK62" s="1525"/>
      <c r="AL62" s="1499"/>
    </row>
    <row r="63" spans="1:38" s="22" customFormat="1">
      <c r="A63" s="24"/>
      <c r="B63" s="24"/>
      <c r="C63" s="24"/>
      <c r="D63" s="24"/>
      <c r="E63" s="24"/>
      <c r="F63" s="24"/>
      <c r="G63" s="24"/>
      <c r="H63" s="24"/>
      <c r="I63" s="24"/>
      <c r="J63" s="24"/>
      <c r="K63" s="24"/>
      <c r="L63" s="24"/>
      <c r="M63" s="1226"/>
      <c r="N63" s="1222"/>
      <c r="P63" s="24"/>
      <c r="Q63" s="24"/>
      <c r="R63" s="24"/>
      <c r="S63" s="24"/>
      <c r="T63" s="24"/>
      <c r="U63" s="24"/>
      <c r="V63" s="24"/>
      <c r="W63" s="24"/>
      <c r="X63" s="24"/>
      <c r="Y63" s="24"/>
      <c r="Z63" s="24"/>
      <c r="AB63" s="1499"/>
      <c r="AC63" s="1499"/>
      <c r="AD63" s="1499"/>
      <c r="AE63" s="1499"/>
      <c r="AF63" s="1499"/>
      <c r="AG63" s="1499"/>
      <c r="AH63" s="1499"/>
      <c r="AI63" s="1499"/>
      <c r="AJ63" s="1499"/>
      <c r="AK63" s="1499"/>
      <c r="AL63" s="1499"/>
    </row>
    <row r="64" spans="1:38" s="22" customFormat="1">
      <c r="A64" s="31" t="str">
        <f>+A37</f>
        <v>Badgeuse</v>
      </c>
      <c r="B64" s="24"/>
      <c r="C64" s="1187">
        <f>+H37</f>
        <v>0</v>
      </c>
      <c r="D64" s="24">
        <f>IF($G$37&gt;=D55,$H$37,0)</f>
        <v>0</v>
      </c>
      <c r="E64" s="24">
        <f t="shared" ref="E64:H64" si="32">IF($G$37&gt;=E55,$H$37,0)</f>
        <v>0</v>
      </c>
      <c r="F64" s="24">
        <f t="shared" si="32"/>
        <v>0</v>
      </c>
      <c r="G64" s="24">
        <f t="shared" si="32"/>
        <v>0</v>
      </c>
      <c r="H64" s="24">
        <f t="shared" si="32"/>
        <v>0</v>
      </c>
      <c r="I64" s="24"/>
      <c r="J64" s="24"/>
      <c r="K64" s="24"/>
      <c r="L64" s="24"/>
      <c r="M64" s="1226"/>
      <c r="N64" s="1222"/>
      <c r="P64" s="31" t="str">
        <f>+P37</f>
        <v>Badgeuse</v>
      </c>
      <c r="Q64" s="24"/>
      <c r="R64" s="1187">
        <f>+W37</f>
        <v>0</v>
      </c>
      <c r="S64" s="24">
        <f>IF($G$37&gt;=S55,$H$37,0)</f>
        <v>0</v>
      </c>
      <c r="T64" s="24">
        <f t="shared" ref="T64:W64" si="33">IF($G$37&gt;=T55,$H$37,0)</f>
        <v>0</v>
      </c>
      <c r="U64" s="24">
        <f t="shared" si="33"/>
        <v>0</v>
      </c>
      <c r="V64" s="24">
        <f t="shared" si="33"/>
        <v>0</v>
      </c>
      <c r="W64" s="24">
        <f t="shared" si="33"/>
        <v>0</v>
      </c>
      <c r="X64" s="24"/>
      <c r="Y64" s="24"/>
      <c r="Z64" s="24"/>
      <c r="AB64" s="1550" t="str">
        <f>+AB37</f>
        <v>Clocking Terminal</v>
      </c>
      <c r="AC64" s="1499"/>
      <c r="AD64" s="1525">
        <f>+AI37</f>
        <v>0</v>
      </c>
      <c r="AE64" s="1499">
        <f>IF($G$37&gt;=AE55,$H$37,0)</f>
        <v>0</v>
      </c>
      <c r="AF64" s="1499">
        <f t="shared" ref="AF64:AI64" si="34">IF($G$37&gt;=AF55,$H$37,0)</f>
        <v>0</v>
      </c>
      <c r="AG64" s="1499">
        <f t="shared" si="34"/>
        <v>0</v>
      </c>
      <c r="AH64" s="1499">
        <f t="shared" si="34"/>
        <v>0</v>
      </c>
      <c r="AI64" s="1499">
        <f t="shared" si="34"/>
        <v>0</v>
      </c>
      <c r="AJ64" s="1499"/>
      <c r="AK64" s="1499"/>
      <c r="AL64" s="1499"/>
    </row>
    <row r="65" spans="1:38" s="22" customFormat="1">
      <c r="A65" s="32" t="str">
        <f>+A39</f>
        <v>Mobilier</v>
      </c>
      <c r="B65" s="24"/>
      <c r="C65" s="1187">
        <f>+H39</f>
        <v>0</v>
      </c>
      <c r="D65" s="24">
        <f>IF($G$39&gt;=D55,$H$39,0)</f>
        <v>0</v>
      </c>
      <c r="E65" s="24">
        <f t="shared" ref="E65:H65" si="35">IF($G$39&gt;=E55,$H$39,0)</f>
        <v>0</v>
      </c>
      <c r="F65" s="24">
        <f t="shared" si="35"/>
        <v>0</v>
      </c>
      <c r="G65" s="24">
        <f t="shared" si="35"/>
        <v>0</v>
      </c>
      <c r="H65" s="24">
        <f t="shared" si="35"/>
        <v>0</v>
      </c>
      <c r="I65" s="24"/>
      <c r="J65" s="24"/>
      <c r="K65" s="24"/>
      <c r="L65" s="24"/>
      <c r="M65" s="1226"/>
      <c r="N65" s="1222"/>
      <c r="P65" s="32" t="str">
        <f>+P39</f>
        <v>Mobilier</v>
      </c>
      <c r="Q65" s="24"/>
      <c r="R65" s="1187">
        <f>+W39</f>
        <v>0</v>
      </c>
      <c r="S65" s="24">
        <f>IF($G$39&gt;=S55,$H$39,0)</f>
        <v>0</v>
      </c>
      <c r="T65" s="24">
        <f t="shared" ref="T65:W65" si="36">IF($G$39&gt;=T55,$H$39,0)</f>
        <v>0</v>
      </c>
      <c r="U65" s="24">
        <f t="shared" si="36"/>
        <v>0</v>
      </c>
      <c r="V65" s="24">
        <f t="shared" si="36"/>
        <v>0</v>
      </c>
      <c r="W65" s="24">
        <f t="shared" si="36"/>
        <v>0</v>
      </c>
      <c r="X65" s="24"/>
      <c r="Y65" s="24"/>
      <c r="Z65" s="24"/>
      <c r="AB65" s="1551" t="str">
        <f>+AB39</f>
        <v>Furniture</v>
      </c>
      <c r="AC65" s="1499"/>
      <c r="AD65" s="1525">
        <f>+AI39</f>
        <v>0</v>
      </c>
      <c r="AE65" s="1499">
        <f>IF($G$39&gt;=AE55,$H$39,0)</f>
        <v>0</v>
      </c>
      <c r="AF65" s="1499">
        <f t="shared" ref="AF65:AI65" si="37">IF($G$39&gt;=AF55,$H$39,0)</f>
        <v>0</v>
      </c>
      <c r="AG65" s="1499">
        <f t="shared" si="37"/>
        <v>0</v>
      </c>
      <c r="AH65" s="1499">
        <f t="shared" si="37"/>
        <v>0</v>
      </c>
      <c r="AI65" s="1499">
        <f t="shared" si="37"/>
        <v>0</v>
      </c>
      <c r="AJ65" s="1499"/>
      <c r="AK65" s="1499"/>
      <c r="AL65" s="1499"/>
    </row>
    <row r="66" spans="1:38" s="22" customFormat="1">
      <c r="A66" s="32" t="str">
        <f>+A41</f>
        <v>…</v>
      </c>
      <c r="B66" s="24"/>
      <c r="C66" s="1187">
        <f>+H41</f>
        <v>0</v>
      </c>
      <c r="D66" s="24">
        <f>IF($G$41&gt;=D55,$H$41,0)</f>
        <v>0</v>
      </c>
      <c r="E66" s="24">
        <f t="shared" ref="E66:H66" si="38">IF($G$41&gt;=E55,$H$41,0)</f>
        <v>0</v>
      </c>
      <c r="F66" s="24">
        <f t="shared" si="38"/>
        <v>0</v>
      </c>
      <c r="G66" s="24">
        <f t="shared" si="38"/>
        <v>0</v>
      </c>
      <c r="H66" s="24">
        <f t="shared" si="38"/>
        <v>0</v>
      </c>
      <c r="I66" s="24"/>
      <c r="J66" s="24"/>
      <c r="K66" s="24"/>
      <c r="L66" s="24"/>
      <c r="M66" s="1226"/>
      <c r="N66" s="1222"/>
      <c r="P66" s="32" t="str">
        <f>+P41</f>
        <v>…</v>
      </c>
      <c r="Q66" s="24"/>
      <c r="R66" s="1187">
        <f>+W41</f>
        <v>0</v>
      </c>
      <c r="S66" s="24">
        <f>IF($G$41&gt;=S55,$H$41,0)</f>
        <v>0</v>
      </c>
      <c r="T66" s="24">
        <f t="shared" ref="T66:W66" si="39">IF($G$41&gt;=T55,$H$41,0)</f>
        <v>0</v>
      </c>
      <c r="U66" s="24">
        <f t="shared" si="39"/>
        <v>0</v>
      </c>
      <c r="V66" s="24">
        <f t="shared" si="39"/>
        <v>0</v>
      </c>
      <c r="W66" s="24">
        <f t="shared" si="39"/>
        <v>0</v>
      </c>
      <c r="X66" s="24"/>
      <c r="Y66" s="24"/>
      <c r="Z66" s="24"/>
      <c r="AB66" s="1551" t="str">
        <f>+AB41</f>
        <v>…</v>
      </c>
      <c r="AC66" s="1499"/>
      <c r="AD66" s="1525">
        <f>+AI41</f>
        <v>0</v>
      </c>
      <c r="AE66" s="1499">
        <f>IF($G$41&gt;=AE55,$H$41,0)</f>
        <v>0</v>
      </c>
      <c r="AF66" s="1499">
        <f t="shared" ref="AF66:AI66" si="40">IF($G$41&gt;=AF55,$H$41,0)</f>
        <v>0</v>
      </c>
      <c r="AG66" s="1499">
        <f t="shared" si="40"/>
        <v>0</v>
      </c>
      <c r="AH66" s="1499">
        <f t="shared" si="40"/>
        <v>0</v>
      </c>
      <c r="AI66" s="1499">
        <f t="shared" si="40"/>
        <v>0</v>
      </c>
      <c r="AJ66" s="1499"/>
      <c r="AK66" s="1499"/>
      <c r="AL66" s="1499"/>
    </row>
    <row r="67" spans="1:38" s="22" customFormat="1">
      <c r="A67" s="32" t="str">
        <f>+A43</f>
        <v>…</v>
      </c>
      <c r="B67" s="24"/>
      <c r="C67" s="1187">
        <f>+H43</f>
        <v>0</v>
      </c>
      <c r="D67" s="24">
        <f>IF($G$43&gt;=D55,$H$43,0)</f>
        <v>0</v>
      </c>
      <c r="E67" s="24">
        <f t="shared" ref="E67:H67" si="41">IF($G$43&gt;=E55,$H$43,0)</f>
        <v>0</v>
      </c>
      <c r="F67" s="24">
        <f t="shared" si="41"/>
        <v>0</v>
      </c>
      <c r="G67" s="24">
        <f t="shared" si="41"/>
        <v>0</v>
      </c>
      <c r="H67" s="24">
        <f t="shared" si="41"/>
        <v>0</v>
      </c>
      <c r="I67" s="24"/>
      <c r="J67" s="24"/>
      <c r="K67" s="24"/>
      <c r="L67" s="24"/>
      <c r="M67" s="1226"/>
      <c r="N67" s="1222"/>
      <c r="P67" s="32" t="str">
        <f>+P43</f>
        <v>…</v>
      </c>
      <c r="Q67" s="24"/>
      <c r="R67" s="1187">
        <f>+W43</f>
        <v>0</v>
      </c>
      <c r="S67" s="24">
        <f>IF($G$43&gt;=S55,$H$43,0)</f>
        <v>0</v>
      </c>
      <c r="T67" s="24">
        <f t="shared" ref="T67:W67" si="42">IF($G$43&gt;=T55,$H$43,0)</f>
        <v>0</v>
      </c>
      <c r="U67" s="24">
        <f t="shared" si="42"/>
        <v>0</v>
      </c>
      <c r="V67" s="24">
        <f t="shared" si="42"/>
        <v>0</v>
      </c>
      <c r="W67" s="24">
        <f t="shared" si="42"/>
        <v>0</v>
      </c>
      <c r="X67" s="24"/>
      <c r="Y67" s="24"/>
      <c r="Z67" s="24"/>
      <c r="AB67" s="1551" t="str">
        <f>+AB43</f>
        <v>…</v>
      </c>
      <c r="AC67" s="1499"/>
      <c r="AD67" s="1525">
        <f>+AI43</f>
        <v>0</v>
      </c>
      <c r="AE67" s="1499">
        <f>IF($G$43&gt;=AE55,$H$43,0)</f>
        <v>0</v>
      </c>
      <c r="AF67" s="1499">
        <f t="shared" ref="AF67:AI67" si="43">IF($G$43&gt;=AF55,$H$43,0)</f>
        <v>0</v>
      </c>
      <c r="AG67" s="1499">
        <f t="shared" si="43"/>
        <v>0</v>
      </c>
      <c r="AH67" s="1499">
        <f t="shared" si="43"/>
        <v>0</v>
      </c>
      <c r="AI67" s="1499">
        <f t="shared" si="43"/>
        <v>0</v>
      </c>
      <c r="AJ67" s="1499"/>
      <c r="AK67" s="1499"/>
      <c r="AL67" s="1499"/>
    </row>
    <row r="68" spans="1:38" s="22" customFormat="1">
      <c r="A68" s="32" t="str">
        <f>+A45</f>
        <v>…</v>
      </c>
      <c r="B68" s="24"/>
      <c r="C68" s="1187">
        <f>+H45</f>
        <v>0</v>
      </c>
      <c r="D68" s="24">
        <f>IF($G$45&gt;=D55,$H$45,0)</f>
        <v>0</v>
      </c>
      <c r="E68" s="24">
        <f t="shared" ref="E68:H68" si="44">IF($G$45&gt;=E55,$H$45,0)</f>
        <v>0</v>
      </c>
      <c r="F68" s="24">
        <f t="shared" si="44"/>
        <v>0</v>
      </c>
      <c r="G68" s="24">
        <f t="shared" si="44"/>
        <v>0</v>
      </c>
      <c r="H68" s="24">
        <f t="shared" si="44"/>
        <v>0</v>
      </c>
      <c r="I68" s="24"/>
      <c r="J68" s="24"/>
      <c r="K68" s="24"/>
      <c r="L68" s="24"/>
      <c r="M68" s="1226"/>
      <c r="N68" s="1222"/>
      <c r="P68" s="32" t="str">
        <f>+P45</f>
        <v>…</v>
      </c>
      <c r="Q68" s="24"/>
      <c r="R68" s="1187">
        <f>+W45</f>
        <v>0</v>
      </c>
      <c r="S68" s="24">
        <f>IF($G$45&gt;=S55,$H$45,0)</f>
        <v>0</v>
      </c>
      <c r="T68" s="24">
        <f t="shared" ref="T68:W68" si="45">IF($G$45&gt;=T55,$H$45,0)</f>
        <v>0</v>
      </c>
      <c r="U68" s="24">
        <f t="shared" si="45"/>
        <v>0</v>
      </c>
      <c r="V68" s="24">
        <f t="shared" si="45"/>
        <v>0</v>
      </c>
      <c r="W68" s="24">
        <f t="shared" si="45"/>
        <v>0</v>
      </c>
      <c r="X68" s="24"/>
      <c r="Y68" s="24"/>
      <c r="Z68" s="24"/>
      <c r="AB68" s="1551" t="str">
        <f>+AB45</f>
        <v>…</v>
      </c>
      <c r="AC68" s="1499"/>
      <c r="AD68" s="1525">
        <f>+AI45</f>
        <v>0</v>
      </c>
      <c r="AE68" s="1499">
        <f>IF($G$45&gt;=AE55,$H$45,0)</f>
        <v>0</v>
      </c>
      <c r="AF68" s="1499">
        <f t="shared" ref="AF68:AI68" si="46">IF($G$45&gt;=AF55,$H$45,0)</f>
        <v>0</v>
      </c>
      <c r="AG68" s="1499">
        <f t="shared" si="46"/>
        <v>0</v>
      </c>
      <c r="AH68" s="1499">
        <f t="shared" si="46"/>
        <v>0</v>
      </c>
      <c r="AI68" s="1499">
        <f t="shared" si="46"/>
        <v>0</v>
      </c>
      <c r="AJ68" s="1499"/>
      <c r="AK68" s="1499"/>
      <c r="AL68" s="1499"/>
    </row>
    <row r="69" spans="1:38" s="22" customFormat="1">
      <c r="A69" s="1188" t="s">
        <v>637</v>
      </c>
      <c r="B69" s="1188"/>
      <c r="C69" s="1189">
        <f>SUM(C64:C68)</f>
        <v>0</v>
      </c>
      <c r="D69" s="1189">
        <f t="shared" ref="D69:H69" si="47">SUM(D64:D68)</f>
        <v>0</v>
      </c>
      <c r="E69" s="1189">
        <f t="shared" si="47"/>
        <v>0</v>
      </c>
      <c r="F69" s="1189">
        <f t="shared" si="47"/>
        <v>0</v>
      </c>
      <c r="G69" s="1189">
        <f t="shared" si="47"/>
        <v>0</v>
      </c>
      <c r="H69" s="1189">
        <f t="shared" si="47"/>
        <v>0</v>
      </c>
      <c r="I69" s="1189"/>
      <c r="J69" s="1189"/>
      <c r="K69" s="24"/>
      <c r="L69" s="24"/>
      <c r="M69" s="1226"/>
      <c r="N69" s="1222"/>
      <c r="P69" s="1188" t="s">
        <v>637</v>
      </c>
      <c r="Q69" s="1188"/>
      <c r="R69" s="1189">
        <f>SUM(R64:R68)</f>
        <v>0</v>
      </c>
      <c r="S69" s="1189">
        <f t="shared" ref="S69" si="48">SUM(S64:S68)</f>
        <v>0</v>
      </c>
      <c r="T69" s="1189">
        <f t="shared" ref="T69" si="49">SUM(T64:T68)</f>
        <v>0</v>
      </c>
      <c r="U69" s="1189">
        <f t="shared" ref="U69" si="50">SUM(U64:U68)</f>
        <v>0</v>
      </c>
      <c r="V69" s="1189">
        <f t="shared" ref="V69" si="51">SUM(V64:V68)</f>
        <v>0</v>
      </c>
      <c r="W69" s="1189">
        <f t="shared" ref="W69" si="52">SUM(W64:W68)</f>
        <v>0</v>
      </c>
      <c r="X69" s="1189"/>
      <c r="Y69" s="1189"/>
      <c r="Z69" s="24"/>
      <c r="AB69" s="1499" t="s">
        <v>813</v>
      </c>
      <c r="AC69" s="1499"/>
      <c r="AD69" s="1525">
        <f>SUM(AD64:AD68)</f>
        <v>0</v>
      </c>
      <c r="AE69" s="1525">
        <f t="shared" ref="AE69" si="53">SUM(AE64:AE68)</f>
        <v>0</v>
      </c>
      <c r="AF69" s="1525">
        <f t="shared" ref="AF69" si="54">SUM(AF64:AF68)</f>
        <v>0</v>
      </c>
      <c r="AG69" s="1525">
        <f t="shared" ref="AG69" si="55">SUM(AG64:AG68)</f>
        <v>0</v>
      </c>
      <c r="AH69" s="1525">
        <f t="shared" ref="AH69" si="56">SUM(AH64:AH68)</f>
        <v>0</v>
      </c>
      <c r="AI69" s="1525">
        <f t="shared" ref="AI69" si="57">SUM(AI64:AI68)</f>
        <v>0</v>
      </c>
      <c r="AJ69" s="1525"/>
      <c r="AK69" s="1525"/>
      <c r="AL69" s="1499"/>
    </row>
    <row r="70" spans="1:38" s="22" customFormat="1">
      <c r="A70" s="32"/>
      <c r="B70" s="24"/>
      <c r="C70" s="24"/>
      <c r="D70" s="24"/>
      <c r="E70" s="24"/>
      <c r="F70" s="24"/>
      <c r="G70" s="24"/>
      <c r="H70" s="24"/>
      <c r="I70" s="24"/>
      <c r="J70" s="24"/>
      <c r="K70" s="24"/>
      <c r="L70" s="24"/>
      <c r="M70" s="1226"/>
      <c r="N70" s="1222"/>
      <c r="P70" s="32"/>
      <c r="Q70" s="24"/>
      <c r="R70" s="24"/>
      <c r="S70" s="24"/>
      <c r="T70" s="24"/>
      <c r="U70" s="24"/>
      <c r="V70" s="24"/>
      <c r="W70" s="24"/>
      <c r="X70" s="24"/>
      <c r="Y70" s="24"/>
      <c r="Z70" s="24"/>
      <c r="AB70" s="1551"/>
      <c r="AC70" s="1499"/>
      <c r="AD70" s="1499"/>
      <c r="AE70" s="1499"/>
      <c r="AF70" s="1499"/>
      <c r="AG70" s="1499"/>
      <c r="AH70" s="1499"/>
      <c r="AI70" s="1499"/>
      <c r="AJ70" s="1499"/>
      <c r="AK70" s="1499"/>
      <c r="AL70" s="1499"/>
    </row>
    <row r="71" spans="1:38">
      <c r="A71" s="2"/>
      <c r="B71" s="2"/>
      <c r="C71" s="2"/>
      <c r="D71" s="2"/>
      <c r="E71" s="2"/>
      <c r="F71" s="2"/>
      <c r="G71" s="2"/>
      <c r="H71" s="2"/>
      <c r="I71" s="2"/>
      <c r="J71" s="2"/>
      <c r="K71" s="2"/>
      <c r="L71" s="2"/>
      <c r="M71" s="1226"/>
      <c r="P71" s="2"/>
      <c r="Q71" s="2"/>
      <c r="R71" s="2"/>
      <c r="S71" s="2"/>
      <c r="T71" s="2"/>
      <c r="U71" s="2"/>
      <c r="V71" s="2"/>
      <c r="W71" s="2"/>
      <c r="X71" s="2"/>
      <c r="Y71" s="2"/>
      <c r="Z71" s="2"/>
      <c r="AB71" s="1499"/>
      <c r="AC71" s="1499"/>
      <c r="AD71" s="1499"/>
      <c r="AE71" s="1499"/>
      <c r="AF71" s="1499"/>
      <c r="AG71" s="1499"/>
      <c r="AH71" s="1499"/>
      <c r="AI71" s="1499"/>
      <c r="AJ71" s="1499"/>
      <c r="AK71" s="1499"/>
      <c r="AL71" s="1499"/>
    </row>
    <row r="72" spans="1:38" s="22" customFormat="1">
      <c r="A72" s="24"/>
      <c r="B72" s="24"/>
      <c r="C72" s="24"/>
      <c r="D72" s="24"/>
      <c r="E72" s="24"/>
      <c r="F72" s="24"/>
      <c r="G72" s="24"/>
      <c r="H72" s="24"/>
      <c r="I72" s="24"/>
      <c r="J72" s="24"/>
      <c r="K72" s="24"/>
      <c r="L72" s="24"/>
      <c r="M72" s="1226"/>
      <c r="N72" s="1222"/>
      <c r="P72" s="24"/>
      <c r="Q72" s="24"/>
      <c r="R72" s="24"/>
      <c r="S72" s="24"/>
      <c r="T72" s="24"/>
      <c r="U72" s="24"/>
      <c r="V72" s="24"/>
      <c r="W72" s="24"/>
      <c r="X72" s="24"/>
      <c r="Y72" s="24"/>
      <c r="Z72" s="24"/>
      <c r="AB72" s="1499"/>
      <c r="AC72" s="1499"/>
      <c r="AD72" s="1499"/>
      <c r="AE72" s="1499"/>
      <c r="AF72" s="1499"/>
      <c r="AG72" s="1499"/>
      <c r="AH72" s="1499"/>
      <c r="AI72" s="1499"/>
      <c r="AJ72" s="1499"/>
      <c r="AK72" s="1499"/>
      <c r="AL72" s="1499"/>
    </row>
    <row r="73" spans="1:38" s="22" customFormat="1">
      <c r="A73" s="24"/>
      <c r="B73" s="24"/>
      <c r="C73" s="24"/>
      <c r="D73" s="24"/>
      <c r="E73" s="24"/>
      <c r="F73" s="24"/>
      <c r="G73" s="24"/>
      <c r="H73" s="24"/>
      <c r="I73" s="24"/>
      <c r="J73" s="24"/>
      <c r="K73" s="24"/>
      <c r="L73" s="24"/>
      <c r="M73" s="1226"/>
      <c r="N73" s="1222"/>
      <c r="P73" s="24"/>
      <c r="Q73" s="24"/>
      <c r="R73" s="24"/>
      <c r="S73" s="24"/>
      <c r="T73" s="24"/>
      <c r="U73" s="24"/>
      <c r="V73" s="24"/>
      <c r="W73" s="24"/>
      <c r="X73" s="24"/>
      <c r="Y73" s="24"/>
      <c r="Z73" s="24"/>
      <c r="AB73" s="1499"/>
      <c r="AC73" s="1499"/>
      <c r="AD73" s="1499"/>
      <c r="AE73" s="1499"/>
      <c r="AF73" s="1499"/>
      <c r="AG73" s="1499"/>
      <c r="AH73" s="1499"/>
      <c r="AI73" s="1499"/>
      <c r="AJ73" s="1499"/>
      <c r="AK73" s="1499"/>
      <c r="AL73" s="1499"/>
    </row>
    <row r="74" spans="1:38" s="22" customFormat="1">
      <c r="A74" s="24"/>
      <c r="B74" s="24"/>
      <c r="C74" s="24"/>
      <c r="D74" s="24"/>
      <c r="E74" s="24"/>
      <c r="F74" s="24"/>
      <c r="G74" s="24"/>
      <c r="H74" s="24"/>
      <c r="I74" s="24"/>
      <c r="J74" s="24"/>
      <c r="K74" s="24"/>
      <c r="L74" s="24"/>
      <c r="M74" s="1226"/>
      <c r="N74" s="1222"/>
      <c r="P74" s="24"/>
      <c r="Q74" s="24"/>
      <c r="R74" s="24"/>
      <c r="S74" s="24"/>
      <c r="T74" s="24"/>
      <c r="U74" s="24"/>
      <c r="V74" s="24"/>
      <c r="W74" s="24"/>
      <c r="X74" s="24"/>
      <c r="Y74" s="24"/>
      <c r="Z74" s="24"/>
      <c r="AB74" s="1499"/>
      <c r="AC74" s="1499"/>
      <c r="AD74" s="1499"/>
      <c r="AE74" s="1499"/>
      <c r="AF74" s="1499"/>
      <c r="AG74" s="1499"/>
      <c r="AH74" s="1499"/>
      <c r="AI74" s="1499"/>
      <c r="AJ74" s="1499"/>
      <c r="AK74" s="1499"/>
      <c r="AL74" s="1499"/>
    </row>
    <row r="75" spans="1:38" s="22" customFormat="1">
      <c r="A75" s="24"/>
      <c r="B75" s="24"/>
      <c r="C75" s="24"/>
      <c r="D75" s="24"/>
      <c r="E75" s="24"/>
      <c r="F75" s="24"/>
      <c r="G75" s="24"/>
      <c r="H75" s="24"/>
      <c r="I75" s="24"/>
      <c r="J75" s="24"/>
      <c r="K75" s="24"/>
      <c r="L75" s="24"/>
      <c r="M75" s="1226"/>
      <c r="N75" s="1222"/>
      <c r="P75" s="24"/>
      <c r="Q75" s="24"/>
      <c r="R75" s="24"/>
      <c r="S75" s="24"/>
      <c r="T75" s="24"/>
      <c r="U75" s="24"/>
      <c r="V75" s="24"/>
      <c r="W75" s="24"/>
      <c r="X75" s="24"/>
      <c r="Y75" s="24"/>
      <c r="Z75" s="24"/>
      <c r="AB75" s="1499"/>
      <c r="AC75" s="1499"/>
      <c r="AD75" s="1499"/>
      <c r="AE75" s="1499"/>
      <c r="AF75" s="1499"/>
      <c r="AG75" s="1499"/>
      <c r="AH75" s="1499"/>
      <c r="AI75" s="1499"/>
      <c r="AJ75" s="1499"/>
      <c r="AK75" s="1499"/>
      <c r="AL75" s="1499"/>
    </row>
    <row r="76" spans="1:38" s="22" customFormat="1">
      <c r="A76" s="24"/>
      <c r="B76" s="24"/>
      <c r="C76" s="24"/>
      <c r="D76" s="24"/>
      <c r="E76" s="24"/>
      <c r="F76" s="24"/>
      <c r="G76" s="24"/>
      <c r="H76" s="24"/>
      <c r="I76" s="24"/>
      <c r="J76" s="24"/>
      <c r="K76" s="24"/>
      <c r="L76" s="24"/>
      <c r="M76" s="1226"/>
      <c r="N76" s="1222"/>
      <c r="P76" s="24"/>
      <c r="Q76" s="24"/>
      <c r="R76" s="24"/>
      <c r="S76" s="24"/>
      <c r="T76" s="24"/>
      <c r="U76" s="24"/>
      <c r="V76" s="24"/>
      <c r="W76" s="24"/>
      <c r="X76" s="24"/>
      <c r="Y76" s="24"/>
      <c r="Z76" s="24"/>
      <c r="AB76" s="1499"/>
      <c r="AC76" s="1499"/>
      <c r="AD76" s="1499"/>
      <c r="AE76" s="1499"/>
      <c r="AF76" s="1499"/>
      <c r="AG76" s="1499"/>
      <c r="AH76" s="1499"/>
      <c r="AI76" s="1499"/>
      <c r="AJ76" s="1499"/>
      <c r="AK76" s="1499"/>
      <c r="AL76" s="1499"/>
    </row>
    <row r="77" spans="1:38" s="22" customFormat="1">
      <c r="A77" s="24"/>
      <c r="B77" s="24"/>
      <c r="C77" s="24"/>
      <c r="D77" s="24"/>
      <c r="E77" s="24"/>
      <c r="F77" s="24"/>
      <c r="G77" s="24"/>
      <c r="H77" s="24"/>
      <c r="I77" s="24"/>
      <c r="J77" s="24"/>
      <c r="K77" s="24"/>
      <c r="L77" s="24"/>
      <c r="M77" s="1226"/>
      <c r="N77" s="1222"/>
      <c r="P77" s="24"/>
      <c r="Q77" s="24"/>
      <c r="R77" s="24"/>
      <c r="S77" s="24"/>
      <c r="T77" s="24"/>
      <c r="U77" s="24"/>
      <c r="V77" s="24"/>
      <c r="W77" s="24"/>
      <c r="X77" s="24"/>
      <c r="Y77" s="24"/>
      <c r="Z77" s="24"/>
      <c r="AB77" s="1499"/>
      <c r="AC77" s="1499"/>
      <c r="AD77" s="1499"/>
      <c r="AE77" s="1499"/>
      <c r="AF77" s="1499"/>
      <c r="AG77" s="1499"/>
      <c r="AH77" s="1499"/>
      <c r="AI77" s="1499"/>
      <c r="AJ77" s="1499"/>
      <c r="AK77" s="1499"/>
      <c r="AL77" s="1499"/>
    </row>
    <row r="78" spans="1:38" s="22" customFormat="1">
      <c r="A78" s="24"/>
      <c r="B78" s="24"/>
      <c r="C78" s="24"/>
      <c r="D78" s="24"/>
      <c r="E78" s="24"/>
      <c r="F78" s="24"/>
      <c r="G78" s="24"/>
      <c r="H78" s="24"/>
      <c r="I78" s="24"/>
      <c r="J78" s="24"/>
      <c r="K78" s="24"/>
      <c r="L78" s="24"/>
      <c r="M78" s="1226"/>
      <c r="N78" s="1222"/>
      <c r="P78" s="24"/>
      <c r="Q78" s="24"/>
      <c r="R78" s="24"/>
      <c r="S78" s="24"/>
      <c r="T78" s="24"/>
      <c r="U78" s="24"/>
      <c r="V78" s="24"/>
      <c r="W78" s="24"/>
      <c r="X78" s="24"/>
      <c r="Y78" s="24"/>
      <c r="Z78" s="24"/>
      <c r="AB78" s="1499"/>
      <c r="AC78" s="1499"/>
      <c r="AD78" s="1499"/>
      <c r="AE78" s="1499"/>
      <c r="AF78" s="1499"/>
      <c r="AG78" s="1499"/>
      <c r="AH78" s="1499"/>
      <c r="AI78" s="1499"/>
      <c r="AJ78" s="1499"/>
      <c r="AK78" s="1499"/>
      <c r="AL78" s="1499"/>
    </row>
    <row r="79" spans="1:38" s="22" customFormat="1">
      <c r="A79" s="24"/>
      <c r="B79" s="24"/>
      <c r="C79" s="24"/>
      <c r="D79" s="24"/>
      <c r="E79" s="24"/>
      <c r="F79" s="24"/>
      <c r="G79" s="24"/>
      <c r="H79" s="24"/>
      <c r="I79" s="24"/>
      <c r="J79" s="24"/>
      <c r="K79" s="24"/>
      <c r="L79" s="24"/>
      <c r="M79" s="1226"/>
      <c r="N79" s="1222"/>
      <c r="P79" s="24"/>
      <c r="Q79" s="24"/>
      <c r="R79" s="24"/>
      <c r="S79" s="24"/>
      <c r="T79" s="24"/>
      <c r="U79" s="24"/>
      <c r="V79" s="24"/>
      <c r="W79" s="24"/>
      <c r="X79" s="24"/>
      <c r="Y79" s="24"/>
      <c r="Z79" s="24"/>
      <c r="AB79" s="1499"/>
      <c r="AC79" s="1499"/>
      <c r="AD79" s="1499"/>
      <c r="AE79" s="1499"/>
      <c r="AF79" s="1499"/>
      <c r="AG79" s="1499"/>
      <c r="AH79" s="1499"/>
      <c r="AI79" s="1499"/>
      <c r="AJ79" s="1499"/>
      <c r="AK79" s="1499"/>
      <c r="AL79" s="1499"/>
    </row>
    <row r="80" spans="1:38" s="22" customFormat="1">
      <c r="A80" s="24"/>
      <c r="B80" s="24"/>
      <c r="C80" s="24"/>
      <c r="D80" s="24"/>
      <c r="E80" s="24"/>
      <c r="F80" s="24"/>
      <c r="G80" s="24"/>
      <c r="H80" s="24"/>
      <c r="I80" s="24"/>
      <c r="J80" s="24"/>
      <c r="K80" s="24"/>
      <c r="L80" s="24"/>
      <c r="M80" s="1226"/>
      <c r="N80" s="1222"/>
      <c r="P80" s="24"/>
      <c r="Q80" s="24"/>
      <c r="R80" s="24"/>
      <c r="S80" s="24"/>
      <c r="T80" s="24"/>
      <c r="U80" s="24"/>
      <c r="V80" s="24"/>
      <c r="W80" s="24"/>
      <c r="X80" s="24"/>
      <c r="Y80" s="24"/>
      <c r="Z80" s="24"/>
      <c r="AB80" s="1499"/>
      <c r="AC80" s="1499"/>
      <c r="AD80" s="1499"/>
      <c r="AE80" s="1499"/>
      <c r="AF80" s="1499"/>
      <c r="AG80" s="1499"/>
      <c r="AH80" s="1499"/>
      <c r="AI80" s="1499"/>
      <c r="AJ80" s="1499"/>
      <c r="AK80" s="1499"/>
      <c r="AL80" s="1499"/>
    </row>
    <row r="81" spans="1:38" s="22" customFormat="1">
      <c r="A81" s="24"/>
      <c r="B81" s="24"/>
      <c r="C81" s="24"/>
      <c r="D81" s="24"/>
      <c r="E81" s="24"/>
      <c r="F81" s="24"/>
      <c r="G81" s="24"/>
      <c r="H81" s="24"/>
      <c r="I81" s="24"/>
      <c r="J81" s="24"/>
      <c r="K81" s="24"/>
      <c r="L81" s="24"/>
      <c r="M81" s="1226"/>
      <c r="N81" s="1222"/>
      <c r="P81" s="24"/>
      <c r="Q81" s="24"/>
      <c r="R81" s="24"/>
      <c r="S81" s="24"/>
      <c r="T81" s="24"/>
      <c r="U81" s="24"/>
      <c r="V81" s="24"/>
      <c r="W81" s="24"/>
      <c r="X81" s="24"/>
      <c r="Y81" s="24"/>
      <c r="Z81" s="24"/>
      <c r="AB81" s="1499"/>
      <c r="AC81" s="1499"/>
      <c r="AD81" s="1499"/>
      <c r="AE81" s="1499"/>
      <c r="AF81" s="1499"/>
      <c r="AG81" s="1499"/>
      <c r="AH81" s="1499"/>
      <c r="AI81" s="1499"/>
      <c r="AJ81" s="1499"/>
      <c r="AK81" s="1499"/>
      <c r="AL81" s="1499"/>
    </row>
    <row r="82" spans="1:38" s="22" customFormat="1">
      <c r="A82" s="24"/>
      <c r="B82" s="24"/>
      <c r="C82" s="24"/>
      <c r="D82" s="24"/>
      <c r="E82" s="24"/>
      <c r="F82" s="24"/>
      <c r="G82" s="24"/>
      <c r="H82" s="24"/>
      <c r="I82" s="24"/>
      <c r="J82" s="24"/>
      <c r="K82" s="24"/>
      <c r="L82" s="24"/>
      <c r="M82" s="1226"/>
      <c r="N82" s="1222"/>
      <c r="P82" s="24"/>
      <c r="Q82" s="24"/>
      <c r="R82" s="24"/>
      <c r="S82" s="24"/>
      <c r="T82" s="24"/>
      <c r="U82" s="24"/>
      <c r="V82" s="24"/>
      <c r="W82" s="24"/>
      <c r="X82" s="24"/>
      <c r="Y82" s="24"/>
      <c r="Z82" s="24"/>
      <c r="AB82" s="1499"/>
      <c r="AC82" s="1499"/>
      <c r="AD82" s="1499"/>
      <c r="AE82" s="1499"/>
      <c r="AF82" s="1499"/>
      <c r="AG82" s="1499"/>
      <c r="AH82" s="1499"/>
      <c r="AI82" s="1499"/>
      <c r="AJ82" s="1499"/>
      <c r="AK82" s="1499"/>
      <c r="AL82" s="1499"/>
    </row>
    <row r="83" spans="1:38" s="22" customFormat="1">
      <c r="A83" s="24"/>
      <c r="B83" s="24"/>
      <c r="C83" s="24"/>
      <c r="D83" s="24"/>
      <c r="E83" s="24"/>
      <c r="F83" s="24"/>
      <c r="G83" s="24"/>
      <c r="H83" s="24"/>
      <c r="I83" s="24"/>
      <c r="J83" s="24"/>
      <c r="K83" s="24"/>
      <c r="L83" s="24"/>
      <c r="M83" s="1226"/>
      <c r="N83" s="1222"/>
      <c r="P83" s="24"/>
      <c r="Q83" s="24"/>
      <c r="R83" s="24"/>
      <c r="S83" s="24"/>
      <c r="T83" s="24"/>
      <c r="U83" s="24"/>
      <c r="V83" s="24"/>
      <c r="W83" s="24"/>
      <c r="X83" s="24"/>
      <c r="Y83" s="24"/>
      <c r="Z83" s="24"/>
      <c r="AB83" s="1499"/>
      <c r="AC83" s="1499"/>
      <c r="AD83" s="1499"/>
      <c r="AE83" s="1499"/>
      <c r="AF83" s="1499"/>
      <c r="AG83" s="1499"/>
      <c r="AH83" s="1499"/>
      <c r="AI83" s="1499"/>
      <c r="AJ83" s="1499"/>
      <c r="AK83" s="1499"/>
      <c r="AL83" s="1499"/>
    </row>
    <row r="84" spans="1:38" s="22" customFormat="1">
      <c r="A84" s="24"/>
      <c r="B84" s="24"/>
      <c r="C84" s="24"/>
      <c r="D84" s="24"/>
      <c r="E84" s="24"/>
      <c r="F84" s="24"/>
      <c r="G84" s="24"/>
      <c r="H84" s="24"/>
      <c r="I84" s="24"/>
      <c r="J84" s="24"/>
      <c r="K84" s="24"/>
      <c r="L84" s="24"/>
      <c r="M84" s="1226"/>
      <c r="N84" s="1222"/>
      <c r="P84" s="24"/>
      <c r="Q84" s="24"/>
      <c r="R84" s="24"/>
      <c r="S84" s="24"/>
      <c r="T84" s="24"/>
      <c r="U84" s="24"/>
      <c r="V84" s="24"/>
      <c r="W84" s="24"/>
      <c r="X84" s="24"/>
      <c r="Y84" s="24"/>
      <c r="Z84" s="24"/>
      <c r="AB84" s="1499"/>
      <c r="AC84" s="1499"/>
      <c r="AD84" s="1499"/>
      <c r="AE84" s="1499"/>
      <c r="AF84" s="1499"/>
      <c r="AG84" s="1499"/>
      <c r="AH84" s="1499"/>
      <c r="AI84" s="1499"/>
      <c r="AJ84" s="1499"/>
      <c r="AK84" s="1499"/>
      <c r="AL84" s="1499"/>
    </row>
    <row r="85" spans="1:38" s="22" customFormat="1">
      <c r="A85" s="24"/>
      <c r="B85" s="24"/>
      <c r="C85" s="24"/>
      <c r="D85" s="24"/>
      <c r="E85" s="24"/>
      <c r="F85" s="24"/>
      <c r="G85" s="24"/>
      <c r="H85" s="24"/>
      <c r="I85" s="24"/>
      <c r="J85" s="24"/>
      <c r="K85" s="24"/>
      <c r="L85" s="24"/>
      <c r="M85" s="1226"/>
      <c r="N85" s="1222"/>
      <c r="P85" s="24"/>
      <c r="Q85" s="24"/>
      <c r="R85" s="24"/>
      <c r="S85" s="24"/>
      <c r="T85" s="24"/>
      <c r="U85" s="24"/>
      <c r="V85" s="24"/>
      <c r="W85" s="24"/>
      <c r="X85" s="24"/>
      <c r="Y85" s="24"/>
      <c r="Z85" s="24"/>
      <c r="AB85" s="1499"/>
      <c r="AC85" s="1499"/>
      <c r="AD85" s="1499"/>
      <c r="AE85" s="1499"/>
      <c r="AF85" s="1499"/>
      <c r="AG85" s="1499"/>
      <c r="AH85" s="1499"/>
      <c r="AI85" s="1499"/>
      <c r="AJ85" s="1499"/>
      <c r="AK85" s="1499"/>
      <c r="AL85" s="1499"/>
    </row>
    <row r="86" spans="1:38" s="22" customFormat="1">
      <c r="A86" s="24"/>
      <c r="B86" s="24"/>
      <c r="C86" s="24"/>
      <c r="D86" s="24"/>
      <c r="E86" s="24"/>
      <c r="F86" s="24"/>
      <c r="G86" s="24"/>
      <c r="H86" s="24"/>
      <c r="I86" s="24"/>
      <c r="J86" s="24"/>
      <c r="K86" s="24"/>
      <c r="L86" s="24"/>
      <c r="M86" s="1226"/>
      <c r="N86" s="1222"/>
      <c r="P86" s="24"/>
      <c r="Q86" s="24"/>
      <c r="R86" s="24"/>
      <c r="S86" s="24"/>
      <c r="T86" s="24"/>
      <c r="U86" s="24"/>
      <c r="V86" s="24"/>
      <c r="W86" s="24"/>
      <c r="X86" s="24"/>
      <c r="Y86" s="24"/>
      <c r="Z86" s="24"/>
      <c r="AB86" s="1499"/>
      <c r="AC86" s="1499"/>
      <c r="AD86" s="1499"/>
      <c r="AE86" s="1499"/>
      <c r="AF86" s="1499"/>
      <c r="AG86" s="1499"/>
      <c r="AH86" s="1499"/>
      <c r="AI86" s="1499"/>
      <c r="AJ86" s="1499"/>
      <c r="AK86" s="1499"/>
      <c r="AL86" s="1499"/>
    </row>
    <row r="87" spans="1:38" s="22" customFormat="1">
      <c r="A87" s="24"/>
      <c r="B87" s="24"/>
      <c r="C87" s="24"/>
      <c r="D87" s="24"/>
      <c r="E87" s="24"/>
      <c r="F87" s="24"/>
      <c r="G87" s="24"/>
      <c r="H87" s="24"/>
      <c r="I87" s="24"/>
      <c r="J87" s="24"/>
      <c r="K87" s="24"/>
      <c r="L87" s="24"/>
      <c r="M87" s="1226"/>
      <c r="N87" s="1222"/>
      <c r="P87" s="24"/>
      <c r="Q87" s="24"/>
      <c r="R87" s="24"/>
      <c r="S87" s="24"/>
      <c r="T87" s="24"/>
      <c r="U87" s="24"/>
      <c r="V87" s="24"/>
      <c r="W87" s="24"/>
      <c r="X87" s="24"/>
      <c r="Y87" s="24"/>
      <c r="Z87" s="24"/>
      <c r="AB87" s="1499"/>
      <c r="AC87" s="1499"/>
      <c r="AD87" s="1499"/>
      <c r="AE87" s="1499"/>
      <c r="AF87" s="1499"/>
      <c r="AG87" s="1499"/>
      <c r="AH87" s="1499"/>
      <c r="AI87" s="1499"/>
      <c r="AJ87" s="1499"/>
      <c r="AK87" s="1499"/>
      <c r="AL87" s="1499"/>
    </row>
    <row r="88" spans="1:38" s="22" customFormat="1">
      <c r="A88" s="24"/>
      <c r="B88" s="24"/>
      <c r="C88" s="24"/>
      <c r="D88" s="24"/>
      <c r="E88" s="24"/>
      <c r="F88" s="24"/>
      <c r="G88" s="24"/>
      <c r="H88" s="24"/>
      <c r="I88" s="24"/>
      <c r="J88" s="24"/>
      <c r="K88" s="24"/>
      <c r="L88" s="24"/>
      <c r="M88" s="1226"/>
      <c r="N88" s="1222"/>
      <c r="P88" s="24"/>
      <c r="Q88" s="24"/>
      <c r="R88" s="24"/>
      <c r="S88" s="24"/>
      <c r="T88" s="24"/>
      <c r="U88" s="24"/>
      <c r="V88" s="24"/>
      <c r="W88" s="24"/>
      <c r="X88" s="24"/>
      <c r="Y88" s="24"/>
      <c r="Z88" s="24"/>
      <c r="AB88" s="1499"/>
      <c r="AC88" s="1499"/>
      <c r="AD88" s="1499"/>
      <c r="AE88" s="1499"/>
      <c r="AF88" s="1499"/>
      <c r="AG88" s="1499"/>
      <c r="AH88" s="1499"/>
      <c r="AI88" s="1499"/>
      <c r="AJ88" s="1499"/>
      <c r="AK88" s="1499"/>
      <c r="AL88" s="1499"/>
    </row>
    <row r="89" spans="1:38" s="22" customFormat="1">
      <c r="A89" s="24"/>
      <c r="B89" s="24"/>
      <c r="C89" s="24"/>
      <c r="D89" s="24"/>
      <c r="E89" s="24"/>
      <c r="F89" s="24"/>
      <c r="G89" s="24"/>
      <c r="H89" s="24"/>
      <c r="I89" s="24"/>
      <c r="J89" s="24"/>
      <c r="K89" s="24"/>
      <c r="L89" s="24"/>
      <c r="M89" s="1226"/>
      <c r="N89" s="1222"/>
      <c r="P89" s="24"/>
      <c r="Q89" s="24"/>
      <c r="R89" s="24"/>
      <c r="S89" s="24"/>
      <c r="T89" s="24"/>
      <c r="U89" s="24"/>
      <c r="V89" s="24"/>
      <c r="W89" s="24"/>
      <c r="X89" s="24"/>
      <c r="Y89" s="24"/>
      <c r="Z89" s="24"/>
      <c r="AB89" s="1499"/>
      <c r="AC89" s="1499"/>
      <c r="AD89" s="1499"/>
      <c r="AE89" s="1499"/>
      <c r="AF89" s="1499"/>
      <c r="AG89" s="1499"/>
      <c r="AH89" s="1499"/>
      <c r="AI89" s="1499"/>
      <c r="AJ89" s="1499"/>
      <c r="AK89" s="1499"/>
      <c r="AL89" s="1499"/>
    </row>
    <row r="90" spans="1:38" s="22" customFormat="1">
      <c r="A90" s="24"/>
      <c r="B90" s="24"/>
      <c r="C90" s="24"/>
      <c r="D90" s="24"/>
      <c r="E90" s="24"/>
      <c r="F90" s="24"/>
      <c r="G90" s="24"/>
      <c r="H90" s="24"/>
      <c r="I90" s="24"/>
      <c r="J90" s="24"/>
      <c r="K90" s="24"/>
      <c r="L90" s="24"/>
      <c r="M90" s="1226"/>
      <c r="N90" s="1222"/>
      <c r="P90" s="24"/>
      <c r="Q90" s="24"/>
      <c r="R90" s="24"/>
      <c r="S90" s="24"/>
      <c r="T90" s="24"/>
      <c r="U90" s="24"/>
      <c r="V90" s="24"/>
      <c r="W90" s="24"/>
      <c r="X90" s="24"/>
      <c r="Y90" s="24"/>
      <c r="Z90" s="24"/>
      <c r="AB90" s="1499"/>
      <c r="AC90" s="1499"/>
      <c r="AD90" s="1499"/>
      <c r="AE90" s="1499"/>
      <c r="AF90" s="1499"/>
      <c r="AG90" s="1499"/>
      <c r="AH90" s="1499"/>
      <c r="AI90" s="1499"/>
      <c r="AJ90" s="1499"/>
      <c r="AK90" s="1499"/>
      <c r="AL90" s="1499"/>
    </row>
    <row r="91" spans="1:38" s="22" customFormat="1">
      <c r="A91" s="24"/>
      <c r="B91" s="24"/>
      <c r="C91" s="24"/>
      <c r="D91" s="24"/>
      <c r="E91" s="24"/>
      <c r="F91" s="24"/>
      <c r="G91" s="24"/>
      <c r="H91" s="24"/>
      <c r="I91" s="24"/>
      <c r="J91" s="24"/>
      <c r="K91" s="24"/>
      <c r="L91" s="24"/>
      <c r="M91" s="1226"/>
      <c r="N91" s="1222"/>
      <c r="P91" s="24"/>
      <c r="Q91" s="24"/>
      <c r="R91" s="24"/>
      <c r="S91" s="24"/>
      <c r="T91" s="24"/>
      <c r="U91" s="24"/>
      <c r="V91" s="24"/>
      <c r="W91" s="24"/>
      <c r="X91" s="24"/>
      <c r="Y91" s="24"/>
      <c r="Z91" s="24"/>
      <c r="AB91" s="1499"/>
      <c r="AC91" s="1499"/>
      <c r="AD91" s="1499"/>
      <c r="AE91" s="1499"/>
      <c r="AF91" s="1499"/>
      <c r="AG91" s="1499"/>
      <c r="AH91" s="1499"/>
      <c r="AI91" s="1499"/>
      <c r="AJ91" s="1499"/>
      <c r="AK91" s="1499"/>
      <c r="AL91" s="1499"/>
    </row>
    <row r="92" spans="1:38" s="22" customFormat="1">
      <c r="A92" s="24"/>
      <c r="B92" s="24"/>
      <c r="C92" s="24"/>
      <c r="D92" s="24"/>
      <c r="E92" s="24"/>
      <c r="F92" s="24"/>
      <c r="G92" s="24"/>
      <c r="H92" s="24"/>
      <c r="I92" s="24"/>
      <c r="J92" s="24"/>
      <c r="K92" s="24"/>
      <c r="L92" s="24"/>
      <c r="M92" s="1226"/>
      <c r="N92" s="1222"/>
      <c r="P92" s="24"/>
      <c r="Q92" s="24"/>
      <c r="R92" s="24"/>
      <c r="S92" s="24"/>
      <c r="T92" s="24"/>
      <c r="U92" s="24"/>
      <c r="V92" s="24"/>
      <c r="W92" s="24"/>
      <c r="X92" s="24"/>
      <c r="Y92" s="24"/>
      <c r="Z92" s="24"/>
      <c r="AB92" s="1499"/>
      <c r="AC92" s="1499"/>
      <c r="AD92" s="1499"/>
      <c r="AE92" s="1499"/>
      <c r="AF92" s="1499"/>
      <c r="AG92" s="1499"/>
      <c r="AH92" s="1499"/>
      <c r="AI92" s="1499"/>
      <c r="AJ92" s="1499"/>
      <c r="AK92" s="1499"/>
      <c r="AL92" s="1499"/>
    </row>
    <row r="93" spans="1:38">
      <c r="A93" s="2"/>
      <c r="B93" s="2"/>
      <c r="C93" s="2"/>
      <c r="D93" s="2"/>
      <c r="E93" s="2"/>
      <c r="F93" s="2"/>
      <c r="G93" s="2"/>
      <c r="H93" s="2"/>
      <c r="I93" s="2"/>
      <c r="J93" s="2"/>
      <c r="K93" s="2"/>
      <c r="L93" s="2"/>
      <c r="M93" s="1226"/>
      <c r="P93" s="2"/>
      <c r="Q93" s="2"/>
      <c r="R93" s="2"/>
      <c r="S93" s="2"/>
      <c r="T93" s="2"/>
      <c r="U93" s="2"/>
      <c r="V93" s="2"/>
      <c r="W93" s="2"/>
      <c r="X93" s="2"/>
      <c r="Y93" s="2"/>
      <c r="Z93" s="2"/>
      <c r="AB93" s="1499"/>
      <c r="AC93" s="1499"/>
      <c r="AD93" s="1499"/>
      <c r="AE93" s="1499"/>
      <c r="AF93" s="1499"/>
      <c r="AG93" s="1499"/>
      <c r="AH93" s="1499"/>
      <c r="AI93" s="1499"/>
      <c r="AJ93" s="1499"/>
      <c r="AK93" s="1499"/>
      <c r="AL93" s="1499"/>
    </row>
    <row r="94" spans="1:38">
      <c r="A94" s="2"/>
      <c r="B94" s="2"/>
      <c r="C94" s="2"/>
      <c r="D94" s="2"/>
      <c r="E94" s="2"/>
      <c r="F94" s="2"/>
      <c r="G94" s="2"/>
      <c r="H94" s="2"/>
      <c r="I94" s="2"/>
      <c r="J94" s="2"/>
      <c r="K94" s="2"/>
      <c r="L94" s="2"/>
      <c r="M94" s="1226"/>
      <c r="P94" s="2"/>
      <c r="Q94" s="2"/>
      <c r="R94" s="2"/>
      <c r="S94" s="2"/>
      <c r="T94" s="2"/>
      <c r="U94" s="2"/>
      <c r="V94" s="2"/>
      <c r="W94" s="2"/>
      <c r="X94" s="2"/>
      <c r="Y94" s="2"/>
      <c r="Z94" s="2"/>
      <c r="AB94" s="1499"/>
      <c r="AC94" s="1499"/>
      <c r="AD94" s="1499"/>
      <c r="AE94" s="1499"/>
      <c r="AF94" s="1499"/>
      <c r="AG94" s="1499"/>
      <c r="AH94" s="1499"/>
      <c r="AI94" s="1499"/>
      <c r="AJ94" s="1499"/>
      <c r="AK94" s="1499"/>
      <c r="AL94" s="1499"/>
    </row>
    <row r="95" spans="1:38">
      <c r="A95" s="2"/>
      <c r="B95" s="2"/>
      <c r="C95" s="2"/>
      <c r="D95" s="2"/>
      <c r="E95" s="2"/>
      <c r="F95" s="2"/>
      <c r="G95" s="2"/>
      <c r="H95" s="2"/>
      <c r="I95" s="2"/>
      <c r="J95" s="2"/>
      <c r="K95" s="2"/>
      <c r="L95" s="2"/>
      <c r="M95" s="1226"/>
      <c r="P95" s="2"/>
      <c r="Q95" s="2"/>
      <c r="R95" s="2"/>
      <c r="S95" s="2"/>
      <c r="T95" s="2"/>
      <c r="U95" s="2"/>
      <c r="V95" s="2"/>
      <c r="W95" s="2"/>
      <c r="X95" s="2"/>
      <c r="Y95" s="2"/>
      <c r="Z95" s="2"/>
      <c r="AB95" s="1499"/>
      <c r="AC95" s="1499"/>
      <c r="AD95" s="1499"/>
      <c r="AE95" s="1499"/>
      <c r="AF95" s="1499"/>
      <c r="AG95" s="1499"/>
      <c r="AH95" s="1499"/>
      <c r="AI95" s="1499"/>
      <c r="AJ95" s="1499"/>
      <c r="AK95" s="1499"/>
      <c r="AL95" s="1499"/>
    </row>
    <row r="96" spans="1:38">
      <c r="A96" s="2"/>
      <c r="B96" s="2"/>
      <c r="C96" s="2"/>
      <c r="D96" s="2"/>
      <c r="E96" s="2"/>
      <c r="F96" s="2"/>
      <c r="G96" s="2"/>
      <c r="H96" s="2"/>
      <c r="I96" s="2"/>
      <c r="J96" s="2"/>
      <c r="K96" s="2"/>
      <c r="L96" s="2"/>
      <c r="M96" s="1226"/>
      <c r="P96" s="2"/>
      <c r="Q96" s="2"/>
      <c r="R96" s="2"/>
      <c r="S96" s="2"/>
      <c r="T96" s="2"/>
      <c r="U96" s="2"/>
      <c r="V96" s="2"/>
      <c r="W96" s="2"/>
      <c r="X96" s="2"/>
      <c r="Y96" s="2"/>
      <c r="Z96" s="2"/>
      <c r="AB96" s="1499"/>
      <c r="AC96" s="1499"/>
      <c r="AD96" s="1499"/>
      <c r="AE96" s="1499"/>
      <c r="AF96" s="1499"/>
      <c r="AG96" s="1499"/>
      <c r="AH96" s="1499"/>
      <c r="AI96" s="1499"/>
      <c r="AJ96" s="1499"/>
      <c r="AK96" s="1499"/>
      <c r="AL96" s="1499"/>
    </row>
    <row r="97" spans="1:38">
      <c r="A97" s="2"/>
      <c r="B97" s="2"/>
      <c r="C97" s="2"/>
      <c r="D97" s="2"/>
      <c r="E97" s="2"/>
      <c r="F97" s="2"/>
      <c r="G97" s="2"/>
      <c r="H97" s="2"/>
      <c r="I97" s="2"/>
      <c r="J97" s="2"/>
      <c r="K97" s="2"/>
      <c r="L97" s="2"/>
      <c r="M97" s="1226"/>
      <c r="P97" s="2"/>
      <c r="Q97" s="2"/>
      <c r="R97" s="2"/>
      <c r="S97" s="2"/>
      <c r="T97" s="2"/>
      <c r="U97" s="2"/>
      <c r="V97" s="2"/>
      <c r="W97" s="2"/>
      <c r="X97" s="2"/>
      <c r="Y97" s="2"/>
      <c r="Z97" s="2"/>
      <c r="AB97" s="1499"/>
      <c r="AC97" s="1499"/>
      <c r="AD97" s="1499"/>
      <c r="AE97" s="1499"/>
      <c r="AF97" s="1499"/>
      <c r="AG97" s="1499"/>
      <c r="AH97" s="1499"/>
      <c r="AI97" s="1499"/>
      <c r="AJ97" s="1499"/>
      <c r="AK97" s="1499"/>
      <c r="AL97" s="1499"/>
    </row>
    <row r="98" spans="1:38">
      <c r="A98" s="2"/>
      <c r="B98" s="2"/>
      <c r="C98" s="2"/>
      <c r="D98" s="2"/>
      <c r="E98" s="2"/>
      <c r="F98" s="2"/>
      <c r="G98" s="2"/>
      <c r="H98" s="2"/>
      <c r="I98" s="2"/>
      <c r="J98" s="2"/>
      <c r="K98" s="2"/>
      <c r="L98" s="2"/>
      <c r="M98" s="1226"/>
      <c r="P98" s="2"/>
      <c r="Q98" s="2"/>
      <c r="R98" s="2"/>
      <c r="S98" s="2"/>
      <c r="T98" s="2"/>
      <c r="U98" s="2"/>
      <c r="V98" s="2"/>
      <c r="W98" s="2"/>
      <c r="X98" s="2"/>
      <c r="Y98" s="2"/>
      <c r="Z98" s="2"/>
      <c r="AB98" s="1499"/>
      <c r="AC98" s="1499"/>
      <c r="AD98" s="1499"/>
      <c r="AE98" s="1499"/>
      <c r="AF98" s="1499"/>
      <c r="AG98" s="1499"/>
      <c r="AH98" s="1499"/>
      <c r="AI98" s="1499"/>
      <c r="AJ98" s="1499"/>
      <c r="AK98" s="1499"/>
      <c r="AL98" s="1499"/>
    </row>
    <row r="99" spans="1:38">
      <c r="A99" s="2"/>
      <c r="B99" s="2"/>
      <c r="C99" s="2"/>
      <c r="D99" s="2"/>
      <c r="E99" s="2"/>
      <c r="F99" s="2"/>
      <c r="G99" s="2"/>
      <c r="H99" s="2"/>
      <c r="I99" s="2"/>
      <c r="J99" s="2"/>
      <c r="K99" s="2"/>
      <c r="L99" s="2"/>
      <c r="M99" s="1226"/>
      <c r="P99" s="2"/>
      <c r="Q99" s="2"/>
      <c r="R99" s="2"/>
      <c r="S99" s="2"/>
      <c r="T99" s="2"/>
      <c r="U99" s="2"/>
      <c r="V99" s="2"/>
      <c r="W99" s="2"/>
      <c r="X99" s="2"/>
      <c r="Y99" s="2"/>
      <c r="Z99" s="2"/>
      <c r="AB99" s="1499"/>
      <c r="AC99" s="1499"/>
      <c r="AD99" s="1499"/>
      <c r="AE99" s="1499"/>
      <c r="AF99" s="1499"/>
      <c r="AG99" s="1499"/>
      <c r="AH99" s="1499"/>
      <c r="AI99" s="1499"/>
      <c r="AJ99" s="1499"/>
      <c r="AK99" s="1499"/>
      <c r="AL99" s="1499"/>
    </row>
    <row r="100" spans="1:38">
      <c r="A100" s="2"/>
      <c r="B100" s="2"/>
      <c r="C100" s="2"/>
      <c r="D100" s="2"/>
      <c r="E100" s="2"/>
      <c r="F100" s="2"/>
      <c r="G100" s="2"/>
      <c r="H100" s="2"/>
      <c r="I100" s="2"/>
      <c r="J100" s="2"/>
      <c r="K100" s="2"/>
      <c r="L100" s="2"/>
      <c r="M100" s="1226"/>
      <c r="P100" s="2"/>
      <c r="Q100" s="2"/>
      <c r="R100" s="2"/>
      <c r="S100" s="2"/>
      <c r="T100" s="2"/>
      <c r="U100" s="2"/>
      <c r="V100" s="2"/>
      <c r="W100" s="2"/>
      <c r="X100" s="2"/>
      <c r="Y100" s="2"/>
      <c r="Z100" s="2"/>
      <c r="AB100" s="1499"/>
      <c r="AC100" s="1499"/>
      <c r="AD100" s="1499"/>
      <c r="AE100" s="1499"/>
      <c r="AF100" s="1499"/>
      <c r="AG100" s="1499"/>
      <c r="AH100" s="1499"/>
      <c r="AI100" s="1499"/>
      <c r="AJ100" s="1499"/>
      <c r="AK100" s="1499"/>
      <c r="AL100" s="1499"/>
    </row>
    <row r="101" spans="1:38">
      <c r="A101" s="2"/>
      <c r="B101" s="2"/>
      <c r="C101" s="2"/>
      <c r="D101" s="2"/>
      <c r="E101" s="2"/>
      <c r="F101" s="2"/>
      <c r="G101" s="2"/>
      <c r="H101" s="2"/>
      <c r="I101" s="2"/>
      <c r="J101" s="2"/>
      <c r="K101" s="2"/>
      <c r="L101" s="2"/>
      <c r="M101" s="1226"/>
      <c r="P101" s="2"/>
      <c r="Q101" s="2"/>
      <c r="R101" s="2"/>
      <c r="S101" s="2"/>
      <c r="T101" s="2"/>
      <c r="U101" s="2"/>
      <c r="V101" s="2"/>
      <c r="W101" s="2"/>
      <c r="X101" s="2"/>
      <c r="Y101" s="2"/>
      <c r="Z101" s="2"/>
      <c r="AB101" s="1499"/>
      <c r="AC101" s="1499"/>
      <c r="AD101" s="1499"/>
      <c r="AE101" s="1499"/>
      <c r="AF101" s="1499"/>
      <c r="AG101" s="1499"/>
      <c r="AH101" s="1499"/>
      <c r="AI101" s="1499"/>
      <c r="AJ101" s="1499"/>
      <c r="AK101" s="1499"/>
      <c r="AL101" s="1499"/>
    </row>
    <row r="102" spans="1:38">
      <c r="A102" s="2"/>
      <c r="B102" s="2"/>
      <c r="C102" s="2"/>
      <c r="D102" s="2"/>
      <c r="E102" s="2"/>
      <c r="F102" s="2"/>
      <c r="G102" s="2"/>
      <c r="H102" s="2"/>
      <c r="I102" s="2"/>
      <c r="J102" s="2"/>
      <c r="K102" s="2"/>
      <c r="L102" s="2"/>
      <c r="M102" s="1226"/>
      <c r="P102" s="2"/>
      <c r="Q102" s="2"/>
      <c r="R102" s="2"/>
      <c r="S102" s="2"/>
      <c r="T102" s="2"/>
      <c r="U102" s="2"/>
      <c r="V102" s="2"/>
      <c r="W102" s="2"/>
      <c r="X102" s="2"/>
      <c r="Y102" s="2"/>
      <c r="Z102" s="2"/>
      <c r="AB102" s="1499"/>
      <c r="AC102" s="1499"/>
      <c r="AD102" s="1499"/>
      <c r="AE102" s="1499"/>
      <c r="AF102" s="1499"/>
      <c r="AG102" s="1499"/>
      <c r="AH102" s="1499"/>
      <c r="AI102" s="1499"/>
      <c r="AJ102" s="1499"/>
      <c r="AK102" s="1499"/>
      <c r="AL102" s="1499"/>
    </row>
    <row r="103" spans="1:38">
      <c r="A103" s="2"/>
      <c r="B103" s="2"/>
      <c r="C103" s="2"/>
      <c r="D103" s="2"/>
      <c r="E103" s="2"/>
      <c r="F103" s="2"/>
      <c r="G103" s="2"/>
      <c r="H103" s="2"/>
      <c r="I103" s="2"/>
      <c r="J103" s="2"/>
      <c r="K103" s="2"/>
      <c r="L103" s="2"/>
      <c r="M103" s="1226"/>
      <c r="P103" s="2"/>
      <c r="Q103" s="2"/>
      <c r="R103" s="2"/>
      <c r="S103" s="2"/>
      <c r="T103" s="2"/>
      <c r="U103" s="2"/>
      <c r="V103" s="2"/>
      <c r="W103" s="2"/>
      <c r="X103" s="2"/>
      <c r="Y103" s="2"/>
      <c r="Z103" s="2"/>
      <c r="AB103" s="1499"/>
      <c r="AC103" s="1499"/>
      <c r="AD103" s="1499"/>
      <c r="AE103" s="1499"/>
      <c r="AF103" s="1499"/>
      <c r="AG103" s="1499"/>
      <c r="AH103" s="1499"/>
      <c r="AI103" s="1499"/>
      <c r="AJ103" s="1499"/>
      <c r="AK103" s="1499"/>
      <c r="AL103" s="1499"/>
    </row>
    <row r="104" spans="1:38">
      <c r="A104" s="2"/>
      <c r="B104" s="2"/>
      <c r="C104" s="2"/>
      <c r="D104" s="2"/>
      <c r="E104" s="2"/>
      <c r="F104" s="2"/>
      <c r="G104" s="2"/>
      <c r="H104" s="2"/>
      <c r="I104" s="2"/>
      <c r="J104" s="2"/>
      <c r="K104" s="2"/>
      <c r="L104" s="2"/>
      <c r="M104" s="1226"/>
      <c r="P104" s="2"/>
      <c r="Q104" s="2"/>
      <c r="R104" s="2"/>
      <c r="S104" s="2"/>
      <c r="T104" s="2"/>
      <c r="U104" s="2"/>
      <c r="V104" s="2"/>
      <c r="W104" s="2"/>
      <c r="X104" s="2"/>
      <c r="Y104" s="2"/>
      <c r="Z104" s="2"/>
      <c r="AB104" s="1499"/>
      <c r="AC104" s="1499"/>
      <c r="AD104" s="1499"/>
      <c r="AE104" s="1499"/>
      <c r="AF104" s="1499"/>
      <c r="AG104" s="1499"/>
      <c r="AH104" s="1499"/>
      <c r="AI104" s="1499"/>
      <c r="AJ104" s="1499"/>
      <c r="AK104" s="1499"/>
      <c r="AL104" s="1499"/>
    </row>
    <row r="105" spans="1:38">
      <c r="A105" s="2"/>
      <c r="B105" s="2"/>
      <c r="C105" s="2"/>
      <c r="D105" s="2"/>
      <c r="E105" s="2"/>
      <c r="F105" s="2"/>
      <c r="G105" s="2"/>
      <c r="H105" s="2"/>
      <c r="I105" s="2"/>
      <c r="J105" s="2"/>
      <c r="K105" s="2"/>
      <c r="L105" s="2"/>
      <c r="M105" s="1226"/>
      <c r="P105" s="2"/>
      <c r="Q105" s="2"/>
      <c r="R105" s="2"/>
      <c r="S105" s="2"/>
      <c r="T105" s="2"/>
      <c r="U105" s="2"/>
      <c r="V105" s="2"/>
      <c r="W105" s="2"/>
      <c r="X105" s="2"/>
      <c r="Y105" s="2"/>
      <c r="Z105" s="2"/>
      <c r="AB105" s="1499"/>
      <c r="AC105" s="1499"/>
      <c r="AD105" s="1499"/>
      <c r="AE105" s="1499"/>
      <c r="AF105" s="1499"/>
      <c r="AG105" s="1499"/>
      <c r="AH105" s="1499"/>
      <c r="AI105" s="1499"/>
      <c r="AJ105" s="1499"/>
      <c r="AK105" s="1499"/>
      <c r="AL105" s="1499"/>
    </row>
    <row r="106" spans="1:38">
      <c r="A106" s="2"/>
      <c r="B106" s="2"/>
      <c r="C106" s="2"/>
      <c r="D106" s="2"/>
      <c r="E106" s="2"/>
      <c r="F106" s="2"/>
      <c r="G106" s="2"/>
      <c r="H106" s="2"/>
      <c r="I106" s="2"/>
      <c r="J106" s="2"/>
      <c r="K106" s="2"/>
      <c r="L106" s="2"/>
      <c r="M106" s="1226"/>
      <c r="P106" s="2"/>
      <c r="Q106" s="2"/>
      <c r="R106" s="2"/>
      <c r="S106" s="2"/>
      <c r="T106" s="2"/>
      <c r="U106" s="2"/>
      <c r="V106" s="2"/>
      <c r="W106" s="2"/>
      <c r="X106" s="2"/>
      <c r="Y106" s="2"/>
      <c r="Z106" s="2"/>
      <c r="AB106" s="1499"/>
      <c r="AC106" s="1499"/>
      <c r="AD106" s="1499"/>
      <c r="AE106" s="1499"/>
      <c r="AF106" s="1499"/>
      <c r="AG106" s="1499"/>
      <c r="AH106" s="1499"/>
      <c r="AI106" s="1499"/>
      <c r="AJ106" s="1499"/>
      <c r="AK106" s="1499"/>
      <c r="AL106" s="1499"/>
    </row>
    <row r="107" spans="1:38">
      <c r="A107" s="2"/>
      <c r="B107" s="2"/>
      <c r="C107" s="2"/>
      <c r="D107" s="2"/>
      <c r="E107" s="2"/>
      <c r="F107" s="2"/>
      <c r="G107" s="2"/>
      <c r="H107" s="2"/>
      <c r="I107" s="2"/>
      <c r="J107" s="2"/>
      <c r="K107" s="2"/>
      <c r="L107" s="2"/>
      <c r="M107" s="1226"/>
      <c r="P107" s="2"/>
      <c r="Q107" s="2"/>
      <c r="R107" s="2"/>
      <c r="S107" s="2"/>
      <c r="T107" s="2"/>
      <c r="U107" s="2"/>
      <c r="V107" s="2"/>
      <c r="W107" s="2"/>
      <c r="X107" s="2"/>
      <c r="Y107" s="2"/>
      <c r="Z107" s="2"/>
      <c r="AB107" s="1499"/>
      <c r="AC107" s="1499"/>
      <c r="AD107" s="1499"/>
      <c r="AE107" s="1499"/>
      <c r="AF107" s="1499"/>
      <c r="AG107" s="1499"/>
      <c r="AH107" s="1499"/>
      <c r="AI107" s="1499"/>
      <c r="AJ107" s="1499"/>
      <c r="AK107" s="1499"/>
      <c r="AL107" s="1499"/>
    </row>
    <row r="108" spans="1:38">
      <c r="A108" s="2"/>
      <c r="B108" s="2"/>
      <c r="C108" s="2"/>
      <c r="D108" s="2"/>
      <c r="E108" s="2"/>
      <c r="F108" s="2"/>
      <c r="G108" s="2"/>
      <c r="H108" s="2"/>
      <c r="I108" s="2"/>
      <c r="J108" s="2"/>
      <c r="K108" s="2"/>
      <c r="L108" s="2"/>
      <c r="M108" s="1226"/>
      <c r="P108" s="2"/>
      <c r="Q108" s="2"/>
      <c r="R108" s="2"/>
      <c r="S108" s="2"/>
      <c r="T108" s="2"/>
      <c r="U108" s="2"/>
      <c r="V108" s="2"/>
      <c r="W108" s="2"/>
      <c r="X108" s="2"/>
      <c r="Y108" s="2"/>
      <c r="Z108" s="2"/>
      <c r="AB108" s="1499"/>
      <c r="AC108" s="1499"/>
      <c r="AD108" s="1499"/>
      <c r="AE108" s="1499"/>
      <c r="AF108" s="1499"/>
      <c r="AG108" s="1499"/>
      <c r="AH108" s="1499"/>
      <c r="AI108" s="1499"/>
      <c r="AJ108" s="1499"/>
      <c r="AK108" s="1499"/>
      <c r="AL108" s="1499"/>
    </row>
    <row r="109" spans="1:38">
      <c r="A109" s="2"/>
      <c r="B109" s="2"/>
      <c r="C109" s="2"/>
      <c r="D109" s="2"/>
      <c r="E109" s="2"/>
      <c r="F109" s="2"/>
      <c r="G109" s="2"/>
      <c r="H109" s="2"/>
      <c r="I109" s="2"/>
      <c r="J109" s="2"/>
      <c r="K109" s="2"/>
      <c r="L109" s="2"/>
      <c r="M109" s="1226"/>
      <c r="P109" s="2"/>
      <c r="Q109" s="2"/>
      <c r="R109" s="2"/>
      <c r="S109" s="2"/>
      <c r="T109" s="2"/>
      <c r="U109" s="2"/>
      <c r="V109" s="2"/>
      <c r="W109" s="2"/>
      <c r="X109" s="2"/>
      <c r="Y109" s="2"/>
      <c r="Z109" s="2"/>
      <c r="AB109" s="1499"/>
      <c r="AC109" s="1499"/>
      <c r="AD109" s="1499"/>
      <c r="AE109" s="1499"/>
      <c r="AF109" s="1499"/>
      <c r="AG109" s="1499"/>
      <c r="AH109" s="1499"/>
      <c r="AI109" s="1499"/>
      <c r="AJ109" s="1499"/>
      <c r="AK109" s="1499"/>
      <c r="AL109" s="1499"/>
    </row>
    <row r="110" spans="1:38">
      <c r="A110" s="2"/>
      <c r="B110" s="2"/>
      <c r="C110" s="2"/>
      <c r="D110" s="2"/>
      <c r="E110" s="2"/>
      <c r="F110" s="2"/>
      <c r="G110" s="2"/>
      <c r="H110" s="2"/>
      <c r="I110" s="2"/>
      <c r="J110" s="2"/>
      <c r="K110" s="2"/>
      <c r="L110" s="2"/>
      <c r="M110" s="1226"/>
      <c r="P110" s="2"/>
      <c r="Q110" s="2"/>
      <c r="R110" s="2"/>
      <c r="S110" s="2"/>
      <c r="T110" s="2"/>
      <c r="U110" s="2"/>
      <c r="V110" s="2"/>
      <c r="W110" s="2"/>
      <c r="X110" s="2"/>
      <c r="Y110" s="2"/>
      <c r="Z110" s="2"/>
      <c r="AB110" s="1499"/>
      <c r="AC110" s="1499"/>
      <c r="AD110" s="1499"/>
      <c r="AE110" s="1499"/>
      <c r="AF110" s="1499"/>
      <c r="AG110" s="1499"/>
      <c r="AH110" s="1499"/>
      <c r="AI110" s="1499"/>
      <c r="AJ110" s="1499"/>
      <c r="AK110" s="1499"/>
      <c r="AL110" s="1499"/>
    </row>
    <row r="111" spans="1:38">
      <c r="A111" s="2"/>
      <c r="B111" s="2"/>
      <c r="C111" s="2"/>
      <c r="D111" s="2"/>
      <c r="E111" s="2"/>
      <c r="F111" s="2"/>
      <c r="G111" s="2"/>
      <c r="H111" s="2"/>
      <c r="I111" s="2"/>
      <c r="J111" s="2"/>
      <c r="K111" s="2"/>
      <c r="L111" s="2"/>
      <c r="M111" s="1226"/>
      <c r="P111" s="2"/>
      <c r="Q111" s="2"/>
      <c r="R111" s="2"/>
      <c r="S111" s="2"/>
      <c r="T111" s="2"/>
      <c r="U111" s="2"/>
      <c r="V111" s="2"/>
      <c r="W111" s="2"/>
      <c r="X111" s="2"/>
      <c r="Y111" s="2"/>
      <c r="Z111" s="2"/>
      <c r="AB111" s="1499"/>
      <c r="AC111" s="1499"/>
      <c r="AD111" s="1499"/>
      <c r="AE111" s="1499"/>
      <c r="AF111" s="1499"/>
      <c r="AG111" s="1499"/>
      <c r="AH111" s="1499"/>
      <c r="AI111" s="1499"/>
      <c r="AJ111" s="1499"/>
      <c r="AK111" s="1499"/>
      <c r="AL111" s="1499"/>
    </row>
    <row r="112" spans="1:38">
      <c r="A112" s="2"/>
      <c r="B112" s="2"/>
      <c r="C112" s="2"/>
      <c r="D112" s="2"/>
      <c r="E112" s="2"/>
      <c r="F112" s="2"/>
      <c r="G112" s="2"/>
      <c r="H112" s="2"/>
      <c r="I112" s="2"/>
      <c r="J112" s="2"/>
      <c r="K112" s="2"/>
      <c r="L112" s="2"/>
      <c r="M112" s="1226"/>
      <c r="P112" s="2"/>
      <c r="Q112" s="2"/>
      <c r="R112" s="2"/>
      <c r="S112" s="2"/>
      <c r="T112" s="2"/>
      <c r="U112" s="2"/>
      <c r="V112" s="2"/>
      <c r="W112" s="2"/>
      <c r="X112" s="2"/>
      <c r="Y112" s="2"/>
      <c r="Z112" s="2"/>
      <c r="AB112" s="1499"/>
      <c r="AC112" s="1499"/>
      <c r="AD112" s="1499"/>
      <c r="AE112" s="1499"/>
      <c r="AF112" s="1499"/>
      <c r="AG112" s="1499"/>
      <c r="AH112" s="1499"/>
      <c r="AI112" s="1499"/>
      <c r="AJ112" s="1499"/>
      <c r="AK112" s="1499"/>
      <c r="AL112" s="1499"/>
    </row>
    <row r="113" spans="1:38">
      <c r="A113" s="2"/>
      <c r="B113" s="2"/>
      <c r="C113" s="2"/>
      <c r="D113" s="2"/>
      <c r="E113" s="2"/>
      <c r="F113" s="2"/>
      <c r="G113" s="2"/>
      <c r="H113" s="2"/>
      <c r="I113" s="2"/>
      <c r="J113" s="2"/>
      <c r="K113" s="2"/>
      <c r="L113" s="2"/>
      <c r="M113" s="1226"/>
      <c r="P113" s="2"/>
      <c r="Q113" s="2"/>
      <c r="R113" s="2"/>
      <c r="S113" s="2"/>
      <c r="T113" s="2"/>
      <c r="U113" s="2"/>
      <c r="V113" s="2"/>
      <c r="W113" s="2"/>
      <c r="X113" s="2"/>
      <c r="Y113" s="2"/>
      <c r="Z113" s="2"/>
      <c r="AB113" s="1499"/>
      <c r="AC113" s="1499"/>
      <c r="AD113" s="1499"/>
      <c r="AE113" s="1499"/>
      <c r="AF113" s="1499"/>
      <c r="AG113" s="1499"/>
      <c r="AH113" s="1499"/>
      <c r="AI113" s="1499"/>
      <c r="AJ113" s="1499"/>
      <c r="AK113" s="1499"/>
      <c r="AL113" s="1499"/>
    </row>
    <row r="114" spans="1:38">
      <c r="A114" s="2"/>
      <c r="B114" s="2"/>
      <c r="C114" s="2"/>
      <c r="D114" s="2"/>
      <c r="E114" s="2"/>
      <c r="F114" s="2"/>
      <c r="G114" s="2"/>
      <c r="H114" s="2"/>
      <c r="I114" s="2"/>
      <c r="J114" s="2"/>
      <c r="K114" s="2"/>
      <c r="L114" s="2"/>
      <c r="M114" s="1226"/>
      <c r="P114" s="2"/>
      <c r="Q114" s="2"/>
      <c r="R114" s="2"/>
      <c r="S114" s="2"/>
      <c r="T114" s="2"/>
      <c r="U114" s="2"/>
      <c r="V114" s="2"/>
      <c r="W114" s="2"/>
      <c r="X114" s="2"/>
      <c r="Y114" s="2"/>
      <c r="Z114" s="2"/>
      <c r="AB114" s="1499"/>
      <c r="AC114" s="1499"/>
      <c r="AD114" s="1499"/>
      <c r="AE114" s="1499"/>
      <c r="AF114" s="1499"/>
      <c r="AG114" s="1499"/>
      <c r="AH114" s="1499"/>
      <c r="AI114" s="1499"/>
      <c r="AJ114" s="1499"/>
      <c r="AK114" s="1499"/>
      <c r="AL114" s="1499"/>
    </row>
    <row r="115" spans="1:38">
      <c r="A115" s="2"/>
      <c r="B115" s="2"/>
      <c r="C115" s="2"/>
      <c r="D115" s="2"/>
      <c r="E115" s="2"/>
      <c r="F115" s="2"/>
      <c r="G115" s="2"/>
      <c r="H115" s="2"/>
      <c r="I115" s="2"/>
      <c r="J115" s="2"/>
      <c r="K115" s="2"/>
      <c r="L115" s="2"/>
      <c r="M115" s="1226"/>
      <c r="P115" s="2"/>
      <c r="Q115" s="2"/>
      <c r="R115" s="2"/>
      <c r="S115" s="2"/>
      <c r="T115" s="2"/>
      <c r="U115" s="2"/>
      <c r="V115" s="2"/>
      <c r="W115" s="2"/>
      <c r="X115" s="2"/>
      <c r="Y115" s="2"/>
      <c r="Z115" s="2"/>
      <c r="AB115" s="1499"/>
      <c r="AC115" s="1499"/>
      <c r="AD115" s="1499"/>
      <c r="AE115" s="1499"/>
      <c r="AF115" s="1499"/>
      <c r="AG115" s="1499"/>
      <c r="AH115" s="1499"/>
      <c r="AI115" s="1499"/>
      <c r="AJ115" s="1499"/>
      <c r="AK115" s="1499"/>
      <c r="AL115" s="1499"/>
    </row>
    <row r="116" spans="1:38">
      <c r="A116" s="2"/>
      <c r="B116" s="2"/>
      <c r="C116" s="2"/>
      <c r="D116" s="2"/>
      <c r="E116" s="2"/>
      <c r="F116" s="2"/>
      <c r="G116" s="2"/>
      <c r="H116" s="2"/>
      <c r="I116" s="2"/>
      <c r="J116" s="2"/>
      <c r="K116" s="2"/>
      <c r="L116" s="2"/>
      <c r="M116" s="1226"/>
      <c r="P116" s="2"/>
      <c r="Q116" s="2"/>
      <c r="R116" s="2"/>
      <c r="S116" s="2"/>
      <c r="T116" s="2"/>
      <c r="U116" s="2"/>
      <c r="V116" s="2"/>
      <c r="W116" s="2"/>
      <c r="X116" s="2"/>
      <c r="Y116" s="2"/>
      <c r="Z116" s="2"/>
      <c r="AB116" s="1499"/>
      <c r="AC116" s="1499"/>
      <c r="AD116" s="1499"/>
      <c r="AE116" s="1499"/>
      <c r="AF116" s="1499"/>
      <c r="AG116" s="1499"/>
      <c r="AH116" s="1499"/>
      <c r="AI116" s="1499"/>
      <c r="AJ116" s="1499"/>
      <c r="AK116" s="1499"/>
      <c r="AL116" s="1499"/>
    </row>
  </sheetData>
  <mergeCells count="17">
    <mergeCell ref="A53:B55"/>
    <mergeCell ref="P1:Z1"/>
    <mergeCell ref="P47:R47"/>
    <mergeCell ref="P49:P51"/>
    <mergeCell ref="Q49:R51"/>
    <mergeCell ref="P53:Q55"/>
    <mergeCell ref="A1:K1"/>
    <mergeCell ref="M15:N15"/>
    <mergeCell ref="A47:C47"/>
    <mergeCell ref="A49:A51"/>
    <mergeCell ref="B49:C51"/>
    <mergeCell ref="V15:Y15"/>
    <mergeCell ref="AB1:AL1"/>
    <mergeCell ref="AB47:AD47"/>
    <mergeCell ref="AB49:AB51"/>
    <mergeCell ref="AC49:AD51"/>
    <mergeCell ref="AB53:AC55"/>
  </mergeCells>
  <dataValidations count="2">
    <dataValidation type="list" showInputMessage="1" showErrorMessage="1" sqref="AL6 Z6">
      <formula1>"TLA,TLI,CTP,DIV,GMO,OvL,OvS,ILI,GSM,-,"</formula1>
    </dataValidation>
    <dataValidation type="list" showInputMessage="1" showErrorMessage="1" sqref="K6">
      <formula1>"FVL,CTP,DIV,GMO,Hors FVL,OVL,LOT,MSG,MOY,OVS,AIR,SEA,ROM,WRP,ILI,RPS,-,"</formula1>
    </dataValidation>
  </dataValidations>
  <pageMargins left="0.70866141732283472" right="0.70866141732283472" top="0.74803149606299213" bottom="0.74803149606299213" header="0.31496062992125984" footer="0.31496062992125984"/>
  <pageSetup paperSize="9" scale="56" orientation="portrait" r:id="rId1"/>
</worksheet>
</file>

<file path=xl/worksheets/sheet37.xml><?xml version="1.0" encoding="utf-8"?>
<worksheet xmlns="http://schemas.openxmlformats.org/spreadsheetml/2006/main" xmlns:r="http://schemas.openxmlformats.org/officeDocument/2006/relationships">
  <sheetPr>
    <tabColor rgb="FFFF0000"/>
  </sheetPr>
  <dimension ref="A1:L107"/>
  <sheetViews>
    <sheetView workbookViewId="0">
      <selection activeCell="E51" sqref="E51"/>
    </sheetView>
  </sheetViews>
  <sheetFormatPr baseColWidth="10" defaultColWidth="10.28515625" defaultRowHeight="12.75" outlineLevelRow="1"/>
  <cols>
    <col min="1" max="1" width="56.28515625" style="2153" customWidth="1"/>
    <col min="2" max="2" width="17.7109375" style="2153" customWidth="1"/>
    <col min="3" max="7" width="12.85546875" style="2153" customWidth="1"/>
    <col min="8" max="8" width="7.42578125" style="2153" customWidth="1"/>
    <col min="9" max="9" width="13.140625" style="2153" customWidth="1"/>
    <col min="10" max="11" width="7.42578125" style="2153" customWidth="1"/>
    <col min="12" max="16384" width="10.28515625" style="2153"/>
  </cols>
  <sheetData>
    <row r="1" spans="1:12" ht="16.5">
      <c r="A1" s="78" t="s">
        <v>1108</v>
      </c>
      <c r="B1" s="78" t="str">
        <f>+'Synthèse projet'!C3</f>
        <v>xxxxxx</v>
      </c>
      <c r="C1" s="78"/>
      <c r="D1" s="2283"/>
      <c r="E1" s="2283"/>
      <c r="F1" s="2283"/>
      <c r="G1" s="2152"/>
      <c r="I1" s="2464" t="s">
        <v>151</v>
      </c>
      <c r="J1" s="2153" t="s">
        <v>1106</v>
      </c>
    </row>
    <row r="2" spans="1:12" ht="16.5">
      <c r="A2" s="2154" t="s">
        <v>1107</v>
      </c>
      <c r="G2" s="2155"/>
      <c r="I2" s="2462" t="s">
        <v>151</v>
      </c>
      <c r="J2" s="2153" t="s">
        <v>1109</v>
      </c>
    </row>
    <row r="3" spans="1:12" ht="16.5">
      <c r="A3" s="2154"/>
      <c r="B3" s="2156" t="s">
        <v>1110</v>
      </c>
      <c r="C3" s="2157"/>
      <c r="D3" s="2157"/>
      <c r="E3" s="2157"/>
      <c r="F3" s="2157"/>
      <c r="G3" s="2155"/>
      <c r="I3" s="2465" t="s">
        <v>152</v>
      </c>
      <c r="K3" s="2153" t="s">
        <v>1111</v>
      </c>
    </row>
    <row r="4" spans="1:12">
      <c r="A4" s="2282" t="s">
        <v>1112</v>
      </c>
      <c r="B4" s="2157"/>
      <c r="C4" s="2159" t="s">
        <v>1113</v>
      </c>
      <c r="D4" s="2157"/>
      <c r="E4" s="2157"/>
      <c r="F4" s="2157"/>
      <c r="G4" s="2160"/>
    </row>
    <row r="5" spans="1:12">
      <c r="A5" s="2150" t="s">
        <v>1114</v>
      </c>
      <c r="B5" s="2161"/>
      <c r="C5" s="2162"/>
      <c r="D5" s="2151"/>
      <c r="E5" s="2151"/>
      <c r="F5" s="2151"/>
      <c r="G5" s="2152"/>
    </row>
    <row r="6" spans="1:12">
      <c r="A6" s="2163" t="s">
        <v>1115</v>
      </c>
      <c r="B6" s="2164"/>
      <c r="C6" s="2165"/>
      <c r="D6" s="2157"/>
      <c r="E6" s="2157"/>
      <c r="F6" s="2157"/>
      <c r="G6" s="2155"/>
    </row>
    <row r="7" spans="1:12">
      <c r="A7" s="2163" t="s">
        <v>1116</v>
      </c>
      <c r="B7" s="2162"/>
      <c r="C7" s="2166">
        <v>31</v>
      </c>
      <c r="E7" s="2157" t="s">
        <v>1117</v>
      </c>
      <c r="F7" s="2157"/>
      <c r="G7" s="2167">
        <v>7</v>
      </c>
      <c r="J7" s="2153" t="s">
        <v>1118</v>
      </c>
    </row>
    <row r="8" spans="1:12">
      <c r="A8" s="2163" t="s">
        <v>1119</v>
      </c>
      <c r="B8" s="2165"/>
      <c r="C8" s="2168">
        <v>0.03</v>
      </c>
      <c r="E8" s="2157" t="s">
        <v>1120</v>
      </c>
      <c r="G8" s="2169">
        <v>0.5</v>
      </c>
      <c r="K8" s="2153" t="s">
        <v>1121</v>
      </c>
    </row>
    <row r="9" spans="1:12">
      <c r="A9" s="2163" t="s">
        <v>1122</v>
      </c>
      <c r="B9" s="2162"/>
      <c r="C9" s="2168">
        <v>0.03</v>
      </c>
      <c r="E9" s="2170" t="s">
        <v>1123</v>
      </c>
      <c r="G9" s="2171">
        <v>0.3</v>
      </c>
      <c r="K9" s="2153" t="s">
        <v>1124</v>
      </c>
    </row>
    <row r="10" spans="1:12">
      <c r="A10" s="2163" t="s">
        <v>1125</v>
      </c>
      <c r="B10" s="2165"/>
      <c r="C10" s="2172">
        <v>6.5000000000000002E-2</v>
      </c>
      <c r="E10" s="2157" t="s">
        <v>1126</v>
      </c>
      <c r="G10" s="2171">
        <v>0.03</v>
      </c>
      <c r="K10" s="2153" t="s">
        <v>1127</v>
      </c>
    </row>
    <row r="11" spans="1:12">
      <c r="A11" s="2173" t="s">
        <v>1128</v>
      </c>
      <c r="B11" s="2162"/>
      <c r="C11" s="2174">
        <v>6.5000000000000002E-2</v>
      </c>
      <c r="D11" s="2175"/>
      <c r="E11" s="2175" t="s">
        <v>1129</v>
      </c>
      <c r="F11" s="2175"/>
      <c r="G11" s="2176">
        <v>1</v>
      </c>
      <c r="L11" s="2153" t="s">
        <v>1328</v>
      </c>
    </row>
    <row r="12" spans="1:12" s="2157" customFormat="1">
      <c r="A12" s="2175"/>
      <c r="B12" s="2175"/>
      <c r="C12" s="2175" t="s">
        <v>1130</v>
      </c>
      <c r="D12" s="2177"/>
      <c r="E12" s="2175"/>
      <c r="F12" s="2175"/>
      <c r="G12" s="2175"/>
    </row>
    <row r="13" spans="1:12">
      <c r="A13" s="2282" t="s">
        <v>1131</v>
      </c>
      <c r="B13" s="2282">
        <v>41274</v>
      </c>
      <c r="C13" s="2282">
        <v>2013</v>
      </c>
      <c r="D13" s="2282">
        <v>2014</v>
      </c>
      <c r="E13" s="2282">
        <v>2015</v>
      </c>
      <c r="F13" s="2282">
        <v>2016</v>
      </c>
      <c r="G13" s="2282">
        <v>2017</v>
      </c>
    </row>
    <row r="14" spans="1:12">
      <c r="A14" s="2178" t="s">
        <v>1132</v>
      </c>
      <c r="B14" s="2162"/>
      <c r="C14" s="2466" t="e">
        <f>'Cpte exploitation 1+2+3'!D19</f>
        <v>#REF!</v>
      </c>
      <c r="D14" s="2466" t="e">
        <f>'Cpte exploitation 1+2+3'!E19</f>
        <v>#REF!</v>
      </c>
      <c r="E14" s="2466" t="e">
        <f>'Cpte exploitation 1+2+3'!F19</f>
        <v>#REF!</v>
      </c>
      <c r="F14" s="2466" t="e">
        <f>'Cpte exploitation 1+2+3'!G19</f>
        <v>#REF!</v>
      </c>
      <c r="G14" s="2466" t="e">
        <f>'Cpte exploitation 1+2+3'!H19</f>
        <v>#REF!</v>
      </c>
    </row>
    <row r="15" spans="1:12">
      <c r="A15" s="2179" t="s">
        <v>1133</v>
      </c>
      <c r="B15" s="2165"/>
      <c r="C15" s="2466">
        <f>'Synthèse projet'!I35</f>
        <v>0</v>
      </c>
      <c r="D15" s="2180"/>
      <c r="E15" s="2180"/>
      <c r="F15" s="2180"/>
      <c r="G15" s="2180"/>
    </row>
    <row r="16" spans="1:12">
      <c r="A16" s="2179" t="s">
        <v>1134</v>
      </c>
      <c r="B16" s="2162"/>
      <c r="C16" s="2466" t="e">
        <f>C14*$C$9+C15</f>
        <v>#REF!</v>
      </c>
      <c r="D16" s="2466" t="e">
        <f>D14*$C$9+D15</f>
        <v>#REF!</v>
      </c>
      <c r="E16" s="2466" t="e">
        <f>E14*$C$9+E15</f>
        <v>#REF!</v>
      </c>
      <c r="F16" s="2466" t="e">
        <f>F14*$C$9+F15</f>
        <v>#REF!</v>
      </c>
      <c r="G16" s="2467" t="e">
        <f>G14*$C$9+G15</f>
        <v>#REF!</v>
      </c>
    </row>
    <row r="17" spans="1:9">
      <c r="A17" s="2179" t="s">
        <v>1135</v>
      </c>
      <c r="B17" s="2165"/>
      <c r="C17" s="2467" t="e">
        <f>C16*(1-$G$9)</f>
        <v>#REF!</v>
      </c>
      <c r="D17" s="2467" t="e">
        <f>D16*(1-$G$9)</f>
        <v>#REF!</v>
      </c>
      <c r="E17" s="2467" t="e">
        <f>E16*(1-$G$9)</f>
        <v>#REF!</v>
      </c>
      <c r="F17" s="2467" t="e">
        <f>F16*(1-$G$9)</f>
        <v>#REF!</v>
      </c>
      <c r="G17" s="2467" t="e">
        <f>G16*(1-$G$9)</f>
        <v>#REF!</v>
      </c>
    </row>
    <row r="18" spans="1:9">
      <c r="A18" s="2179" t="s">
        <v>1136</v>
      </c>
      <c r="B18" s="2162"/>
      <c r="C18" s="2467" t="e">
        <f>C62</f>
        <v>#REF!</v>
      </c>
      <c r="D18" s="2467" t="e">
        <f>D62</f>
        <v>#REF!</v>
      </c>
      <c r="E18" s="2467" t="e">
        <f>E62</f>
        <v>#REF!</v>
      </c>
      <c r="F18" s="2467" t="e">
        <f>F62</f>
        <v>#REF!</v>
      </c>
      <c r="G18" s="2467" t="e">
        <f>G62</f>
        <v>#REF!</v>
      </c>
    </row>
    <row r="19" spans="1:9">
      <c r="A19" s="2179" t="s">
        <v>1137</v>
      </c>
      <c r="B19" s="2165"/>
      <c r="C19" s="2467">
        <f>C30/30</f>
        <v>0</v>
      </c>
      <c r="D19" s="2467">
        <f>D30/30</f>
        <v>0</v>
      </c>
      <c r="E19" s="2467">
        <f>E30/30</f>
        <v>0</v>
      </c>
      <c r="F19" s="2467">
        <f>F30/30</f>
        <v>0</v>
      </c>
      <c r="G19" s="2467">
        <f>G30/30</f>
        <v>0</v>
      </c>
    </row>
    <row r="20" spans="1:9">
      <c r="A20" s="2179" t="s">
        <v>1138</v>
      </c>
      <c r="B20" s="2162"/>
      <c r="C20" s="2467" t="e">
        <f>C17+C18-C19</f>
        <v>#REF!</v>
      </c>
      <c r="D20" s="2467" t="e">
        <f>D17+D18-D19</f>
        <v>#REF!</v>
      </c>
      <c r="E20" s="2467" t="e">
        <f>E17+E18-E19</f>
        <v>#REF!</v>
      </c>
      <c r="F20" s="2467" t="e">
        <f>F17+F18-F19</f>
        <v>#REF!</v>
      </c>
      <c r="G20" s="2467" t="e">
        <f>G17+G18-G19</f>
        <v>#REF!</v>
      </c>
    </row>
    <row r="21" spans="1:9">
      <c r="A21" s="2181" t="s">
        <v>1139</v>
      </c>
      <c r="B21" s="2165"/>
      <c r="C21" s="2182" t="e">
        <f>C20/C14</f>
        <v>#REF!</v>
      </c>
      <c r="D21" s="2182" t="e">
        <f>D20/D14</f>
        <v>#REF!</v>
      </c>
      <c r="E21" s="2182" t="e">
        <f>E20/E14</f>
        <v>#REF!</v>
      </c>
      <c r="F21" s="2182" t="e">
        <f>F20/F14</f>
        <v>#REF!</v>
      </c>
      <c r="G21" s="2182" t="e">
        <f>G20/G14</f>
        <v>#REF!</v>
      </c>
    </row>
    <row r="22" spans="1:9" s="2157" customFormat="1"/>
    <row r="23" spans="1:9">
      <c r="A23" s="2282" t="s">
        <v>1140</v>
      </c>
      <c r="B23" s="2157"/>
      <c r="C23" s="2157"/>
      <c r="D23" s="2157"/>
      <c r="E23" s="2157"/>
      <c r="F23" s="2157"/>
      <c r="G23" s="2157"/>
    </row>
    <row r="24" spans="1:9">
      <c r="A24" s="2179" t="s">
        <v>1141</v>
      </c>
      <c r="B24" s="2165"/>
      <c r="C24" s="2467" t="e">
        <f>C36*$C$11</f>
        <v>#REF!</v>
      </c>
      <c r="D24" s="2467" t="e">
        <f>D36*$C$11</f>
        <v>#REF!</v>
      </c>
      <c r="E24" s="2467" t="e">
        <f>E36*$C$11</f>
        <v>#REF!</v>
      </c>
      <c r="F24" s="2467" t="e">
        <f>F36*$C$11</f>
        <v>#REF!</v>
      </c>
      <c r="G24" s="2467" t="e">
        <f>G36*$C$11</f>
        <v>#REF!</v>
      </c>
    </row>
    <row r="25" spans="1:9">
      <c r="A25" s="2179" t="s">
        <v>1142</v>
      </c>
      <c r="B25" s="2165"/>
      <c r="C25" s="2183"/>
      <c r="D25" s="2183"/>
      <c r="E25" s="2183"/>
      <c r="F25" s="2183"/>
      <c r="G25" s="2183"/>
    </row>
    <row r="26" spans="1:9">
      <c r="A26" s="2181" t="s">
        <v>1143</v>
      </c>
      <c r="B26" s="2165"/>
      <c r="C26" s="2467" t="e">
        <f>C20-C24+C25</f>
        <v>#REF!</v>
      </c>
      <c r="D26" s="2467" t="e">
        <f>D20-D24+D25</f>
        <v>#REF!</v>
      </c>
      <c r="E26" s="2467" t="e">
        <f>E20-E24+E25</f>
        <v>#REF!</v>
      </c>
      <c r="F26" s="2467" t="e">
        <f>F20-F24+F25</f>
        <v>#REF!</v>
      </c>
      <c r="G26" s="2467" t="e">
        <f>G20-G24+G25</f>
        <v>#REF!</v>
      </c>
    </row>
    <row r="27" spans="1:9" s="2157" customFormat="1">
      <c r="C27" s="2184" t="s">
        <v>1144</v>
      </c>
      <c r="I27" s="2157" t="s">
        <v>1145</v>
      </c>
    </row>
    <row r="28" spans="1:9">
      <c r="A28" s="2282" t="s">
        <v>1146</v>
      </c>
      <c r="B28" s="2157"/>
      <c r="C28" s="2157"/>
      <c r="D28" s="2157"/>
      <c r="E28" s="2157"/>
      <c r="F28" s="2157"/>
      <c r="G28" s="2157"/>
    </row>
    <row r="29" spans="1:9">
      <c r="A29" s="2163" t="s">
        <v>1147</v>
      </c>
      <c r="B29" s="2165"/>
      <c r="C29" s="2467">
        <f>B29-C48</f>
        <v>0</v>
      </c>
      <c r="D29" s="2467">
        <f>C29-D48</f>
        <v>0</v>
      </c>
      <c r="E29" s="2467">
        <f>D29-E48</f>
        <v>0</v>
      </c>
      <c r="F29" s="2467">
        <f>E29-F48</f>
        <v>0</v>
      </c>
      <c r="G29" s="2467">
        <f>F29-G48</f>
        <v>0</v>
      </c>
    </row>
    <row r="30" spans="1:9">
      <c r="A30" s="2163" t="s">
        <v>1148</v>
      </c>
      <c r="B30" s="2467">
        <f>B5-(B29-B31+B34)</f>
        <v>0</v>
      </c>
      <c r="C30" s="2468">
        <f>B30</f>
        <v>0</v>
      </c>
      <c r="D30" s="2467">
        <f>C30</f>
        <v>0</v>
      </c>
      <c r="E30" s="2467">
        <f>D30</f>
        <v>0</v>
      </c>
      <c r="F30" s="2467">
        <f>E30</f>
        <v>0</v>
      </c>
      <c r="G30" s="2467">
        <f>F30</f>
        <v>0</v>
      </c>
    </row>
    <row r="31" spans="1:9">
      <c r="A31" s="2163" t="s">
        <v>1149</v>
      </c>
      <c r="B31" s="2165"/>
      <c r="C31" s="2467">
        <f>C68</f>
        <v>0</v>
      </c>
      <c r="D31" s="2467">
        <f>D68</f>
        <v>0</v>
      </c>
      <c r="E31" s="2467">
        <f>E68</f>
        <v>0</v>
      </c>
      <c r="F31" s="2467">
        <f>F68</f>
        <v>0</v>
      </c>
      <c r="G31" s="2467">
        <f>G68</f>
        <v>0</v>
      </c>
    </row>
    <row r="32" spans="1:9">
      <c r="A32" s="2163" t="s">
        <v>1150</v>
      </c>
      <c r="B32" s="2467">
        <f>SUM(B29:B31)</f>
        <v>0</v>
      </c>
      <c r="C32" s="2467">
        <f>C29+C30-C31</f>
        <v>0</v>
      </c>
      <c r="D32" s="2467">
        <f>D29+D30-D31</f>
        <v>0</v>
      </c>
      <c r="E32" s="2467">
        <f>E29+E30-E31</f>
        <v>0</v>
      </c>
      <c r="F32" s="2467">
        <f>F29+F30-F31</f>
        <v>0</v>
      </c>
      <c r="G32" s="2467">
        <f>G29+G30-G31</f>
        <v>0</v>
      </c>
    </row>
    <row r="33" spans="1:9">
      <c r="A33" s="2163" t="s">
        <v>1151</v>
      </c>
      <c r="B33" s="2183">
        <v>0</v>
      </c>
      <c r="C33" s="2183">
        <v>0</v>
      </c>
      <c r="D33" s="2183"/>
      <c r="E33" s="2183"/>
      <c r="F33" s="2183"/>
      <c r="G33" s="2183"/>
    </row>
    <row r="34" spans="1:9">
      <c r="A34" s="2163" t="s">
        <v>28</v>
      </c>
      <c r="B34" s="2165"/>
      <c r="C34" s="2467" t="e">
        <f>C14*$C$7/365</f>
        <v>#REF!</v>
      </c>
      <c r="D34" s="2467" t="e">
        <f>D14*$C$7/365</f>
        <v>#REF!</v>
      </c>
      <c r="E34" s="2467" t="e">
        <f>E14*$C$7/365</f>
        <v>#REF!</v>
      </c>
      <c r="F34" s="2467" t="e">
        <f>F14*$C$7/365</f>
        <v>#REF!</v>
      </c>
      <c r="G34" s="2467" t="e">
        <f>G14*$C$7/365</f>
        <v>#REF!</v>
      </c>
    </row>
    <row r="35" spans="1:9">
      <c r="A35" s="2163" t="s">
        <v>1152</v>
      </c>
      <c r="B35" s="2467">
        <f t="shared" ref="B35:G35" si="0">SUM(B32:B34)</f>
        <v>0</v>
      </c>
      <c r="C35" s="2467" t="e">
        <f t="shared" si="0"/>
        <v>#REF!</v>
      </c>
      <c r="D35" s="2467" t="e">
        <f t="shared" si="0"/>
        <v>#REF!</v>
      </c>
      <c r="E35" s="2467" t="e">
        <f t="shared" si="0"/>
        <v>#REF!</v>
      </c>
      <c r="F35" s="2467" t="e">
        <f t="shared" si="0"/>
        <v>#REF!</v>
      </c>
      <c r="G35" s="2467" t="e">
        <f t="shared" si="0"/>
        <v>#REF!</v>
      </c>
    </row>
    <row r="36" spans="1:9">
      <c r="A36" s="2185" t="s">
        <v>1153</v>
      </c>
      <c r="B36" s="2467">
        <f>+B35*(1-$G$8)</f>
        <v>0</v>
      </c>
      <c r="C36" s="2467" t="e">
        <f>+B36+C20*(1-$G$11)</f>
        <v>#REF!</v>
      </c>
      <c r="D36" s="2467" t="e">
        <f>+C36+D20*(1-$G$11)</f>
        <v>#REF!</v>
      </c>
      <c r="E36" s="2467" t="e">
        <f>+D36+E20*(1-$G$11)</f>
        <v>#REF!</v>
      </c>
      <c r="F36" s="2467" t="e">
        <f>+E36+F20*(1-$G$11)</f>
        <v>#REF!</v>
      </c>
      <c r="G36" s="2467" t="e">
        <f>+F36+G20*(1-$G$11)</f>
        <v>#REF!</v>
      </c>
    </row>
    <row r="37" spans="1:9">
      <c r="A37" s="2163" t="s">
        <v>1154</v>
      </c>
      <c r="B37" s="2467">
        <f>-B35*$G$8</f>
        <v>0</v>
      </c>
      <c r="C37" s="2467" t="e">
        <f>-C35+C36</f>
        <v>#REF!</v>
      </c>
      <c r="D37" s="2467" t="e">
        <f>-D35+D36</f>
        <v>#REF!</v>
      </c>
      <c r="E37" s="2467" t="e">
        <f>-E35+E36</f>
        <v>#REF!</v>
      </c>
      <c r="F37" s="2467" t="e">
        <f>-F35+F36</f>
        <v>#REF!</v>
      </c>
      <c r="G37" s="2467" t="e">
        <f>-G35+G36</f>
        <v>#REF!</v>
      </c>
    </row>
    <row r="38" spans="1:9" s="2157" customFormat="1">
      <c r="A38" s="2186"/>
      <c r="B38" s="2187"/>
      <c r="C38" s="2187"/>
      <c r="D38" s="2187"/>
      <c r="E38" s="2187"/>
      <c r="F38" s="2187"/>
      <c r="G38" s="2187"/>
    </row>
    <row r="39" spans="1:9">
      <c r="A39" s="2282" t="s">
        <v>1155</v>
      </c>
      <c r="B39" s="2187"/>
      <c r="C39" s="2187"/>
      <c r="D39" s="2187"/>
      <c r="E39" s="2187"/>
      <c r="F39" s="2187"/>
      <c r="G39" s="2187"/>
    </row>
    <row r="40" spans="1:9">
      <c r="A40" s="2150" t="s">
        <v>1156</v>
      </c>
      <c r="B40" s="2165"/>
      <c r="C40" s="2469" t="e">
        <f>+C70-C35</f>
        <v>#REF!</v>
      </c>
      <c r="D40" s="2467" t="e">
        <f>+D70-D35</f>
        <v>#REF!</v>
      </c>
      <c r="E40" s="2467" t="e">
        <f>+E70-E35</f>
        <v>#REF!</v>
      </c>
      <c r="F40" s="2467" t="e">
        <f>+F70-F35</f>
        <v>#REF!</v>
      </c>
      <c r="G40" s="2467" t="e">
        <f>+G70-G35</f>
        <v>#REF!</v>
      </c>
    </row>
    <row r="41" spans="1:9">
      <c r="A41" s="2163" t="s">
        <v>1157</v>
      </c>
      <c r="B41" s="2165"/>
      <c r="C41" s="2470" t="e">
        <f>IF(C35&lt;=0,,C17/C35)</f>
        <v>#REF!</v>
      </c>
      <c r="D41" s="2472" t="e">
        <f>IF(D35&lt;=0,,D17/D35)</f>
        <v>#REF!</v>
      </c>
      <c r="E41" s="2472" t="e">
        <f>IF(E35&lt;=0,,E17/E35)</f>
        <v>#REF!</v>
      </c>
      <c r="F41" s="2472" t="e">
        <f>IF(F35&lt;=0,,F17/F35)</f>
        <v>#REF!</v>
      </c>
      <c r="G41" s="2472" t="e">
        <f>IF(G35&lt;=0,,G17/G35)</f>
        <v>#REF!</v>
      </c>
    </row>
    <row r="42" spans="1:9">
      <c r="A42" s="2163" t="s">
        <v>1158</v>
      </c>
      <c r="B42" s="2165"/>
      <c r="C42" s="2470" t="e">
        <f>IF(C36=0,,(C20+C25)/C36)</f>
        <v>#REF!</v>
      </c>
      <c r="D42" s="2472" t="e">
        <f>IF(D36=0,,(D20+D25)/D36)</f>
        <v>#REF!</v>
      </c>
      <c r="E42" s="2472" t="e">
        <f>IF(E36=0,,(E20+E25)/E36)</f>
        <v>#REF!</v>
      </c>
      <c r="F42" s="2472" t="e">
        <f>IF(F36=0,,(F20+F25)/F36)</f>
        <v>#REF!</v>
      </c>
      <c r="G42" s="2472" t="e">
        <f>IF(G36=0,,(G20+G25)/G36)</f>
        <v>#REF!</v>
      </c>
    </row>
    <row r="43" spans="1:9">
      <c r="A43" s="2163" t="s">
        <v>1159</v>
      </c>
      <c r="B43" s="2165"/>
      <c r="C43" s="2471" t="e">
        <f>AVERAGE(C41:G41)</f>
        <v>#REF!</v>
      </c>
      <c r="D43" s="2188" t="s">
        <v>1160</v>
      </c>
      <c r="E43" s="2189"/>
      <c r="F43" s="2189"/>
      <c r="G43" s="2189"/>
      <c r="I43" s="2157" t="s">
        <v>1145</v>
      </c>
    </row>
    <row r="44" spans="1:9">
      <c r="A44" s="2173" t="s">
        <v>1161</v>
      </c>
      <c r="B44" s="2165"/>
      <c r="C44" s="2471" t="e">
        <f>AVERAGE(C42:G42)</f>
        <v>#REF!</v>
      </c>
      <c r="D44" s="2188" t="s">
        <v>1160</v>
      </c>
      <c r="E44" s="2189"/>
      <c r="F44" s="2189"/>
      <c r="G44" s="2189"/>
      <c r="I44" s="2157" t="s">
        <v>1145</v>
      </c>
    </row>
    <row r="45" spans="1:9">
      <c r="A45" s="2282" t="s">
        <v>1162</v>
      </c>
      <c r="B45" s="2187"/>
      <c r="C45" s="2190"/>
      <c r="D45" s="2189"/>
      <c r="E45" s="2189"/>
      <c r="F45" s="2189"/>
      <c r="G45" s="2189"/>
    </row>
    <row r="46" spans="1:9">
      <c r="A46" s="2163" t="s">
        <v>1163</v>
      </c>
      <c r="B46" s="2165"/>
      <c r="C46" s="2467" t="e">
        <f>+C20</f>
        <v>#REF!</v>
      </c>
      <c r="D46" s="2467" t="e">
        <f>+D20</f>
        <v>#REF!</v>
      </c>
      <c r="E46" s="2467" t="e">
        <f>+E20</f>
        <v>#REF!</v>
      </c>
      <c r="F46" s="2467" t="e">
        <f>+F20</f>
        <v>#REF!</v>
      </c>
      <c r="G46" s="2467" t="e">
        <f>+G20</f>
        <v>#REF!</v>
      </c>
    </row>
    <row r="47" spans="1:9">
      <c r="A47" s="2191" t="s">
        <v>1164</v>
      </c>
      <c r="B47" s="2165"/>
      <c r="C47" s="2467">
        <f>C19+C66+B33-C33</f>
        <v>0</v>
      </c>
      <c r="D47" s="2467">
        <f>D19+D66+C33-D33</f>
        <v>0</v>
      </c>
      <c r="E47" s="2467">
        <f>E19+E66+D33-E33</f>
        <v>0</v>
      </c>
      <c r="F47" s="2467">
        <f>F19+F66+E33-F33</f>
        <v>0</v>
      </c>
      <c r="G47" s="2467">
        <f>G19+G66+F33-G33</f>
        <v>0</v>
      </c>
    </row>
    <row r="48" spans="1:9">
      <c r="A48" s="2191" t="s">
        <v>1165</v>
      </c>
      <c r="B48" s="2165"/>
      <c r="C48" s="2466">
        <f>-B5</f>
        <v>0</v>
      </c>
      <c r="D48" s="2192"/>
      <c r="E48" s="2192"/>
      <c r="F48" s="2192"/>
      <c r="G48" s="2192"/>
    </row>
    <row r="49" spans="1:12">
      <c r="A49" s="2191" t="s">
        <v>1166</v>
      </c>
      <c r="B49" s="2165"/>
      <c r="C49" s="2467" t="e">
        <f>-C34+B34</f>
        <v>#REF!</v>
      </c>
      <c r="D49" s="2467" t="e">
        <f>-D34+C34</f>
        <v>#REF!</v>
      </c>
      <c r="E49" s="2467" t="e">
        <f>-E34+D34</f>
        <v>#REF!</v>
      </c>
      <c r="F49" s="2467" t="e">
        <f>-F34+E34</f>
        <v>#REF!</v>
      </c>
      <c r="G49" s="2467" t="e">
        <f>-G34+F34</f>
        <v>#REF!</v>
      </c>
    </row>
    <row r="50" spans="1:12">
      <c r="A50" s="2163" t="s">
        <v>1167</v>
      </c>
      <c r="B50" s="2165"/>
      <c r="C50" s="2467" t="e">
        <f>SUM(C46:C49)</f>
        <v>#REF!</v>
      </c>
      <c r="D50" s="2467" t="e">
        <f>SUM(D46:D49)</f>
        <v>#REF!</v>
      </c>
      <c r="E50" s="2467" t="e">
        <f>SUM(E46:E49)</f>
        <v>#REF!</v>
      </c>
      <c r="F50" s="2467" t="e">
        <f>SUM(F46:F49)</f>
        <v>#REF!</v>
      </c>
      <c r="G50" s="2467" t="e">
        <f>SUM(G46:G49)</f>
        <v>#REF!</v>
      </c>
    </row>
    <row r="51" spans="1:12">
      <c r="A51" s="2163" t="s">
        <v>1168</v>
      </c>
      <c r="B51" s="2467">
        <f>-B5</f>
        <v>0</v>
      </c>
      <c r="C51" s="2180"/>
      <c r="D51" s="2180"/>
      <c r="E51" s="2180"/>
      <c r="F51" s="2180"/>
      <c r="G51" s="2180"/>
    </row>
    <row r="52" spans="1:12">
      <c r="A52" s="2163" t="s">
        <v>1169</v>
      </c>
      <c r="B52" s="2467">
        <f>B36</f>
        <v>0</v>
      </c>
      <c r="C52" s="2180"/>
      <c r="D52" s="2180"/>
      <c r="E52" s="2180"/>
      <c r="F52" s="2180"/>
      <c r="G52" s="2180"/>
    </row>
    <row r="53" spans="1:12">
      <c r="A53" s="2163" t="s">
        <v>1170</v>
      </c>
      <c r="B53" s="2183"/>
      <c r="C53" s="2467" t="e">
        <f>-C20*$G$11</f>
        <v>#REF!</v>
      </c>
      <c r="D53" s="2467" t="e">
        <f>-D20*$G$11</f>
        <v>#REF!</v>
      </c>
      <c r="E53" s="2467" t="e">
        <f>-E20*$G$11</f>
        <v>#REF!</v>
      </c>
      <c r="F53" s="2467" t="e">
        <f>-F20*$G$11</f>
        <v>#REF!</v>
      </c>
      <c r="G53" s="2467" t="e">
        <f>-G20*$G$11</f>
        <v>#REF!</v>
      </c>
    </row>
    <row r="54" spans="1:12">
      <c r="A54" s="2173" t="s">
        <v>1171</v>
      </c>
      <c r="B54" s="2467">
        <f>SUM(B51:B53)</f>
        <v>0</v>
      </c>
      <c r="C54" s="2467" t="e">
        <f>SUM(C50:C53)</f>
        <v>#REF!</v>
      </c>
      <c r="D54" s="2467" t="e">
        <f>SUM(D50:D53)</f>
        <v>#REF!</v>
      </c>
      <c r="E54" s="2467" t="e">
        <f>SUM(E50:E53)</f>
        <v>#REF!</v>
      </c>
      <c r="F54" s="2467" t="e">
        <f>SUM(F50:F53)</f>
        <v>#REF!</v>
      </c>
      <c r="G54" s="2467" t="e">
        <f>SUM(G50:G53)</f>
        <v>#REF!</v>
      </c>
    </row>
    <row r="55" spans="1:12">
      <c r="A55" s="2158" t="s">
        <v>988</v>
      </c>
      <c r="B55" s="2157"/>
      <c r="C55" s="2157"/>
      <c r="D55" s="2157"/>
      <c r="E55" s="2157"/>
      <c r="F55" s="2157"/>
      <c r="G55" s="2157"/>
    </row>
    <row r="56" spans="1:12">
      <c r="A56" s="2150"/>
      <c r="B56" s="2151"/>
      <c r="C56" s="2151"/>
      <c r="D56" s="2151"/>
      <c r="E56" s="2151"/>
      <c r="F56" s="2151"/>
      <c r="G56" s="2151"/>
    </row>
    <row r="57" spans="1:12" s="2157" customFormat="1">
      <c r="A57" s="2151" t="s">
        <v>1172</v>
      </c>
      <c r="H57" s="2153"/>
      <c r="I57" s="2153"/>
      <c r="J57" s="2153"/>
      <c r="K57" s="2153"/>
      <c r="L57" s="2153"/>
    </row>
    <row r="58" spans="1:12" s="2157" customFormat="1">
      <c r="A58" s="2157" t="s">
        <v>1173</v>
      </c>
      <c r="H58" s="2153"/>
      <c r="I58" s="2153"/>
      <c r="J58" s="2153"/>
      <c r="K58" s="2153"/>
      <c r="L58" s="2153"/>
    </row>
    <row r="59" spans="1:12" s="2157" customFormat="1">
      <c r="H59" s="2153"/>
      <c r="I59" s="2153"/>
      <c r="J59" s="2153"/>
      <c r="K59" s="2153"/>
      <c r="L59" s="2153"/>
    </row>
    <row r="60" spans="1:12" hidden="1" outlineLevel="1">
      <c r="A60" s="2157"/>
      <c r="B60" s="2187"/>
      <c r="C60" s="2187"/>
      <c r="D60" s="2187"/>
      <c r="E60" s="2187"/>
      <c r="F60" s="2187"/>
      <c r="G60" s="2187"/>
    </row>
    <row r="61" spans="1:12" hidden="1" outlineLevel="1">
      <c r="A61" s="2150" t="s">
        <v>1174</v>
      </c>
      <c r="B61" s="2151"/>
      <c r="C61" s="2193" t="e">
        <f>B37+(C47+C48+C49+C16)/2</f>
        <v>#REF!</v>
      </c>
      <c r="D61" s="2193" t="e">
        <f>C37+(D47+D48+D49+D16)/2</f>
        <v>#REF!</v>
      </c>
      <c r="E61" s="2193" t="e">
        <f>D37+(E47+E48+E49+E16)/2</f>
        <v>#REF!</v>
      </c>
      <c r="F61" s="2193" t="e">
        <f>E37+(F47+F48+F49+F16)/2</f>
        <v>#REF!</v>
      </c>
      <c r="G61" s="2194" t="e">
        <f>F37+(G47+G48+G49+G16)/2</f>
        <v>#REF!</v>
      </c>
    </row>
    <row r="62" spans="1:12" hidden="1" outlineLevel="1">
      <c r="A62" s="2173"/>
      <c r="B62" s="2175"/>
      <c r="C62" s="2195" t="e">
        <f>C61*IF(C61&lt;0,$C$10,$G$10)*(1-$G$9)</f>
        <v>#REF!</v>
      </c>
      <c r="D62" s="2195" t="e">
        <f>D61*IF(D61&lt;0,$C$10,$G$10)*(1-$G$9)</f>
        <v>#REF!</v>
      </c>
      <c r="E62" s="2195" t="e">
        <f>E61*IF(E61&lt;0,$C$10,$G$10)*(1-$G$9)</f>
        <v>#REF!</v>
      </c>
      <c r="F62" s="2195" t="e">
        <f>F61*IF(F61&lt;0,$C$10,$G$10)*(1-$G$9)</f>
        <v>#REF!</v>
      </c>
      <c r="G62" s="2196" t="e">
        <f>G61*IF(G61&lt;0,$C$10,$G$10)*(1-$G$9)</f>
        <v>#REF!</v>
      </c>
    </row>
    <row r="63" spans="1:12" hidden="1" outlineLevel="1">
      <c r="A63" s="2157"/>
      <c r="B63" s="2157"/>
      <c r="C63" s="2187"/>
      <c r="D63" s="2187"/>
      <c r="E63" s="2187"/>
      <c r="F63" s="2187"/>
      <c r="G63" s="2187"/>
    </row>
    <row r="64" spans="1:12" hidden="1" outlineLevel="1">
      <c r="A64" s="2157" t="s">
        <v>1175</v>
      </c>
      <c r="B64" s="2187">
        <f>B31</f>
        <v>0</v>
      </c>
      <c r="C64" s="2187">
        <f>B64+B29/$G$7</f>
        <v>0</v>
      </c>
      <c r="D64" s="2187">
        <f>C64+C29/$G$7</f>
        <v>0</v>
      </c>
      <c r="E64" s="2187">
        <f>D64+D29/$G$7</f>
        <v>0</v>
      </c>
      <c r="F64" s="2187">
        <f>E64+E29/$G$7</f>
        <v>0</v>
      </c>
      <c r="G64" s="2187">
        <f>F64+F29/$G$7</f>
        <v>0</v>
      </c>
    </row>
    <row r="65" spans="1:7" hidden="1" outlineLevel="1">
      <c r="A65" s="2157" t="s">
        <v>1176</v>
      </c>
      <c r="B65" s="2157"/>
      <c r="C65" s="2187">
        <f>MIN(C64,C29)</f>
        <v>0</v>
      </c>
      <c r="D65" s="2187">
        <f>MIN(D64,D29)</f>
        <v>0</v>
      </c>
      <c r="E65" s="2187">
        <f>MIN(E64,E29)</f>
        <v>0</v>
      </c>
      <c r="F65" s="2187">
        <f>MIN(F64,F29)</f>
        <v>0</v>
      </c>
      <c r="G65" s="2187">
        <f>MIN(G64,G29)</f>
        <v>0</v>
      </c>
    </row>
    <row r="66" spans="1:7" hidden="1" outlineLevel="1">
      <c r="A66" s="2157" t="s">
        <v>1177</v>
      </c>
      <c r="B66" s="2187"/>
      <c r="C66" s="2187">
        <f>+C65-B65</f>
        <v>0</v>
      </c>
      <c r="D66" s="2187">
        <f>+D65-C65</f>
        <v>0</v>
      </c>
      <c r="E66" s="2187">
        <f>+E65-D65</f>
        <v>0</v>
      </c>
      <c r="F66" s="2187">
        <f>+F65-E65</f>
        <v>0</v>
      </c>
      <c r="G66" s="2187">
        <f>+G65-F65</f>
        <v>0</v>
      </c>
    </row>
    <row r="67" spans="1:7" hidden="1" outlineLevel="1">
      <c r="A67" s="2157" t="s">
        <v>1178</v>
      </c>
      <c r="B67" s="2157"/>
      <c r="C67" s="2187">
        <f>C30/30</f>
        <v>0</v>
      </c>
      <c r="D67" s="2187">
        <f>C67+(D30/30)</f>
        <v>0</v>
      </c>
      <c r="E67" s="2187">
        <f>D67+(E30/30)</f>
        <v>0</v>
      </c>
      <c r="F67" s="2187">
        <f>E67+(F30/30)</f>
        <v>0</v>
      </c>
      <c r="G67" s="2187">
        <f>F67+(G30/30)</f>
        <v>0</v>
      </c>
    </row>
    <row r="68" spans="1:7" hidden="1" outlineLevel="1">
      <c r="A68" s="2157" t="s">
        <v>1179</v>
      </c>
      <c r="B68" s="2157"/>
      <c r="C68" s="2187">
        <f>+C65+C67</f>
        <v>0</v>
      </c>
      <c r="D68" s="2187">
        <f>+D65+D67</f>
        <v>0</v>
      </c>
      <c r="E68" s="2187">
        <f>+E65+E67</f>
        <v>0</v>
      </c>
      <c r="F68" s="2187">
        <f>+F65+F67</f>
        <v>0</v>
      </c>
      <c r="G68" s="2187">
        <f>+G65+G67</f>
        <v>0</v>
      </c>
    </row>
    <row r="69" spans="1:7" hidden="1" outlineLevel="1">
      <c r="A69" s="2157"/>
      <c r="B69" s="2157"/>
      <c r="C69" s="2157"/>
      <c r="D69" s="2157"/>
      <c r="E69" s="2157"/>
      <c r="F69" s="2157"/>
      <c r="G69" s="2157"/>
    </row>
    <row r="70" spans="1:7" hidden="1" outlineLevel="1">
      <c r="A70" s="2197" t="s">
        <v>1180</v>
      </c>
      <c r="B70" s="2157"/>
      <c r="C70" s="2187" t="e">
        <f>+C20+B70</f>
        <v>#REF!</v>
      </c>
      <c r="D70" s="2187" t="e">
        <f>+D20+C70</f>
        <v>#REF!</v>
      </c>
      <c r="E70" s="2187" t="e">
        <f>+E20+D70</f>
        <v>#REF!</v>
      </c>
      <c r="F70" s="2187" t="e">
        <f>+F20+E70</f>
        <v>#REF!</v>
      </c>
      <c r="G70" s="2187" t="e">
        <f>+G20+F70</f>
        <v>#REF!</v>
      </c>
    </row>
    <row r="71" spans="1:7" hidden="1" outlineLevel="1">
      <c r="A71" s="2157"/>
      <c r="B71" s="2157"/>
      <c r="C71" s="2157"/>
      <c r="D71" s="2157"/>
      <c r="E71" s="2157"/>
      <c r="F71" s="2157"/>
      <c r="G71" s="2157"/>
    </row>
    <row r="72" spans="1:7" collapsed="1">
      <c r="A72" s="2157"/>
      <c r="B72" s="2157"/>
      <c r="C72" s="2157"/>
      <c r="D72" s="2157"/>
      <c r="E72" s="2157"/>
      <c r="F72" s="2157"/>
      <c r="G72" s="2157"/>
    </row>
    <row r="73" spans="1:7">
      <c r="A73" s="2157" t="s">
        <v>1181</v>
      </c>
      <c r="B73" s="2187"/>
      <c r="C73" s="2187">
        <f>+B37</f>
        <v>0</v>
      </c>
      <c r="D73" s="2187" t="e">
        <f>+C37</f>
        <v>#REF!</v>
      </c>
      <c r="E73" s="2187" t="e">
        <f>+D37</f>
        <v>#REF!</v>
      </c>
      <c r="F73" s="2187" t="e">
        <f>+E37</f>
        <v>#REF!</v>
      </c>
      <c r="G73" s="2187" t="e">
        <f>+F37</f>
        <v>#REF!</v>
      </c>
    </row>
    <row r="74" spans="1:7">
      <c r="A74" s="2157" t="s">
        <v>1182</v>
      </c>
      <c r="B74" s="2187"/>
      <c r="C74" s="2187" t="e">
        <f>+C54</f>
        <v>#REF!</v>
      </c>
      <c r="D74" s="2187" t="e">
        <f>+D54</f>
        <v>#REF!</v>
      </c>
      <c r="E74" s="2187" t="e">
        <f>+E54</f>
        <v>#REF!</v>
      </c>
      <c r="F74" s="2187" t="e">
        <f>+F54</f>
        <v>#REF!</v>
      </c>
      <c r="G74" s="2187" t="e">
        <f>+G54</f>
        <v>#REF!</v>
      </c>
    </row>
    <row r="75" spans="1:7">
      <c r="A75" s="2153" t="s">
        <v>1183</v>
      </c>
      <c r="B75" s="2187"/>
      <c r="C75" s="2187" t="e">
        <f>SUM(C73:C74)</f>
        <v>#REF!</v>
      </c>
      <c r="D75" s="2187" t="e">
        <f>SUM(D73:D74)</f>
        <v>#REF!</v>
      </c>
      <c r="E75" s="2187" t="e">
        <f>SUM(E73:E74)</f>
        <v>#REF!</v>
      </c>
      <c r="F75" s="2187" t="e">
        <f>SUM(F73:F74)</f>
        <v>#REF!</v>
      </c>
      <c r="G75" s="2187" t="e">
        <f>SUM(G73:G74)</f>
        <v>#REF!</v>
      </c>
    </row>
    <row r="76" spans="1:7">
      <c r="A76" s="2157" t="s">
        <v>1184</v>
      </c>
      <c r="B76" s="2187"/>
      <c r="C76" s="2187" t="e">
        <f>+C37</f>
        <v>#REF!</v>
      </c>
      <c r="D76" s="2187" t="e">
        <f>+D37</f>
        <v>#REF!</v>
      </c>
      <c r="E76" s="2187" t="e">
        <f>+E37</f>
        <v>#REF!</v>
      </c>
      <c r="F76" s="2187" t="e">
        <f>+F37</f>
        <v>#REF!</v>
      </c>
      <c r="G76" s="2187" t="e">
        <f>+G37</f>
        <v>#REF!</v>
      </c>
    </row>
    <row r="77" spans="1:7">
      <c r="A77" s="2157"/>
      <c r="B77" s="2187"/>
      <c r="C77" s="2187" t="e">
        <f>+C75-C76</f>
        <v>#REF!</v>
      </c>
      <c r="D77" s="2187" t="e">
        <f>+D75-D76</f>
        <v>#REF!</v>
      </c>
      <c r="E77" s="2187" t="e">
        <f>+E75-E76</f>
        <v>#REF!</v>
      </c>
      <c r="F77" s="2187" t="e">
        <f>+F75-F76</f>
        <v>#REF!</v>
      </c>
      <c r="G77" s="2187" t="e">
        <f>+G75-G76</f>
        <v>#REF!</v>
      </c>
    </row>
    <row r="78" spans="1:7">
      <c r="A78" s="2157"/>
      <c r="B78" s="2157"/>
      <c r="C78" s="2157"/>
      <c r="D78" s="2198"/>
      <c r="E78" s="2157"/>
      <c r="F78" s="2157"/>
      <c r="G78" s="2157"/>
    </row>
    <row r="79" spans="1:7">
      <c r="A79" s="2157"/>
      <c r="B79" s="2199"/>
      <c r="C79" s="2199"/>
      <c r="D79" s="2199"/>
      <c r="E79" s="2199"/>
      <c r="F79" s="2199"/>
      <c r="G79" s="2199"/>
    </row>
    <row r="80" spans="1:7">
      <c r="A80" s="2157"/>
      <c r="B80" s="2157"/>
      <c r="C80" s="2157"/>
      <c r="D80" s="2157"/>
      <c r="E80" s="2157"/>
      <c r="F80" s="2157"/>
      <c r="G80" s="2157"/>
    </row>
    <row r="81" spans="1:11">
      <c r="A81" s="2157"/>
      <c r="B81" s="2157"/>
      <c r="C81" s="2157"/>
      <c r="D81" s="2157"/>
      <c r="E81" s="2157"/>
      <c r="F81" s="2157"/>
      <c r="G81" s="2157"/>
      <c r="H81" s="2157"/>
      <c r="I81" s="2157"/>
      <c r="J81" s="2157"/>
      <c r="K81" s="2157"/>
    </row>
    <row r="82" spans="1:11">
      <c r="A82" s="2157"/>
      <c r="B82" s="2157"/>
      <c r="C82" s="2157"/>
      <c r="D82" s="2157"/>
      <c r="E82" s="2157"/>
      <c r="F82" s="2157"/>
      <c r="G82" s="2157"/>
      <c r="H82" s="2157"/>
      <c r="I82" s="2157"/>
      <c r="J82" s="2157"/>
      <c r="K82" s="2157"/>
    </row>
    <row r="83" spans="1:11">
      <c r="B83" s="2157"/>
      <c r="C83" s="2157"/>
      <c r="D83" s="2157"/>
      <c r="E83" s="2157"/>
      <c r="F83" s="2157"/>
      <c r="G83" s="2157"/>
      <c r="H83" s="2157"/>
      <c r="I83" s="2157"/>
      <c r="J83" s="2157"/>
      <c r="K83" s="2157"/>
    </row>
    <row r="84" spans="1:11">
      <c r="A84" s="2157"/>
      <c r="B84" s="2157"/>
      <c r="C84" s="2157"/>
      <c r="D84" s="2157"/>
      <c r="E84" s="2157"/>
      <c r="F84" s="2157"/>
      <c r="G84" s="2157"/>
      <c r="H84" s="2157"/>
      <c r="I84" s="2157"/>
      <c r="J84" s="2157"/>
      <c r="K84" s="2157"/>
    </row>
    <row r="85" spans="1:11">
      <c r="A85" s="2157"/>
      <c r="B85" s="2157"/>
      <c r="C85" s="2157"/>
      <c r="D85" s="2157"/>
      <c r="E85" s="2157"/>
      <c r="F85" s="2157"/>
      <c r="G85" s="2157"/>
      <c r="H85" s="2157"/>
      <c r="I85" s="2157"/>
      <c r="J85" s="2157"/>
      <c r="K85" s="2157"/>
    </row>
    <row r="86" spans="1:11">
      <c r="A86" s="2157"/>
      <c r="B86" s="2157"/>
      <c r="C86" s="2157"/>
      <c r="D86" s="2157"/>
      <c r="E86" s="2157"/>
      <c r="F86" s="2157"/>
      <c r="G86" s="2157"/>
      <c r="H86" s="2157"/>
      <c r="I86" s="2157"/>
      <c r="J86" s="2157"/>
      <c r="K86" s="2157"/>
    </row>
    <row r="87" spans="1:11">
      <c r="A87" s="2157"/>
      <c r="B87" s="2157"/>
      <c r="C87" s="2157"/>
      <c r="D87" s="2157"/>
      <c r="E87" s="2157"/>
      <c r="F87" s="2157"/>
      <c r="G87" s="2157"/>
      <c r="H87" s="2157"/>
      <c r="I87" s="2157"/>
      <c r="J87" s="2157"/>
      <c r="K87" s="2157"/>
    </row>
    <row r="88" spans="1:11">
      <c r="A88" s="2157"/>
      <c r="B88" s="2157"/>
      <c r="C88" s="2157"/>
      <c r="D88" s="2157"/>
      <c r="E88" s="2157"/>
      <c r="F88" s="2157"/>
      <c r="G88" s="2157"/>
      <c r="H88" s="2157"/>
      <c r="I88" s="2157"/>
      <c r="J88" s="2157"/>
      <c r="K88" s="2157"/>
    </row>
    <row r="89" spans="1:11">
      <c r="A89" s="2157"/>
      <c r="B89" s="2157"/>
      <c r="C89" s="2157"/>
      <c r="D89" s="2157"/>
      <c r="E89" s="2157"/>
      <c r="F89" s="2157"/>
      <c r="G89" s="2157"/>
      <c r="H89" s="2157"/>
      <c r="I89" s="2157"/>
      <c r="J89" s="2157"/>
      <c r="K89" s="2157"/>
    </row>
    <row r="90" spans="1:11">
      <c r="A90" s="2157"/>
      <c r="B90" s="2157"/>
      <c r="C90" s="2157"/>
      <c r="D90" s="2157"/>
      <c r="E90" s="2157"/>
      <c r="F90" s="2157"/>
      <c r="G90" s="2157"/>
      <c r="H90" s="2157"/>
      <c r="I90" s="2157"/>
      <c r="J90" s="2157"/>
      <c r="K90" s="2157"/>
    </row>
    <row r="91" spans="1:11">
      <c r="A91" s="2200"/>
      <c r="B91" s="2157"/>
      <c r="C91" s="2157"/>
      <c r="D91" s="2157"/>
      <c r="E91" s="2157"/>
      <c r="F91" s="2157"/>
      <c r="G91" s="2157"/>
      <c r="H91" s="2157"/>
      <c r="I91" s="2157"/>
      <c r="J91" s="2157"/>
      <c r="K91" s="2157"/>
    </row>
    <row r="92" spans="1:11">
      <c r="A92" s="2157"/>
      <c r="B92" s="2157"/>
      <c r="C92" s="2157"/>
      <c r="D92" s="2157"/>
      <c r="E92" s="2157"/>
      <c r="F92" s="2157"/>
      <c r="G92" s="2157"/>
      <c r="H92" s="2157"/>
      <c r="I92" s="2157"/>
      <c r="J92" s="2157"/>
      <c r="K92" s="2157"/>
    </row>
    <row r="93" spans="1:11">
      <c r="A93" s="2157"/>
      <c r="B93" s="2157"/>
      <c r="C93" s="2157"/>
      <c r="D93" s="2157"/>
      <c r="E93" s="2157"/>
      <c r="F93" s="2157"/>
      <c r="G93" s="2157"/>
      <c r="H93" s="2157"/>
      <c r="I93" s="2157"/>
      <c r="J93" s="2157"/>
      <c r="K93" s="2157"/>
    </row>
    <row r="94" spans="1:11">
      <c r="A94" s="2157"/>
      <c r="B94" s="2157"/>
      <c r="C94" s="2157"/>
      <c r="D94" s="2157"/>
      <c r="E94" s="2157"/>
      <c r="F94" s="2157"/>
      <c r="G94" s="2157"/>
      <c r="H94" s="2157"/>
      <c r="I94" s="2157"/>
      <c r="J94" s="2157"/>
      <c r="K94" s="2157"/>
    </row>
    <row r="95" spans="1:11">
      <c r="A95" s="2157"/>
      <c r="B95" s="2157"/>
      <c r="C95" s="2157"/>
      <c r="D95" s="2157"/>
      <c r="E95" s="2157"/>
      <c r="F95" s="2157"/>
      <c r="G95" s="2157"/>
      <c r="H95" s="2157"/>
      <c r="I95" s="2157"/>
      <c r="J95" s="2157"/>
      <c r="K95" s="2157"/>
    </row>
    <row r="96" spans="1:11">
      <c r="A96" s="2157"/>
      <c r="B96" s="2157"/>
      <c r="C96" s="2157"/>
      <c r="D96" s="2157"/>
      <c r="E96" s="2157"/>
      <c r="F96" s="2157"/>
      <c r="G96" s="2157"/>
      <c r="H96" s="2157"/>
      <c r="I96" s="2157"/>
      <c r="J96" s="2157"/>
      <c r="K96" s="2157"/>
    </row>
    <row r="97" spans="1:11">
      <c r="A97" s="2157"/>
      <c r="B97" s="2157"/>
      <c r="C97" s="2157"/>
      <c r="D97" s="2157"/>
      <c r="E97" s="2157"/>
      <c r="F97" s="2157"/>
      <c r="G97" s="2157"/>
      <c r="H97" s="2157"/>
      <c r="I97" s="2157"/>
      <c r="J97" s="2157"/>
      <c r="K97" s="2157"/>
    </row>
    <row r="98" spans="1:11">
      <c r="A98" s="2157"/>
      <c r="B98" s="2157"/>
      <c r="C98" s="2157"/>
      <c r="D98" s="2157"/>
      <c r="E98" s="2157"/>
      <c r="F98" s="2157"/>
      <c r="G98" s="2157"/>
      <c r="H98" s="2157"/>
      <c r="I98" s="2157"/>
      <c r="J98" s="2157"/>
      <c r="K98" s="2157"/>
    </row>
    <row r="99" spans="1:11">
      <c r="A99" s="2157"/>
      <c r="B99" s="2157"/>
      <c r="C99" s="2157"/>
      <c r="D99" s="2157"/>
      <c r="E99" s="2157"/>
      <c r="F99" s="2157"/>
      <c r="G99" s="2157"/>
      <c r="H99" s="2157"/>
      <c r="I99" s="2157"/>
      <c r="J99" s="2157"/>
      <c r="K99" s="2157"/>
    </row>
    <row r="100" spans="1:11">
      <c r="A100" s="2157"/>
      <c r="B100" s="2157"/>
      <c r="C100" s="2157"/>
      <c r="D100" s="2157"/>
      <c r="E100" s="2157"/>
      <c r="F100" s="2157"/>
      <c r="G100" s="2157"/>
      <c r="H100" s="2157"/>
      <c r="I100" s="2157"/>
      <c r="J100" s="2157"/>
      <c r="K100" s="2157"/>
    </row>
    <row r="101" spans="1:11">
      <c r="A101" s="2157"/>
      <c r="B101" s="2157"/>
      <c r="C101" s="2157"/>
      <c r="D101" s="2157"/>
      <c r="E101" s="2157"/>
      <c r="F101" s="2157"/>
      <c r="G101" s="2157"/>
      <c r="H101" s="2157"/>
      <c r="I101" s="2157"/>
      <c r="J101" s="2157"/>
      <c r="K101" s="2157"/>
    </row>
    <row r="102" spans="1:11">
      <c r="A102" s="2157"/>
      <c r="B102" s="2157"/>
      <c r="C102" s="2157"/>
      <c r="D102" s="2157"/>
      <c r="E102" s="2157"/>
      <c r="F102" s="2157"/>
      <c r="G102" s="2157"/>
      <c r="H102" s="2157"/>
      <c r="I102" s="2157"/>
      <c r="J102" s="2157"/>
      <c r="K102" s="2157"/>
    </row>
    <row r="103" spans="1:11">
      <c r="A103" s="2157"/>
      <c r="B103" s="2157"/>
      <c r="C103" s="2157"/>
      <c r="D103" s="2157"/>
      <c r="E103" s="2157"/>
      <c r="F103" s="2157"/>
      <c r="G103" s="2157"/>
      <c r="H103" s="2157"/>
      <c r="I103" s="2157"/>
      <c r="J103" s="2157"/>
      <c r="K103" s="2157"/>
    </row>
    <row r="104" spans="1:11">
      <c r="A104" s="2157"/>
      <c r="B104" s="2157"/>
      <c r="C104" s="2157"/>
      <c r="D104" s="2157"/>
      <c r="E104" s="2157"/>
      <c r="F104" s="2157"/>
      <c r="G104" s="2198"/>
      <c r="H104" s="2157"/>
      <c r="I104" s="2157"/>
      <c r="J104" s="2157"/>
      <c r="K104" s="2198"/>
    </row>
    <row r="105" spans="1:11">
      <c r="A105" s="2157"/>
      <c r="B105" s="2157"/>
      <c r="C105" s="2157"/>
      <c r="D105" s="2157"/>
      <c r="E105" s="2157"/>
      <c r="F105" s="2157"/>
      <c r="G105" s="2157"/>
      <c r="H105" s="2157"/>
      <c r="I105" s="2157"/>
      <c r="J105" s="2157"/>
      <c r="K105" s="2157"/>
    </row>
    <row r="106" spans="1:11">
      <c r="A106" s="2157"/>
      <c r="B106" s="2157"/>
      <c r="C106" s="2157"/>
      <c r="D106" s="2157"/>
      <c r="E106" s="2157"/>
      <c r="F106" s="2157"/>
      <c r="G106" s="2198"/>
      <c r="H106" s="2157"/>
      <c r="I106" s="2157"/>
      <c r="J106" s="2157"/>
      <c r="K106" s="2198"/>
    </row>
    <row r="107" spans="1:11">
      <c r="A107" s="2157"/>
      <c r="B107" s="2157"/>
      <c r="C107" s="2157"/>
      <c r="D107" s="2157"/>
      <c r="E107" s="2157"/>
      <c r="F107" s="2157"/>
      <c r="G107" s="2157"/>
      <c r="H107" s="2157"/>
      <c r="I107" s="2157"/>
      <c r="J107" s="2157"/>
      <c r="K107" s="2157"/>
    </row>
  </sheetData>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dimension ref="A1:N74"/>
  <sheetViews>
    <sheetView workbookViewId="0">
      <selection activeCell="E51" sqref="E51"/>
    </sheetView>
  </sheetViews>
  <sheetFormatPr baseColWidth="10" defaultColWidth="11.42578125" defaultRowHeight="12.75"/>
  <cols>
    <col min="1" max="1" width="36.5703125" style="997" customWidth="1"/>
    <col min="2" max="2" width="7" style="997" bestFit="1" customWidth="1"/>
    <col min="3" max="3" width="7.7109375" style="997" bestFit="1" customWidth="1"/>
    <col min="4" max="16384" width="11.42578125" style="997"/>
  </cols>
  <sheetData>
    <row r="1" spans="1:14" ht="15.75" thickBot="1">
      <c r="A1" s="2229" t="s">
        <v>1203</v>
      </c>
      <c r="B1" s="2229"/>
      <c r="C1" s="2229"/>
      <c r="D1" s="2230"/>
      <c r="E1" s="2229"/>
      <c r="F1" s="2229"/>
      <c r="G1" s="2229"/>
      <c r="H1" s="2229"/>
      <c r="I1" s="2229"/>
      <c r="J1" s="2229"/>
      <c r="K1" s="2229"/>
      <c r="L1" s="2229"/>
      <c r="M1" s="2229"/>
      <c r="N1" s="2229"/>
    </row>
    <row r="2" spans="1:14" ht="13.5" thickTop="1">
      <c r="A2" s="2231"/>
      <c r="B2" s="2231"/>
      <c r="C2" s="2231"/>
      <c r="D2" s="2232"/>
      <c r="E2" s="2231"/>
      <c r="F2" s="2231"/>
      <c r="G2" s="2231"/>
      <c r="H2" s="2231"/>
      <c r="I2" s="2231"/>
      <c r="J2" s="2231"/>
      <c r="K2" s="2231"/>
      <c r="L2" s="2231"/>
      <c r="M2" s="2231"/>
      <c r="N2" s="2231"/>
    </row>
    <row r="3" spans="1:14">
      <c r="A3" s="2153"/>
      <c r="B3" s="2153"/>
      <c r="C3" s="2153"/>
      <c r="D3" s="2233"/>
      <c r="E3" s="2153"/>
      <c r="F3" s="2153"/>
      <c r="G3" s="2153"/>
      <c r="H3" s="2153"/>
      <c r="I3" s="2153"/>
      <c r="J3" s="2153"/>
      <c r="K3" s="2153"/>
      <c r="L3" s="2153"/>
      <c r="M3" s="2153"/>
    </row>
    <row r="4" spans="1:14">
      <c r="A4" s="2234" t="s">
        <v>936</v>
      </c>
      <c r="D4" s="2234">
        <v>2013</v>
      </c>
      <c r="E4" s="2234">
        <v>2014</v>
      </c>
      <c r="F4" s="2234">
        <v>2015</v>
      </c>
      <c r="G4" s="2234">
        <v>2016</v>
      </c>
      <c r="H4" s="2234">
        <v>2017</v>
      </c>
      <c r="I4" s="2234">
        <v>2018</v>
      </c>
      <c r="J4" s="2234">
        <v>2019</v>
      </c>
      <c r="K4" s="2234"/>
      <c r="L4" s="2234"/>
      <c r="M4" s="2234"/>
      <c r="N4" s="2234"/>
    </row>
    <row r="5" spans="1:14">
      <c r="A5" s="2153"/>
      <c r="B5" s="2235"/>
      <c r="C5" s="2153"/>
      <c r="D5" s="2233"/>
      <c r="E5" s="2153"/>
      <c r="F5" s="2153"/>
      <c r="G5" s="2153"/>
      <c r="H5" s="2153"/>
      <c r="I5" s="2153"/>
      <c r="J5" s="2153"/>
      <c r="K5" s="2153"/>
      <c r="L5" s="2153"/>
      <c r="M5" s="2235"/>
    </row>
    <row r="6" spans="1:14">
      <c r="A6" s="2236" t="s">
        <v>1204</v>
      </c>
      <c r="B6" s="2236"/>
      <c r="C6" s="2236"/>
      <c r="D6" s="2237" t="e">
        <f>'Cpte exploitation 1+2+3'!D19</f>
        <v>#REF!</v>
      </c>
      <c r="E6" s="2237" t="e">
        <f>'Cpte exploitation 1+2+3'!E19</f>
        <v>#REF!</v>
      </c>
      <c r="F6" s="2237" t="e">
        <f>'Cpte exploitation 1+2+3'!F19</f>
        <v>#REF!</v>
      </c>
      <c r="G6" s="2237" t="e">
        <f>'Cpte exploitation 1+2+3'!G19</f>
        <v>#REF!</v>
      </c>
      <c r="H6" s="2237" t="e">
        <f>'Cpte exploitation 1+2+3'!H19</f>
        <v>#REF!</v>
      </c>
      <c r="I6" s="2237" t="e">
        <f>'Cpte exploitation 1+2+3'!I19</f>
        <v>#REF!</v>
      </c>
      <c r="J6" s="2237">
        <f>'Cpte exploitation 1+2+3'!J19</f>
        <v>0</v>
      </c>
      <c r="K6" s="2237"/>
      <c r="L6" s="2236"/>
      <c r="M6" s="2236"/>
    </row>
    <row r="7" spans="1:14">
      <c r="A7" s="2153"/>
      <c r="B7" s="2153"/>
      <c r="C7" s="2153"/>
      <c r="D7" s="2233"/>
      <c r="E7" s="2153"/>
      <c r="F7" s="2153"/>
      <c r="G7" s="2153"/>
      <c r="H7" s="2153"/>
      <c r="I7" s="2153"/>
      <c r="J7" s="2153"/>
      <c r="K7" s="2153"/>
      <c r="L7" s="2153"/>
      <c r="M7" s="2153"/>
    </row>
    <row r="8" spans="1:14">
      <c r="A8" s="2238" t="s">
        <v>1205</v>
      </c>
      <c r="B8" s="2153"/>
      <c r="C8" s="2153"/>
      <c r="D8" s="2233" t="e">
        <f>'Cpte exploitation 1+2+3'!D21</f>
        <v>#REF!</v>
      </c>
      <c r="E8" s="2233" t="e">
        <f>'Cpte exploitation 1+2+3'!E21</f>
        <v>#REF!</v>
      </c>
      <c r="F8" s="2233" t="e">
        <f>'Cpte exploitation 1+2+3'!F21</f>
        <v>#REF!</v>
      </c>
      <c r="G8" s="2233" t="e">
        <f>'Cpte exploitation 1+2+3'!G21</f>
        <v>#REF!</v>
      </c>
      <c r="H8" s="2233" t="e">
        <f>'Cpte exploitation 1+2+3'!H21</f>
        <v>#REF!</v>
      </c>
      <c r="I8" s="2233" t="e">
        <f>'Cpte exploitation 1+2+3'!I21</f>
        <v>#REF!</v>
      </c>
      <c r="J8" s="2233">
        <f>'Cpte exploitation 1+2+3'!J21</f>
        <v>0</v>
      </c>
      <c r="K8" s="2233"/>
      <c r="L8" s="2153"/>
      <c r="M8" s="2153"/>
    </row>
    <row r="9" spans="1:14">
      <c r="A9" s="2239" t="s">
        <v>1206</v>
      </c>
      <c r="B9" s="2153"/>
      <c r="C9" s="2153"/>
      <c r="D9" s="2240" t="e">
        <f t="shared" ref="D9:J9" si="0">SUM(D8:D8)</f>
        <v>#REF!</v>
      </c>
      <c r="E9" s="2240" t="e">
        <f t="shared" si="0"/>
        <v>#REF!</v>
      </c>
      <c r="F9" s="2240" t="e">
        <f t="shared" si="0"/>
        <v>#REF!</v>
      </c>
      <c r="G9" s="2240" t="e">
        <f t="shared" si="0"/>
        <v>#REF!</v>
      </c>
      <c r="H9" s="2240" t="e">
        <f t="shared" si="0"/>
        <v>#REF!</v>
      </c>
      <c r="I9" s="2240" t="e">
        <f t="shared" si="0"/>
        <v>#REF!</v>
      </c>
      <c r="J9" s="2240">
        <f t="shared" si="0"/>
        <v>0</v>
      </c>
      <c r="K9" s="2240"/>
      <c r="L9" s="2240"/>
      <c r="M9" s="2240"/>
    </row>
    <row r="10" spans="1:14">
      <c r="A10" s="2241" t="s">
        <v>1207</v>
      </c>
      <c r="B10" s="2242"/>
      <c r="C10" s="2242"/>
      <c r="D10" s="2243" t="e">
        <f t="shared" ref="D10:J10" si="1">-D9/D6</f>
        <v>#REF!</v>
      </c>
      <c r="E10" s="2243" t="e">
        <f t="shared" si="1"/>
        <v>#REF!</v>
      </c>
      <c r="F10" s="2243" t="e">
        <f t="shared" si="1"/>
        <v>#REF!</v>
      </c>
      <c r="G10" s="2243" t="e">
        <f t="shared" si="1"/>
        <v>#REF!</v>
      </c>
      <c r="H10" s="2243" t="e">
        <f t="shared" si="1"/>
        <v>#REF!</v>
      </c>
      <c r="I10" s="2243" t="e">
        <f t="shared" si="1"/>
        <v>#REF!</v>
      </c>
      <c r="J10" s="2243" t="e">
        <f t="shared" si="1"/>
        <v>#DIV/0!</v>
      </c>
      <c r="K10" s="2243"/>
      <c r="L10" s="2242"/>
      <c r="M10" s="2242"/>
    </row>
    <row r="11" spans="1:14">
      <c r="A11" s="2153"/>
      <c r="B11" s="2153"/>
      <c r="C11" s="2153"/>
      <c r="D11" s="2233"/>
      <c r="E11" s="2153"/>
      <c r="F11" s="2153"/>
      <c r="G11" s="2153"/>
      <c r="H11" s="2153"/>
      <c r="I11" s="2153"/>
      <c r="J11" s="2153"/>
      <c r="K11" s="2153"/>
      <c r="L11" s="2153"/>
      <c r="M11" s="2153"/>
    </row>
    <row r="12" spans="1:14">
      <c r="A12" s="2186" t="s">
        <v>1208</v>
      </c>
      <c r="B12" s="2153"/>
      <c r="C12" s="2153"/>
      <c r="D12" s="2240" t="e">
        <f t="shared" ref="D12:J12" si="2">+D6+D9</f>
        <v>#REF!</v>
      </c>
      <c r="E12" s="2240" t="e">
        <f t="shared" si="2"/>
        <v>#REF!</v>
      </c>
      <c r="F12" s="2240" t="e">
        <f t="shared" si="2"/>
        <v>#REF!</v>
      </c>
      <c r="G12" s="2240" t="e">
        <f t="shared" si="2"/>
        <v>#REF!</v>
      </c>
      <c r="H12" s="2240" t="e">
        <f t="shared" si="2"/>
        <v>#REF!</v>
      </c>
      <c r="I12" s="2240" t="e">
        <f t="shared" si="2"/>
        <v>#REF!</v>
      </c>
      <c r="J12" s="2240">
        <f t="shared" si="2"/>
        <v>0</v>
      </c>
      <c r="K12" s="2240"/>
      <c r="L12" s="2240"/>
      <c r="M12" s="2240"/>
    </row>
    <row r="13" spans="1:14">
      <c r="A13" s="2241" t="s">
        <v>1207</v>
      </c>
      <c r="B13" s="2242"/>
      <c r="C13" s="2242"/>
      <c r="D13" s="2243" t="e">
        <f t="shared" ref="D13:J13" si="3">+D12/D6</f>
        <v>#REF!</v>
      </c>
      <c r="E13" s="2243" t="e">
        <f t="shared" si="3"/>
        <v>#REF!</v>
      </c>
      <c r="F13" s="2243" t="e">
        <f t="shared" si="3"/>
        <v>#REF!</v>
      </c>
      <c r="G13" s="2243" t="e">
        <f t="shared" si="3"/>
        <v>#REF!</v>
      </c>
      <c r="H13" s="2243" t="e">
        <f t="shared" si="3"/>
        <v>#REF!</v>
      </c>
      <c r="I13" s="2243" t="e">
        <f t="shared" si="3"/>
        <v>#REF!</v>
      </c>
      <c r="J13" s="2243" t="e">
        <f t="shared" si="3"/>
        <v>#DIV/0!</v>
      </c>
      <c r="K13" s="2243"/>
      <c r="L13" s="2242"/>
      <c r="M13" s="2242"/>
    </row>
    <row r="14" spans="1:14">
      <c r="A14" s="2153"/>
      <c r="B14" s="2153"/>
      <c r="C14" s="2153"/>
      <c r="D14" s="2233"/>
      <c r="E14" s="2153"/>
      <c r="F14" s="2153"/>
      <c r="G14" s="2153"/>
      <c r="H14" s="2153"/>
      <c r="I14" s="2153"/>
      <c r="J14" s="2153"/>
      <c r="K14" s="2153"/>
      <c r="L14" s="2153"/>
      <c r="M14" s="2153"/>
    </row>
    <row r="15" spans="1:14">
      <c r="A15" s="2238" t="s">
        <v>1209</v>
      </c>
      <c r="B15" s="2153"/>
      <c r="C15" s="2153"/>
      <c r="D15" s="2233" t="e">
        <f>'Cpte exploitation 1+2+3'!D34</f>
        <v>#REF!</v>
      </c>
      <c r="E15" s="2233" t="e">
        <f>'Cpte exploitation 1+2+3'!E34</f>
        <v>#REF!</v>
      </c>
      <c r="F15" s="2233" t="e">
        <f>'Cpte exploitation 1+2+3'!F34</f>
        <v>#REF!</v>
      </c>
      <c r="G15" s="2233" t="e">
        <f>'Cpte exploitation 1+2+3'!G34</f>
        <v>#REF!</v>
      </c>
      <c r="H15" s="2233" t="e">
        <f>'Cpte exploitation 1+2+3'!H34</f>
        <v>#REF!</v>
      </c>
      <c r="I15" s="2233" t="e">
        <f>'Cpte exploitation 1+2+3'!I34</f>
        <v>#REF!</v>
      </c>
      <c r="J15" s="2233">
        <f>'Cpte exploitation 1+2+3'!J34</f>
        <v>0</v>
      </c>
      <c r="K15" s="2233"/>
      <c r="L15" s="2153"/>
      <c r="M15" s="2153"/>
    </row>
    <row r="16" spans="1:14">
      <c r="A16" s="2238" t="s">
        <v>1210</v>
      </c>
      <c r="B16" s="2153"/>
      <c r="C16" s="2153"/>
      <c r="D16" s="2233" t="e">
        <f>'Cpte exploitation 1+2+3'!D42</f>
        <v>#REF!</v>
      </c>
      <c r="E16" s="2233" t="e">
        <f>'Cpte exploitation 1+2+3'!E42</f>
        <v>#REF!</v>
      </c>
      <c r="F16" s="2233" t="e">
        <f>'Cpte exploitation 1+2+3'!F42</f>
        <v>#REF!</v>
      </c>
      <c r="G16" s="2233" t="e">
        <f>'Cpte exploitation 1+2+3'!G42</f>
        <v>#REF!</v>
      </c>
      <c r="H16" s="2233" t="e">
        <f>'Cpte exploitation 1+2+3'!H42</f>
        <v>#REF!</v>
      </c>
      <c r="I16" s="2233" t="e">
        <f>'Cpte exploitation 1+2+3'!I42</f>
        <v>#REF!</v>
      </c>
      <c r="J16" s="2233">
        <f>'Cpte exploitation 1+2+3'!J42</f>
        <v>0</v>
      </c>
      <c r="K16" s="2233"/>
      <c r="L16" s="2233"/>
      <c r="M16" s="2233"/>
    </row>
    <row r="17" spans="1:13">
      <c r="A17" s="2238" t="s">
        <v>1211</v>
      </c>
      <c r="B17" s="2153"/>
      <c r="C17" s="2153"/>
      <c r="D17" s="2233" t="e">
        <f>'Cpte exploitation 1+2+3'!D50</f>
        <v>#REF!</v>
      </c>
      <c r="E17" s="2233" t="e">
        <f>'Cpte exploitation 1+2+3'!E50</f>
        <v>#REF!</v>
      </c>
      <c r="F17" s="2233" t="e">
        <f>'Cpte exploitation 1+2+3'!F50</f>
        <v>#REF!</v>
      </c>
      <c r="G17" s="2233" t="e">
        <f>'Cpte exploitation 1+2+3'!G50</f>
        <v>#REF!</v>
      </c>
      <c r="H17" s="2233" t="e">
        <f>'Cpte exploitation 1+2+3'!H50</f>
        <v>#REF!</v>
      </c>
      <c r="I17" s="2233" t="e">
        <f>'Cpte exploitation 1+2+3'!I50</f>
        <v>#REF!</v>
      </c>
      <c r="J17" s="2233">
        <f>'Cpte exploitation 1+2+3'!J50</f>
        <v>0</v>
      </c>
      <c r="K17" s="2233"/>
      <c r="L17" s="2233"/>
      <c r="M17" s="2233"/>
    </row>
    <row r="18" spans="1:13">
      <c r="A18" s="2153" t="s">
        <v>1212</v>
      </c>
      <c r="B18" s="2244" t="s">
        <v>1213</v>
      </c>
      <c r="C18" s="2153" t="s">
        <v>1214</v>
      </c>
      <c r="D18" s="2233">
        <f>+'Cpte exploitation 1+2+3'!D51</f>
        <v>0</v>
      </c>
      <c r="E18" s="2233">
        <f>+'Cpte exploitation 1+2+3'!E51</f>
        <v>0</v>
      </c>
      <c r="F18" s="2233">
        <f>+'Cpte exploitation 1+2+3'!F51</f>
        <v>0</v>
      </c>
      <c r="G18" s="2233">
        <f>+'Cpte exploitation 1+2+3'!G51</f>
        <v>0</v>
      </c>
      <c r="H18" s="2233">
        <f>+'Cpte exploitation 1+2+3'!H51</f>
        <v>0</v>
      </c>
      <c r="I18" s="2233">
        <f>+'Cpte exploitation 1+2+3'!I51</f>
        <v>0</v>
      </c>
      <c r="J18" s="2233">
        <f>+'Cpte exploitation 1+2+3'!J51</f>
        <v>0</v>
      </c>
      <c r="K18" s="2153"/>
      <c r="L18" s="2153"/>
      <c r="M18" s="2153"/>
    </row>
    <row r="19" spans="1:13">
      <c r="A19" s="2153"/>
      <c r="B19" s="2153"/>
      <c r="C19" s="2153"/>
      <c r="D19" s="2233"/>
      <c r="E19" s="2153"/>
      <c r="F19" s="2153"/>
      <c r="G19" s="2153"/>
      <c r="H19" s="2153"/>
      <c r="I19" s="2153"/>
      <c r="J19" s="2153"/>
      <c r="K19" s="2153"/>
      <c r="L19" s="2153"/>
      <c r="M19" s="2153"/>
    </row>
    <row r="20" spans="1:13">
      <c r="A20" s="2186" t="s">
        <v>1215</v>
      </c>
      <c r="B20" s="2153"/>
      <c r="C20" s="2153"/>
      <c r="D20" s="2240" t="e">
        <f t="shared" ref="D20:J20" si="4">+D12+SUM(D15:D17)</f>
        <v>#REF!</v>
      </c>
      <c r="E20" s="2240" t="e">
        <f t="shared" si="4"/>
        <v>#REF!</v>
      </c>
      <c r="F20" s="2240" t="e">
        <f t="shared" si="4"/>
        <v>#REF!</v>
      </c>
      <c r="G20" s="2240" t="e">
        <f t="shared" si="4"/>
        <v>#REF!</v>
      </c>
      <c r="H20" s="2240" t="e">
        <f t="shared" si="4"/>
        <v>#REF!</v>
      </c>
      <c r="I20" s="2240" t="e">
        <f t="shared" si="4"/>
        <v>#REF!</v>
      </c>
      <c r="J20" s="2240">
        <f t="shared" si="4"/>
        <v>0</v>
      </c>
      <c r="K20" s="2240"/>
      <c r="L20" s="2240"/>
      <c r="M20" s="2240"/>
    </row>
    <row r="21" spans="1:13">
      <c r="A21" s="2153"/>
      <c r="B21" s="2153"/>
      <c r="C21" s="2153"/>
      <c r="D21" s="2233"/>
      <c r="E21" s="2153"/>
      <c r="F21" s="2153"/>
      <c r="G21" s="2153"/>
      <c r="H21" s="2153"/>
      <c r="I21" s="2153"/>
      <c r="J21" s="2153"/>
      <c r="K21" s="2153"/>
      <c r="L21" s="2153"/>
      <c r="M21" s="2153"/>
    </row>
    <row r="22" spans="1:13">
      <c r="A22" s="2238" t="s">
        <v>1216</v>
      </c>
      <c r="B22" s="2244" t="s">
        <v>1213</v>
      </c>
      <c r="C22" s="2153" t="s">
        <v>1214</v>
      </c>
      <c r="D22" s="2233" t="e">
        <f>'Cpte exploitation 1+2+3'!D56</f>
        <v>#REF!</v>
      </c>
      <c r="E22" s="2233" t="e">
        <f>'Cpte exploitation 1+2+3'!E56</f>
        <v>#REF!</v>
      </c>
      <c r="F22" s="2233" t="e">
        <f>'Cpte exploitation 1+2+3'!F56</f>
        <v>#REF!</v>
      </c>
      <c r="G22" s="2233" t="e">
        <f>'Cpte exploitation 1+2+3'!G56</f>
        <v>#REF!</v>
      </c>
      <c r="H22" s="2233" t="e">
        <f>'Cpte exploitation 1+2+3'!H56</f>
        <v>#REF!</v>
      </c>
      <c r="I22" s="2233" t="e">
        <f>'Cpte exploitation 1+2+3'!I56</f>
        <v>#REF!</v>
      </c>
      <c r="J22" s="2233">
        <f>'Cpte exploitation 1+2+3'!J56</f>
        <v>0</v>
      </c>
      <c r="K22" s="2233"/>
      <c r="L22" s="2233"/>
      <c r="M22" s="2233"/>
    </row>
    <row r="23" spans="1:13">
      <c r="A23" s="2238" t="s">
        <v>956</v>
      </c>
      <c r="B23" s="2244" t="s">
        <v>1213</v>
      </c>
      <c r="C23" s="2153" t="s">
        <v>1214</v>
      </c>
      <c r="D23" s="2233" t="e">
        <f>'Cpte exploitation 1+2+3'!D60</f>
        <v>#REF!</v>
      </c>
      <c r="E23" s="2233" t="e">
        <f>'Cpte exploitation 1+2+3'!E60</f>
        <v>#REF!</v>
      </c>
      <c r="F23" s="2233" t="e">
        <f>'Cpte exploitation 1+2+3'!F60</f>
        <v>#REF!</v>
      </c>
      <c r="G23" s="2233" t="e">
        <f>'Cpte exploitation 1+2+3'!G60</f>
        <v>#REF!</v>
      </c>
      <c r="H23" s="2233" t="e">
        <f>'Cpte exploitation 1+2+3'!H60</f>
        <v>#REF!</v>
      </c>
      <c r="I23" s="2233" t="e">
        <f>'Cpte exploitation 1+2+3'!I60</f>
        <v>#REF!</v>
      </c>
      <c r="J23" s="2233">
        <f>'Cpte exploitation 1+2+3'!J60</f>
        <v>0</v>
      </c>
      <c r="K23" s="2233"/>
      <c r="L23" s="2233"/>
      <c r="M23" s="2233"/>
    </row>
    <row r="24" spans="1:13">
      <c r="A24" s="2153"/>
      <c r="B24" s="2153"/>
      <c r="C24" s="2153"/>
      <c r="D24" s="2233"/>
      <c r="E24" s="2153"/>
      <c r="F24" s="2153"/>
      <c r="G24" s="2153"/>
      <c r="H24" s="2153"/>
      <c r="I24" s="2153"/>
      <c r="J24" s="2153"/>
      <c r="K24" s="2153"/>
      <c r="L24" s="2153"/>
      <c r="M24" s="2153"/>
    </row>
    <row r="25" spans="1:13">
      <c r="A25" s="2186" t="s">
        <v>1134</v>
      </c>
      <c r="B25" s="2153"/>
      <c r="C25" s="2153"/>
      <c r="D25" s="2240" t="e">
        <f t="shared" ref="D25:J25" si="5">+D20+D22+D23</f>
        <v>#REF!</v>
      </c>
      <c r="E25" s="2240" t="e">
        <f t="shared" si="5"/>
        <v>#REF!</v>
      </c>
      <c r="F25" s="2240" t="e">
        <f t="shared" si="5"/>
        <v>#REF!</v>
      </c>
      <c r="G25" s="2240" t="e">
        <f t="shared" si="5"/>
        <v>#REF!</v>
      </c>
      <c r="H25" s="2240" t="e">
        <f t="shared" si="5"/>
        <v>#REF!</v>
      </c>
      <c r="I25" s="2240" t="e">
        <f t="shared" si="5"/>
        <v>#REF!</v>
      </c>
      <c r="J25" s="2240">
        <f t="shared" si="5"/>
        <v>0</v>
      </c>
      <c r="K25" s="2240"/>
      <c r="L25" s="2240"/>
      <c r="M25" s="2240"/>
    </row>
    <row r="26" spans="1:13">
      <c r="A26" s="2241" t="s">
        <v>1217</v>
      </c>
      <c r="B26" s="2242"/>
      <c r="C26" s="2242"/>
      <c r="D26" s="2243" t="e">
        <f t="shared" ref="D26:J26" si="6">+D25/D$6</f>
        <v>#REF!</v>
      </c>
      <c r="E26" s="2243" t="e">
        <f t="shared" si="6"/>
        <v>#REF!</v>
      </c>
      <c r="F26" s="2243" t="e">
        <f t="shared" si="6"/>
        <v>#REF!</v>
      </c>
      <c r="G26" s="2243" t="e">
        <f t="shared" si="6"/>
        <v>#REF!</v>
      </c>
      <c r="H26" s="2243" t="e">
        <f t="shared" si="6"/>
        <v>#REF!</v>
      </c>
      <c r="I26" s="2243" t="e">
        <f t="shared" si="6"/>
        <v>#REF!</v>
      </c>
      <c r="J26" s="2243" t="e">
        <f t="shared" si="6"/>
        <v>#DIV/0!</v>
      </c>
      <c r="K26" s="2243"/>
      <c r="L26" s="2242"/>
      <c r="M26" s="2242"/>
    </row>
    <row r="27" spans="1:13">
      <c r="A27" s="2153"/>
      <c r="B27" s="2153"/>
      <c r="C27" s="2153"/>
      <c r="D27" s="2233"/>
      <c r="E27" s="2153"/>
      <c r="F27" s="2153"/>
      <c r="G27" s="2153"/>
      <c r="H27" s="2153"/>
      <c r="I27" s="2153"/>
      <c r="J27" s="2153"/>
      <c r="K27" s="2153"/>
      <c r="L27" s="2153"/>
      <c r="M27" s="2153"/>
    </row>
    <row r="28" spans="1:13">
      <c r="A28" s="2245" t="s">
        <v>1218</v>
      </c>
      <c r="B28" s="2245"/>
      <c r="C28" s="2245"/>
      <c r="D28" s="2246" t="e">
        <f>-#REF!</f>
        <v>#REF!</v>
      </c>
      <c r="E28" s="2246" t="e">
        <f>-#REF!</f>
        <v>#REF!</v>
      </c>
      <c r="F28" s="2246" t="e">
        <f>-#REF!</f>
        <v>#REF!</v>
      </c>
      <c r="G28" s="2246" t="e">
        <f>-#REF!</f>
        <v>#REF!</v>
      </c>
      <c r="H28" s="2246" t="e">
        <f>-#REF!</f>
        <v>#REF!</v>
      </c>
      <c r="I28" s="2246" t="e">
        <f>-#REF!</f>
        <v>#REF!</v>
      </c>
      <c r="J28" s="2246" t="e">
        <f>-#REF!</f>
        <v>#REF!</v>
      </c>
      <c r="K28" s="2233"/>
      <c r="L28" s="2233"/>
      <c r="M28" s="2233"/>
    </row>
    <row r="29" spans="1:13">
      <c r="A29" s="2153"/>
      <c r="B29" s="2153"/>
      <c r="C29" s="2153"/>
      <c r="D29" s="2233"/>
      <c r="E29" s="2153"/>
      <c r="F29" s="2153"/>
      <c r="G29" s="2153"/>
      <c r="H29" s="2153"/>
      <c r="I29" s="2153"/>
      <c r="J29" s="2153"/>
      <c r="K29" s="2153"/>
      <c r="L29" s="2153"/>
      <c r="M29" s="2153"/>
    </row>
    <row r="30" spans="1:13" ht="13.5" thickBot="1">
      <c r="A30" s="2247" t="s">
        <v>1219</v>
      </c>
      <c r="B30" s="2236"/>
      <c r="C30" s="2236"/>
      <c r="D30" s="2248" t="e">
        <f t="shared" ref="D30:J30" si="7">+D25+D28</f>
        <v>#REF!</v>
      </c>
      <c r="E30" s="2248" t="e">
        <f t="shared" si="7"/>
        <v>#REF!</v>
      </c>
      <c r="F30" s="2248" t="e">
        <f t="shared" si="7"/>
        <v>#REF!</v>
      </c>
      <c r="G30" s="2248" t="e">
        <f t="shared" si="7"/>
        <v>#REF!</v>
      </c>
      <c r="H30" s="2248" t="e">
        <f t="shared" si="7"/>
        <v>#REF!</v>
      </c>
      <c r="I30" s="2248" t="e">
        <f t="shared" si="7"/>
        <v>#REF!</v>
      </c>
      <c r="J30" s="2248" t="e">
        <f t="shared" si="7"/>
        <v>#REF!</v>
      </c>
      <c r="K30" s="2248"/>
      <c r="L30" s="2248"/>
      <c r="M30" s="2248"/>
    </row>
    <row r="31" spans="1:13" ht="13.5" thickTop="1">
      <c r="A31" s="2153"/>
      <c r="B31" s="2153"/>
      <c r="C31" s="2153"/>
      <c r="D31" s="2233"/>
      <c r="E31" s="2153"/>
      <c r="F31" s="2153"/>
      <c r="G31" s="2153"/>
      <c r="H31" s="2153"/>
      <c r="I31" s="2153"/>
      <c r="J31" s="2153"/>
      <c r="K31" s="2153"/>
      <c r="L31" s="2153"/>
      <c r="M31" s="2153"/>
    </row>
    <row r="32" spans="1:13">
      <c r="A32" s="2153"/>
      <c r="B32" s="2153"/>
      <c r="C32" s="2153"/>
      <c r="D32" s="2233"/>
      <c r="E32" s="2153"/>
      <c r="F32" s="2153"/>
      <c r="G32" s="2153"/>
      <c r="H32" s="2153"/>
      <c r="I32" s="2153"/>
      <c r="J32" s="2153"/>
      <c r="K32" s="2153"/>
      <c r="L32" s="2153"/>
      <c r="M32" s="2153"/>
    </row>
    <row r="33" spans="1:13" ht="13.5" thickBot="1">
      <c r="A33" s="2249" t="s">
        <v>1220</v>
      </c>
      <c r="B33" s="2236"/>
      <c r="C33" s="2236"/>
      <c r="D33" s="2248">
        <f>'Synthèse projet'!D35</f>
        <v>0</v>
      </c>
      <c r="E33" s="2247"/>
      <c r="F33" s="2247"/>
      <c r="G33" s="2247"/>
      <c r="H33" s="2247"/>
      <c r="I33" s="2247"/>
      <c r="J33" s="2247"/>
      <c r="K33" s="2247"/>
      <c r="L33" s="2247"/>
      <c r="M33" s="2247"/>
    </row>
    <row r="34" spans="1:13" ht="14.25" thickTop="1" thickBot="1">
      <c r="A34" s="2250" t="s">
        <v>1221</v>
      </c>
      <c r="B34" s="2153"/>
      <c r="C34" s="2153"/>
      <c r="D34" s="2251" t="e">
        <f t="shared" ref="D34:J34" si="8">D33/D6</f>
        <v>#REF!</v>
      </c>
      <c r="E34" s="2251" t="e">
        <f t="shared" si="8"/>
        <v>#REF!</v>
      </c>
      <c r="F34" s="2251" t="e">
        <f t="shared" si="8"/>
        <v>#REF!</v>
      </c>
      <c r="G34" s="2251" t="e">
        <f t="shared" si="8"/>
        <v>#REF!</v>
      </c>
      <c r="H34" s="2251" t="e">
        <f t="shared" si="8"/>
        <v>#REF!</v>
      </c>
      <c r="I34" s="2251" t="e">
        <f t="shared" si="8"/>
        <v>#REF!</v>
      </c>
      <c r="J34" s="2251" t="e">
        <f t="shared" si="8"/>
        <v>#DIV/0!</v>
      </c>
      <c r="K34" s="2251"/>
      <c r="L34" s="2250"/>
      <c r="M34" s="2250"/>
    </row>
    <row r="35" spans="1:13" ht="13.5" thickTop="1">
      <c r="A35" s="2153"/>
      <c r="B35" s="2153"/>
      <c r="C35" s="2153"/>
      <c r="D35" s="2233"/>
      <c r="E35" s="2153"/>
      <c r="F35" s="2153"/>
      <c r="G35" s="2153"/>
      <c r="H35" s="2153"/>
      <c r="I35" s="2153"/>
      <c r="J35" s="2153"/>
      <c r="K35" s="2153"/>
      <c r="L35" s="2153"/>
      <c r="M35" s="2153"/>
    </row>
    <row r="36" spans="1:13">
      <c r="A36" s="2252" t="s">
        <v>1222</v>
      </c>
      <c r="B36" s="2153"/>
      <c r="C36" s="2153"/>
      <c r="D36" s="2233"/>
      <c r="E36" s="2153"/>
      <c r="F36" s="2153"/>
      <c r="G36" s="2153"/>
      <c r="H36" s="2153"/>
      <c r="I36" s="2153"/>
      <c r="J36" s="2153"/>
      <c r="K36" s="2153"/>
      <c r="L36" s="2153"/>
      <c r="M36" s="2153"/>
    </row>
    <row r="37" spans="1:13">
      <c r="A37" s="2253" t="s">
        <v>1223</v>
      </c>
      <c r="B37" s="2153"/>
      <c r="C37" s="2153"/>
      <c r="D37" s="2233" t="e">
        <f>+SUM($D6:D6)</f>
        <v>#REF!</v>
      </c>
      <c r="E37" s="2153" t="e">
        <f>+SUM($D6:E6)</f>
        <v>#REF!</v>
      </c>
      <c r="F37" s="2153" t="e">
        <f>+SUM($D6:F6)-SUM($D6:D6)</f>
        <v>#REF!</v>
      </c>
      <c r="G37" s="2153" t="e">
        <f>+SUM($D6:G6)-SUM($D6:E6)</f>
        <v>#REF!</v>
      </c>
      <c r="H37" s="2153" t="e">
        <f>+SUM($D6:H6)-SUM($D6:F6)</f>
        <v>#REF!</v>
      </c>
      <c r="I37" s="2153" t="e">
        <f>+SUM($D6:I6)-SUM($D6:G6)</f>
        <v>#REF!</v>
      </c>
      <c r="J37" s="2153" t="e">
        <f>+SUM($D6:J6)-SUM($D6:H6)</f>
        <v>#REF!</v>
      </c>
      <c r="K37" s="2153"/>
      <c r="L37" s="2153"/>
      <c r="M37" s="2153"/>
    </row>
    <row r="38" spans="1:13">
      <c r="A38" s="2253" t="s">
        <v>1224</v>
      </c>
      <c r="B38" s="2153"/>
      <c r="C38" s="2153"/>
      <c r="D38" s="2233">
        <v>0</v>
      </c>
      <c r="E38" s="2233">
        <v>0</v>
      </c>
      <c r="F38" s="2233">
        <v>0</v>
      </c>
      <c r="G38" s="2233">
        <v>0</v>
      </c>
      <c r="H38" s="2233">
        <v>1</v>
      </c>
      <c r="I38" s="2233">
        <v>2</v>
      </c>
      <c r="J38" s="2233">
        <v>3</v>
      </c>
      <c r="K38" s="2233"/>
      <c r="L38" s="2233"/>
      <c r="M38" s="2233"/>
    </row>
    <row r="39" spans="1:13">
      <c r="A39" s="2254" t="s">
        <v>1225</v>
      </c>
      <c r="B39" s="2153"/>
      <c r="C39" s="2153"/>
      <c r="D39" s="2240" t="e">
        <f t="shared" ref="D39:J39" si="9">SUM(D37:D38)</f>
        <v>#REF!</v>
      </c>
      <c r="E39" s="2240" t="e">
        <f t="shared" si="9"/>
        <v>#REF!</v>
      </c>
      <c r="F39" s="2240" t="e">
        <f t="shared" si="9"/>
        <v>#REF!</v>
      </c>
      <c r="G39" s="2240" t="e">
        <f t="shared" si="9"/>
        <v>#REF!</v>
      </c>
      <c r="H39" s="2240" t="e">
        <f t="shared" si="9"/>
        <v>#REF!</v>
      </c>
      <c r="I39" s="2240" t="e">
        <f t="shared" si="9"/>
        <v>#REF!</v>
      </c>
      <c r="J39" s="2240" t="e">
        <f t="shared" si="9"/>
        <v>#REF!</v>
      </c>
      <c r="K39" s="2240"/>
      <c r="L39" s="2240"/>
      <c r="M39" s="2240"/>
    </row>
    <row r="40" spans="1:13">
      <c r="A40" s="2253" t="s">
        <v>1226</v>
      </c>
      <c r="B40" s="2153"/>
      <c r="C40" s="2153"/>
      <c r="D40" s="2233" t="e">
        <f>SUM($D8:D8)+SUM(#REF!)</f>
        <v>#REF!</v>
      </c>
      <c r="E40" s="2233" t="e">
        <f>SUM($D8:E8)+SUM(#REF!)</f>
        <v>#REF!</v>
      </c>
      <c r="F40" s="2233" t="e">
        <f>SUM($D8:F8)+SUM(#REF!)</f>
        <v>#REF!</v>
      </c>
      <c r="G40" s="2233" t="e">
        <f>SUM($D8:G8)-SUM($D8:D8)+SUM(#REF!)-SUM(#REF!)</f>
        <v>#REF!</v>
      </c>
      <c r="H40" s="2233" t="e">
        <f>SUM($D8:H8)-SUM($D8:E8)+SUM(#REF!)-SUM(#REF!)</f>
        <v>#REF!</v>
      </c>
      <c r="I40" s="2233" t="e">
        <f>SUM($D8:I8)-SUM($D8:F8)+SUM(#REF!)-SUM(#REF!)</f>
        <v>#REF!</v>
      </c>
      <c r="J40" s="2233" t="e">
        <f>SUM($D8:J8)-SUM($D8:G8)+SUM(#REF!)-SUM(#REF!)</f>
        <v>#REF!</v>
      </c>
      <c r="K40" s="2233"/>
      <c r="L40" s="2233"/>
      <c r="M40" s="2233"/>
    </row>
    <row r="41" spans="1:13">
      <c r="A41" s="2253" t="s">
        <v>1227</v>
      </c>
      <c r="B41" s="2153"/>
      <c r="C41" s="2153"/>
      <c r="D41" s="2233">
        <f>-SUM($D33:D33)</f>
        <v>0</v>
      </c>
      <c r="E41" s="2233">
        <f>-SUM($D33:E33)</f>
        <v>0</v>
      </c>
      <c r="F41" s="2233">
        <f>-SUM($D33:F33)</f>
        <v>0</v>
      </c>
      <c r="G41" s="2233">
        <f>-SUM($D33:G33)+SUM($D33:D33)</f>
        <v>0</v>
      </c>
      <c r="H41" s="2233">
        <f>-SUM($D33:H33)+SUM($D33:E33)</f>
        <v>0</v>
      </c>
      <c r="I41" s="2233">
        <f>-SUM($D33:I33)+SUM($D33:F33)</f>
        <v>0</v>
      </c>
      <c r="J41" s="2233">
        <f>-SUM($D33:J33)+SUM($D33:G33)</f>
        <v>0</v>
      </c>
      <c r="K41" s="2233"/>
      <c r="L41" s="2233"/>
      <c r="M41" s="2233"/>
    </row>
    <row r="42" spans="1:13">
      <c r="A42" s="2253" t="s">
        <v>1228</v>
      </c>
      <c r="B42" s="2153"/>
      <c r="C42" s="2153"/>
      <c r="D42" s="2233" t="e">
        <f>+SUM(#REF!)</f>
        <v>#REF!</v>
      </c>
      <c r="E42" s="2233" t="e">
        <f>+SUM(#REF!)-SUM(#REF!)</f>
        <v>#REF!</v>
      </c>
      <c r="F42" s="2233" t="e">
        <f>+SUM(#REF!)-SUM(#REF!)</f>
        <v>#REF!</v>
      </c>
      <c r="G42" s="2233" t="e">
        <f>+SUM(#REF!)-SUM(#REF!)</f>
        <v>#REF!</v>
      </c>
      <c r="H42" s="2233" t="e">
        <f>+SUM(#REF!)-SUM(#REF!)</f>
        <v>#REF!</v>
      </c>
      <c r="I42" s="2233" t="e">
        <f>+SUM(#REF!)-SUM(#REF!)</f>
        <v>#REF!</v>
      </c>
      <c r="J42" s="2233" t="e">
        <f>+SUM(#REF!)-SUM(#REF!)</f>
        <v>#REF!</v>
      </c>
      <c r="K42" s="2233"/>
      <c r="L42" s="2233"/>
      <c r="M42" s="2233"/>
    </row>
    <row r="43" spans="1:13">
      <c r="A43" s="2253" t="s">
        <v>1229</v>
      </c>
      <c r="B43" s="2153"/>
      <c r="C43" s="2153"/>
      <c r="D43" s="2233" t="e">
        <f>SUM($D17:D17)</f>
        <v>#REF!</v>
      </c>
      <c r="E43" s="2233" t="e">
        <f>SUM($D17:E17)</f>
        <v>#REF!</v>
      </c>
      <c r="F43" s="2233" t="e">
        <f>SUM($D17:F17)</f>
        <v>#REF!</v>
      </c>
      <c r="G43" s="2233" t="e">
        <f>SUM($D17:G17)</f>
        <v>#REF!</v>
      </c>
      <c r="H43" s="2233" t="e">
        <f>SUM($D17:H17)</f>
        <v>#REF!</v>
      </c>
      <c r="I43" s="2233" t="e">
        <f>SUM($D17:I17)</f>
        <v>#REF!</v>
      </c>
      <c r="J43" s="2233" t="e">
        <f>SUM($D17:J17)</f>
        <v>#REF!</v>
      </c>
      <c r="K43" s="2233"/>
      <c r="L43" s="2233"/>
      <c r="M43" s="2233"/>
    </row>
    <row r="44" spans="1:13">
      <c r="A44" s="2254" t="s">
        <v>1230</v>
      </c>
      <c r="B44" s="2153"/>
      <c r="C44" s="2153"/>
      <c r="D44" s="2240" t="e">
        <f t="shared" ref="D44:J44" si="10">SUM(D40:D43)</f>
        <v>#REF!</v>
      </c>
      <c r="E44" s="2240" t="e">
        <f t="shared" si="10"/>
        <v>#REF!</v>
      </c>
      <c r="F44" s="2240" t="e">
        <f t="shared" si="10"/>
        <v>#REF!</v>
      </c>
      <c r="G44" s="2240" t="e">
        <f t="shared" si="10"/>
        <v>#REF!</v>
      </c>
      <c r="H44" s="2240" t="e">
        <f t="shared" si="10"/>
        <v>#REF!</v>
      </c>
      <c r="I44" s="2240" t="e">
        <f t="shared" si="10"/>
        <v>#REF!</v>
      </c>
      <c r="J44" s="2240" t="e">
        <f t="shared" si="10"/>
        <v>#REF!</v>
      </c>
      <c r="K44" s="2240"/>
      <c r="L44" s="2240"/>
      <c r="M44" s="2240"/>
    </row>
    <row r="45" spans="1:13">
      <c r="A45" s="2255"/>
      <c r="B45" s="2153"/>
      <c r="C45" s="2153"/>
      <c r="D45" s="2187"/>
      <c r="E45" s="2187"/>
      <c r="F45" s="2187"/>
      <c r="G45" s="2187"/>
      <c r="H45" s="2187"/>
      <c r="I45" s="2187"/>
      <c r="J45" s="2187"/>
      <c r="K45" s="2187"/>
      <c r="L45" s="2187"/>
      <c r="M45" s="2187"/>
    </row>
    <row r="46" spans="1:13" ht="13.5" thickBot="1">
      <c r="A46" s="2256" t="s">
        <v>1222</v>
      </c>
      <c r="B46" s="2153"/>
      <c r="C46" s="2153"/>
      <c r="D46" s="2257" t="e">
        <f t="shared" ref="D46:J46" si="11">+D39+D44</f>
        <v>#REF!</v>
      </c>
      <c r="E46" s="2257" t="e">
        <f t="shared" si="11"/>
        <v>#REF!</v>
      </c>
      <c r="F46" s="2257" t="e">
        <f t="shared" si="11"/>
        <v>#REF!</v>
      </c>
      <c r="G46" s="2257" t="e">
        <f t="shared" si="11"/>
        <v>#REF!</v>
      </c>
      <c r="H46" s="2257" t="e">
        <f t="shared" si="11"/>
        <v>#REF!</v>
      </c>
      <c r="I46" s="2257" t="e">
        <f t="shared" si="11"/>
        <v>#REF!</v>
      </c>
      <c r="J46" s="2257" t="e">
        <f t="shared" si="11"/>
        <v>#REF!</v>
      </c>
      <c r="K46" s="2257"/>
      <c r="L46" s="2257"/>
      <c r="M46" s="2257"/>
    </row>
    <row r="47" spans="1:13" ht="13.5" thickTop="1">
      <c r="A47" s="2253"/>
      <c r="B47" s="2153"/>
      <c r="C47" s="2153"/>
      <c r="D47" s="2233"/>
      <c r="E47" s="2153"/>
      <c r="F47" s="2153"/>
      <c r="G47" s="2153"/>
      <c r="H47" s="2153"/>
      <c r="I47" s="2153"/>
      <c r="J47" s="2153"/>
      <c r="K47" s="2153"/>
      <c r="L47" s="2153"/>
      <c r="M47" s="2153"/>
    </row>
    <row r="48" spans="1:13" ht="13.5" thickBot="1">
      <c r="A48" s="2247" t="s">
        <v>1231</v>
      </c>
      <c r="B48" s="2236"/>
      <c r="C48" s="2236"/>
      <c r="D48" s="2248" t="e">
        <f>-D46</f>
        <v>#REF!</v>
      </c>
      <c r="E48" s="2248" t="e">
        <f t="shared" ref="E48:J48" si="12">-(E46-D46)</f>
        <v>#REF!</v>
      </c>
      <c r="F48" s="2248" t="e">
        <f t="shared" si="12"/>
        <v>#REF!</v>
      </c>
      <c r="G48" s="2248" t="e">
        <f t="shared" si="12"/>
        <v>#REF!</v>
      </c>
      <c r="H48" s="2248" t="e">
        <f t="shared" si="12"/>
        <v>#REF!</v>
      </c>
      <c r="I48" s="2248" t="e">
        <f t="shared" si="12"/>
        <v>#REF!</v>
      </c>
      <c r="J48" s="2248" t="e">
        <f t="shared" si="12"/>
        <v>#REF!</v>
      </c>
      <c r="K48" s="2248"/>
      <c r="L48" s="2248"/>
      <c r="M48" s="2248"/>
    </row>
    <row r="49" spans="1:13" ht="13.5" thickTop="1">
      <c r="A49" s="2153"/>
      <c r="B49" s="2153"/>
      <c r="C49" s="2153"/>
      <c r="D49" s="2233"/>
      <c r="E49" s="2153"/>
      <c r="F49" s="2153"/>
      <c r="G49" s="2153"/>
      <c r="H49" s="2153"/>
      <c r="I49" s="2153"/>
      <c r="J49" s="2153"/>
      <c r="K49" s="2153"/>
      <c r="L49" s="2153"/>
      <c r="M49" s="2153"/>
    </row>
    <row r="50" spans="1:13" ht="13.5" thickBot="1">
      <c r="A50" s="2258" t="s">
        <v>1232</v>
      </c>
      <c r="B50" s="2236"/>
      <c r="C50" s="2236"/>
      <c r="D50" s="2259" t="e">
        <f t="shared" ref="D50:J50" si="13">+D30-D33+D48</f>
        <v>#REF!</v>
      </c>
      <c r="E50" s="2259" t="e">
        <f t="shared" si="13"/>
        <v>#REF!</v>
      </c>
      <c r="F50" s="2259" t="e">
        <f t="shared" si="13"/>
        <v>#REF!</v>
      </c>
      <c r="G50" s="2259" t="e">
        <f t="shared" si="13"/>
        <v>#REF!</v>
      </c>
      <c r="H50" s="2259" t="e">
        <f t="shared" si="13"/>
        <v>#REF!</v>
      </c>
      <c r="I50" s="2259" t="e">
        <f t="shared" si="13"/>
        <v>#REF!</v>
      </c>
      <c r="J50" s="2259" t="e">
        <f t="shared" si="13"/>
        <v>#REF!</v>
      </c>
      <c r="K50" s="2259"/>
      <c r="L50" s="2259"/>
      <c r="M50" s="2259"/>
    </row>
    <row r="51" spans="1:13">
      <c r="A51" s="2260" t="s">
        <v>1233</v>
      </c>
      <c r="B51" s="2261"/>
      <c r="C51" s="2261"/>
      <c r="D51" s="2262" t="e">
        <f>+D50</f>
        <v>#REF!</v>
      </c>
      <c r="E51" s="2262" t="e">
        <f t="shared" ref="E51:J51" si="14">+D51+E50</f>
        <v>#REF!</v>
      </c>
      <c r="F51" s="2262" t="e">
        <f t="shared" si="14"/>
        <v>#REF!</v>
      </c>
      <c r="G51" s="2262" t="e">
        <f t="shared" si="14"/>
        <v>#REF!</v>
      </c>
      <c r="H51" s="2262" t="e">
        <f t="shared" si="14"/>
        <v>#REF!</v>
      </c>
      <c r="I51" s="2262" t="e">
        <f t="shared" si="14"/>
        <v>#REF!</v>
      </c>
      <c r="J51" s="2262" t="e">
        <f t="shared" si="14"/>
        <v>#REF!</v>
      </c>
      <c r="K51" s="2262"/>
      <c r="L51" s="2262"/>
      <c r="M51" s="2262"/>
    </row>
    <row r="52" spans="1:13">
      <c r="A52" s="2153"/>
      <c r="B52" s="2153"/>
      <c r="C52" s="2153"/>
      <c r="D52" s="2233"/>
      <c r="E52" s="2153"/>
      <c r="F52" s="2153"/>
      <c r="G52" s="2153"/>
      <c r="H52" s="2153"/>
      <c r="I52" s="2153"/>
      <c r="J52" s="2153"/>
      <c r="K52" s="2153"/>
      <c r="L52" s="2153"/>
      <c r="M52" s="2153"/>
    </row>
    <row r="53" spans="1:13" ht="13.5" thickBot="1">
      <c r="A53" s="2247" t="s">
        <v>1234</v>
      </c>
      <c r="B53" s="2236"/>
      <c r="C53" s="2236"/>
      <c r="D53" s="2248"/>
      <c r="E53" s="2247"/>
      <c r="F53" s="2247"/>
      <c r="G53" s="2247"/>
      <c r="H53" s="2247"/>
      <c r="I53" s="2247"/>
      <c r="J53" s="2247"/>
      <c r="K53" s="2247"/>
      <c r="L53" s="2247"/>
      <c r="M53" s="2247"/>
    </row>
    <row r="54" spans="1:13" ht="13.5" thickTop="1">
      <c r="A54" s="2263"/>
      <c r="B54" s="2236"/>
      <c r="C54" s="2236"/>
      <c r="D54" s="2264"/>
      <c r="E54" s="2263"/>
      <c r="F54" s="2263"/>
      <c r="G54" s="2263"/>
      <c r="H54" s="2263"/>
      <c r="I54" s="2263"/>
      <c r="J54" s="2263"/>
      <c r="K54" s="2263"/>
      <c r="L54" s="2263"/>
      <c r="M54" s="2263"/>
    </row>
    <row r="55" spans="1:13">
      <c r="A55" s="2238" t="s">
        <v>1235</v>
      </c>
      <c r="B55" s="2153"/>
      <c r="C55" s="2153"/>
      <c r="D55" s="2233" t="e">
        <f t="shared" ref="D55:J55" si="15">+D25</f>
        <v>#REF!</v>
      </c>
      <c r="E55" s="2233" t="e">
        <f t="shared" si="15"/>
        <v>#REF!</v>
      </c>
      <c r="F55" s="2233" t="e">
        <f t="shared" si="15"/>
        <v>#REF!</v>
      </c>
      <c r="G55" s="2233" t="e">
        <f t="shared" si="15"/>
        <v>#REF!</v>
      </c>
      <c r="H55" s="2233" t="e">
        <f t="shared" si="15"/>
        <v>#REF!</v>
      </c>
      <c r="I55" s="2233" t="e">
        <f t="shared" si="15"/>
        <v>#REF!</v>
      </c>
      <c r="J55" s="2233">
        <f t="shared" si="15"/>
        <v>0</v>
      </c>
      <c r="K55" s="2233"/>
      <c r="L55" s="2233"/>
      <c r="M55" s="2233"/>
    </row>
    <row r="56" spans="1:13">
      <c r="A56" s="2153"/>
      <c r="B56" s="2153"/>
      <c r="C56" s="2153"/>
      <c r="D56" s="2233"/>
      <c r="E56" s="2153"/>
      <c r="F56" s="2153"/>
      <c r="G56" s="2153"/>
      <c r="H56" s="2153"/>
      <c r="I56" s="2153"/>
      <c r="J56" s="2153"/>
      <c r="K56" s="2153"/>
      <c r="L56" s="2153"/>
      <c r="M56" s="2153"/>
    </row>
    <row r="57" spans="1:13">
      <c r="A57" s="2238" t="s">
        <v>1236</v>
      </c>
      <c r="B57" s="2153"/>
      <c r="C57" s="2153"/>
      <c r="D57" s="2233">
        <f>+D33</f>
        <v>0</v>
      </c>
      <c r="E57" s="2233">
        <f t="shared" ref="E57:J57" si="16">+D57+E33</f>
        <v>0</v>
      </c>
      <c r="F57" s="2233">
        <f t="shared" si="16"/>
        <v>0</v>
      </c>
      <c r="G57" s="2233">
        <f t="shared" si="16"/>
        <v>0</v>
      </c>
      <c r="H57" s="2233">
        <f t="shared" si="16"/>
        <v>0</v>
      </c>
      <c r="I57" s="2233">
        <f t="shared" si="16"/>
        <v>0</v>
      </c>
      <c r="J57" s="2233">
        <f t="shared" si="16"/>
        <v>0</v>
      </c>
      <c r="K57" s="2233"/>
      <c r="L57" s="2233"/>
      <c r="M57" s="2233"/>
    </row>
    <row r="58" spans="1:13">
      <c r="A58" s="2238" t="s">
        <v>1222</v>
      </c>
      <c r="B58" s="2153"/>
      <c r="C58" s="2153"/>
      <c r="D58" s="2233" t="e">
        <f t="shared" ref="D58:J58" si="17">+D46</f>
        <v>#REF!</v>
      </c>
      <c r="E58" s="2233" t="e">
        <f t="shared" si="17"/>
        <v>#REF!</v>
      </c>
      <c r="F58" s="2233" t="e">
        <f t="shared" si="17"/>
        <v>#REF!</v>
      </c>
      <c r="G58" s="2233" t="e">
        <f t="shared" si="17"/>
        <v>#REF!</v>
      </c>
      <c r="H58" s="2233" t="e">
        <f t="shared" si="17"/>
        <v>#REF!</v>
      </c>
      <c r="I58" s="2233" t="e">
        <f t="shared" si="17"/>
        <v>#REF!</v>
      </c>
      <c r="J58" s="2233" t="e">
        <f t="shared" si="17"/>
        <v>#REF!</v>
      </c>
      <c r="K58" s="2233"/>
      <c r="L58" s="2233"/>
      <c r="M58" s="2233"/>
    </row>
    <row r="59" spans="1:13">
      <c r="A59" s="2265" t="s">
        <v>1237</v>
      </c>
      <c r="B59" s="2153"/>
      <c r="C59" s="2153"/>
      <c r="D59" s="2240" t="e">
        <f t="shared" ref="D59:J59" si="18">+D57+D58</f>
        <v>#REF!</v>
      </c>
      <c r="E59" s="2240" t="e">
        <f t="shared" si="18"/>
        <v>#REF!</v>
      </c>
      <c r="F59" s="2240" t="e">
        <f t="shared" si="18"/>
        <v>#REF!</v>
      </c>
      <c r="G59" s="2240" t="e">
        <f t="shared" si="18"/>
        <v>#REF!</v>
      </c>
      <c r="H59" s="2240" t="e">
        <f t="shared" si="18"/>
        <v>#REF!</v>
      </c>
      <c r="I59" s="2240" t="e">
        <f t="shared" si="18"/>
        <v>#REF!</v>
      </c>
      <c r="J59" s="2240" t="e">
        <f t="shared" si="18"/>
        <v>#REF!</v>
      </c>
      <c r="K59" s="2240"/>
      <c r="L59" s="2240"/>
      <c r="M59" s="2240"/>
    </row>
    <row r="60" spans="1:13">
      <c r="A60" s="2153"/>
      <c r="B60" s="2153"/>
      <c r="C60" s="2153"/>
      <c r="D60" s="2233"/>
      <c r="E60" s="2153"/>
      <c r="F60" s="2153"/>
      <c r="G60" s="2153"/>
      <c r="H60" s="2153"/>
      <c r="I60" s="2153"/>
      <c r="J60" s="2153"/>
      <c r="K60" s="2153"/>
      <c r="L60" s="2153"/>
      <c r="M60" s="2153"/>
    </row>
    <row r="61" spans="1:13" ht="13.5" thickBot="1">
      <c r="A61" s="2266" t="s">
        <v>1238</v>
      </c>
      <c r="B61" s="2153"/>
      <c r="C61" s="2153"/>
      <c r="D61" s="2267" t="e">
        <f>IF(D59&lt;0,"cash machine",D55/D59)</f>
        <v>#REF!</v>
      </c>
      <c r="E61" s="2267" t="e">
        <f t="shared" ref="E61:J61" si="19">IF(E59&lt;0,"cash machine",E55/E59)</f>
        <v>#REF!</v>
      </c>
      <c r="F61" s="2267" t="e">
        <f t="shared" si="19"/>
        <v>#REF!</v>
      </c>
      <c r="G61" s="2267" t="e">
        <f t="shared" si="19"/>
        <v>#REF!</v>
      </c>
      <c r="H61" s="2267" t="e">
        <f t="shared" si="19"/>
        <v>#REF!</v>
      </c>
      <c r="I61" s="2267" t="e">
        <f t="shared" si="19"/>
        <v>#REF!</v>
      </c>
      <c r="J61" s="2267" t="e">
        <f t="shared" si="19"/>
        <v>#REF!</v>
      </c>
      <c r="K61" s="2267"/>
      <c r="L61" s="2267"/>
      <c r="M61" s="2267"/>
    </row>
    <row r="62" spans="1:13" ht="13.5" thickTop="1">
      <c r="A62" s="2153"/>
      <c r="B62" s="2153"/>
      <c r="C62" s="2153"/>
      <c r="D62" s="2233"/>
      <c r="E62" s="2153"/>
      <c r="F62" s="2153"/>
      <c r="G62" s="2153"/>
      <c r="H62" s="2153"/>
      <c r="I62" s="2153"/>
      <c r="J62" s="2153"/>
      <c r="K62" s="2153"/>
      <c r="L62" s="2153"/>
      <c r="M62" s="2153"/>
    </row>
    <row r="63" spans="1:13">
      <c r="A63" s="2268" t="s">
        <v>1239</v>
      </c>
      <c r="B63" s="2268"/>
      <c r="C63" s="2268"/>
      <c r="D63" s="2269" t="e">
        <f>IF(D55&lt;0,IF(D59&lt;0,"Gestion à améliorer","Nightmare"),IF(D59&lt;0,"Dream situation","Consommateur de Cash"))</f>
        <v>#REF!</v>
      </c>
      <c r="E63" s="2269" t="e">
        <f t="shared" ref="E63:J63" si="20">IF(E55&lt;0,IF(E59&lt;0,"Gestion à améliorer","Nightmare"),IF(E59&lt;0,"Dream situation","Consommateur de Cash"))</f>
        <v>#REF!</v>
      </c>
      <c r="F63" s="2269" t="e">
        <f t="shared" si="20"/>
        <v>#REF!</v>
      </c>
      <c r="G63" s="2269" t="e">
        <f t="shared" si="20"/>
        <v>#REF!</v>
      </c>
      <c r="H63" s="2269" t="e">
        <f t="shared" si="20"/>
        <v>#REF!</v>
      </c>
      <c r="I63" s="2269" t="e">
        <f t="shared" si="20"/>
        <v>#REF!</v>
      </c>
      <c r="J63" s="2269" t="e">
        <f t="shared" si="20"/>
        <v>#REF!</v>
      </c>
      <c r="K63" s="2269"/>
      <c r="L63" s="2269"/>
      <c r="M63" s="2269"/>
    </row>
    <row r="66" spans="1:14">
      <c r="A66" s="2234" t="str">
        <f>Financier!B7</f>
        <v>Année</v>
      </c>
      <c r="D66" s="2234">
        <f>Financier!D7</f>
        <v>2014</v>
      </c>
      <c r="E66" s="2234">
        <f>Financier!E7</f>
        <v>2015</v>
      </c>
      <c r="F66" s="2234">
        <f>Financier!F7</f>
        <v>2016</v>
      </c>
      <c r="G66" s="2234">
        <f>Financier!G7</f>
        <v>2017</v>
      </c>
      <c r="H66" s="2234">
        <f>Financier!H7</f>
        <v>2018</v>
      </c>
      <c r="I66" s="2234">
        <f>Financier!I7</f>
        <v>2019</v>
      </c>
      <c r="J66" s="2234">
        <f>Financier!J7</f>
        <v>2020</v>
      </c>
      <c r="K66" s="2234"/>
      <c r="L66" s="2234"/>
      <c r="M66" s="2234"/>
      <c r="N66" s="2234"/>
    </row>
    <row r="68" spans="1:14">
      <c r="A68" s="2270" t="str">
        <f>A25</f>
        <v>EBITA</v>
      </c>
      <c r="D68" s="2233" t="e">
        <f>D25</f>
        <v>#REF!</v>
      </c>
      <c r="E68" s="2233" t="e">
        <f t="shared" ref="E68:J68" si="21">E25</f>
        <v>#REF!</v>
      </c>
      <c r="F68" s="2233" t="e">
        <f t="shared" si="21"/>
        <v>#REF!</v>
      </c>
      <c r="G68" s="2233" t="e">
        <f t="shared" si="21"/>
        <v>#REF!</v>
      </c>
      <c r="H68" s="2233" t="e">
        <f t="shared" si="21"/>
        <v>#REF!</v>
      </c>
      <c r="I68" s="2233" t="e">
        <f t="shared" si="21"/>
        <v>#REF!</v>
      </c>
      <c r="J68" s="2233">
        <f t="shared" si="21"/>
        <v>0</v>
      </c>
      <c r="K68" s="2233"/>
      <c r="L68" s="2233"/>
      <c r="M68" s="2233"/>
      <c r="N68" s="2233"/>
    </row>
    <row r="69" spans="1:14">
      <c r="A69" s="2271" t="str">
        <f>A57</f>
        <v>CAPEX cumulated (net fixed assets)</v>
      </c>
      <c r="D69" s="2233">
        <f>D57</f>
        <v>0</v>
      </c>
      <c r="E69" s="2233">
        <f t="shared" ref="E69:J69" si="22">E57</f>
        <v>0</v>
      </c>
      <c r="F69" s="2233">
        <f t="shared" si="22"/>
        <v>0</v>
      </c>
      <c r="G69" s="2233">
        <f t="shared" si="22"/>
        <v>0</v>
      </c>
      <c r="H69" s="2233">
        <f t="shared" si="22"/>
        <v>0</v>
      </c>
      <c r="I69" s="2233">
        <f t="shared" si="22"/>
        <v>0</v>
      </c>
      <c r="J69" s="2233">
        <f t="shared" si="22"/>
        <v>0</v>
      </c>
      <c r="K69" s="2233"/>
      <c r="L69" s="2233"/>
      <c r="M69" s="2233"/>
      <c r="N69" s="2233"/>
    </row>
    <row r="70" spans="1:14">
      <c r="A70" s="2271" t="str">
        <f>Financier!B80</f>
        <v>BFR d'exploitation</v>
      </c>
      <c r="D70" s="2233" t="e">
        <f>D46</f>
        <v>#REF!</v>
      </c>
      <c r="E70" s="2233" t="e">
        <f t="shared" ref="E70:J70" si="23">E46</f>
        <v>#REF!</v>
      </c>
      <c r="F70" s="2233" t="e">
        <f t="shared" si="23"/>
        <v>#REF!</v>
      </c>
      <c r="G70" s="2233" t="e">
        <f t="shared" si="23"/>
        <v>#REF!</v>
      </c>
      <c r="H70" s="2233" t="e">
        <f t="shared" si="23"/>
        <v>#REF!</v>
      </c>
      <c r="I70" s="2233" t="e">
        <f t="shared" si="23"/>
        <v>#REF!</v>
      </c>
      <c r="J70" s="2233" t="e">
        <f t="shared" si="23"/>
        <v>#REF!</v>
      </c>
      <c r="K70" s="2233"/>
      <c r="L70" s="2233"/>
      <c r="M70" s="2233"/>
      <c r="N70" s="2233"/>
    </row>
    <row r="71" spans="1:14">
      <c r="A71" s="2270" t="s">
        <v>1240</v>
      </c>
      <c r="D71" s="2233" t="e">
        <f>+D69+D70</f>
        <v>#REF!</v>
      </c>
      <c r="E71" s="2233" t="e">
        <f t="shared" ref="E71:J71" si="24">+E69+E70</f>
        <v>#REF!</v>
      </c>
      <c r="F71" s="2233" t="e">
        <f t="shared" si="24"/>
        <v>#REF!</v>
      </c>
      <c r="G71" s="2233" t="e">
        <f t="shared" si="24"/>
        <v>#REF!</v>
      </c>
      <c r="H71" s="2233" t="e">
        <f t="shared" si="24"/>
        <v>#REF!</v>
      </c>
      <c r="I71" s="2233" t="e">
        <f t="shared" si="24"/>
        <v>#REF!</v>
      </c>
      <c r="J71" s="2233" t="e">
        <f t="shared" si="24"/>
        <v>#REF!</v>
      </c>
      <c r="K71" s="2233"/>
      <c r="L71" s="2233"/>
      <c r="M71" s="2233"/>
      <c r="N71" s="2233"/>
    </row>
    <row r="72" spans="1:14" ht="13.5" thickBot="1">
      <c r="A72" s="2270" t="s">
        <v>1241</v>
      </c>
      <c r="D72" s="2267" t="e">
        <f>IF(D71&lt;0,"cash machine",D68/D71)</f>
        <v>#REF!</v>
      </c>
      <c r="E72" s="2267" t="e">
        <f>IF(E71&lt;0,"cash machine",E68/E71)</f>
        <v>#REF!</v>
      </c>
      <c r="F72" s="2267" t="e">
        <f t="shared" ref="F72:J72" si="25">IF(F71&lt;0,"cash machine",F68/F71)</f>
        <v>#REF!</v>
      </c>
      <c r="G72" s="2267" t="e">
        <f t="shared" si="25"/>
        <v>#REF!</v>
      </c>
      <c r="H72" s="2267" t="e">
        <f t="shared" si="25"/>
        <v>#REF!</v>
      </c>
      <c r="I72" s="2267" t="e">
        <f t="shared" si="25"/>
        <v>#REF!</v>
      </c>
      <c r="J72" s="2267" t="e">
        <f t="shared" si="25"/>
        <v>#REF!</v>
      </c>
      <c r="K72" s="2267"/>
      <c r="L72" s="2267"/>
      <c r="M72" s="2267"/>
      <c r="N72" s="2267"/>
    </row>
    <row r="73" spans="1:14" ht="13.5" thickTop="1">
      <c r="E73" s="2153"/>
    </row>
    <row r="74" spans="1:14">
      <c r="D74" s="2269"/>
      <c r="E74" s="2269"/>
      <c r="F74" s="2269"/>
      <c r="G74" s="2269"/>
      <c r="H74" s="2269"/>
      <c r="I74" s="2269"/>
      <c r="J74" s="2269"/>
      <c r="K74" s="2269"/>
    </row>
  </sheetData>
  <conditionalFormatting sqref="D72:N72">
    <cfRule type="cellIs" dxfId="11" priority="10" stopIfTrue="1" operator="equal">
      <formula>"Nightmare"</formula>
    </cfRule>
    <cfRule type="cellIs" dxfId="10" priority="11" stopIfTrue="1" operator="equal">
      <formula>"Dilemma"</formula>
    </cfRule>
    <cfRule type="cellIs" dxfId="9" priority="12" stopIfTrue="1" operator="equal">
      <formula>"Cash machine"</formula>
    </cfRule>
  </conditionalFormatting>
  <conditionalFormatting sqref="D55:M55">
    <cfRule type="cellIs" dxfId="8" priority="9" stopIfTrue="1" operator="lessThan">
      <formula>0</formula>
    </cfRule>
  </conditionalFormatting>
  <conditionalFormatting sqref="E61:M61">
    <cfRule type="expression" dxfId="7" priority="8" stopIfTrue="1">
      <formula>E59&lt;0</formula>
    </cfRule>
  </conditionalFormatting>
  <conditionalFormatting sqref="D61:F61">
    <cfRule type="expression" dxfId="6" priority="7" stopIfTrue="1">
      <formula>D59&lt;0</formula>
    </cfRule>
  </conditionalFormatting>
  <conditionalFormatting sqref="D72:N72">
    <cfRule type="expression" dxfId="5" priority="6" stopIfTrue="1">
      <formula>D70&lt;0</formula>
    </cfRule>
  </conditionalFormatting>
  <conditionalFormatting sqref="E72">
    <cfRule type="expression" dxfId="4" priority="5" stopIfTrue="1">
      <formula>E70&lt;0</formula>
    </cfRule>
  </conditionalFormatting>
  <conditionalFormatting sqref="E72">
    <cfRule type="expression" dxfId="3" priority="4" stopIfTrue="1">
      <formula>E70&lt;0</formula>
    </cfRule>
  </conditionalFormatting>
  <conditionalFormatting sqref="E72">
    <cfRule type="expression" dxfId="2" priority="3" stopIfTrue="1">
      <formula>E70&lt;0</formula>
    </cfRule>
  </conditionalFormatting>
  <conditionalFormatting sqref="E72">
    <cfRule type="expression" dxfId="1" priority="2" stopIfTrue="1">
      <formula>E70&lt;0</formula>
    </cfRule>
  </conditionalFormatting>
  <conditionalFormatting sqref="E72">
    <cfRule type="expression" dxfId="0" priority="1" stopIfTrue="1">
      <formula>E70&lt;0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sheetPr codeName="Feuil18">
    <tabColor rgb="FFFF0000"/>
    <pageSetUpPr fitToPage="1"/>
  </sheetPr>
  <dimension ref="A2:M95"/>
  <sheetViews>
    <sheetView workbookViewId="0">
      <selection activeCell="B104" sqref="B104"/>
    </sheetView>
  </sheetViews>
  <sheetFormatPr baseColWidth="10" defaultColWidth="11.42578125" defaultRowHeight="12.75" outlineLevelRow="2"/>
  <cols>
    <col min="1" max="1" width="11.28515625" style="156" bestFit="1" customWidth="1"/>
    <col min="2" max="2" width="20" style="132" bestFit="1" customWidth="1"/>
    <col min="3" max="12" width="11.7109375" style="52" customWidth="1"/>
    <col min="13" max="13" width="11.42578125" style="1620"/>
    <col min="14" max="256" width="11.42578125" style="52"/>
    <col min="257" max="257" width="11.28515625" style="52" bestFit="1" customWidth="1"/>
    <col min="258" max="258" width="20" style="52" bestFit="1" customWidth="1"/>
    <col min="259" max="267" width="11.7109375" style="52" customWidth="1"/>
    <col min="268" max="512" width="11.42578125" style="52"/>
    <col min="513" max="513" width="11.28515625" style="52" bestFit="1" customWidth="1"/>
    <col min="514" max="514" width="20" style="52" bestFit="1" customWidth="1"/>
    <col min="515" max="523" width="11.7109375" style="52" customWidth="1"/>
    <col min="524" max="768" width="11.42578125" style="52"/>
    <col min="769" max="769" width="11.28515625" style="52" bestFit="1" customWidth="1"/>
    <col min="770" max="770" width="20" style="52" bestFit="1" customWidth="1"/>
    <col min="771" max="779" width="11.7109375" style="52" customWidth="1"/>
    <col min="780" max="1024" width="11.42578125" style="52"/>
    <col min="1025" max="1025" width="11.28515625" style="52" bestFit="1" customWidth="1"/>
    <col min="1026" max="1026" width="20" style="52" bestFit="1" customWidth="1"/>
    <col min="1027" max="1035" width="11.7109375" style="52" customWidth="1"/>
    <col min="1036" max="1280" width="11.42578125" style="52"/>
    <col min="1281" max="1281" width="11.28515625" style="52" bestFit="1" customWidth="1"/>
    <col min="1282" max="1282" width="20" style="52" bestFit="1" customWidth="1"/>
    <col min="1283" max="1291" width="11.7109375" style="52" customWidth="1"/>
    <col min="1292" max="1536" width="11.42578125" style="52"/>
    <col min="1537" max="1537" width="11.28515625" style="52" bestFit="1" customWidth="1"/>
    <col min="1538" max="1538" width="20" style="52" bestFit="1" customWidth="1"/>
    <col min="1539" max="1547" width="11.7109375" style="52" customWidth="1"/>
    <col min="1548" max="1792" width="11.42578125" style="52"/>
    <col min="1793" max="1793" width="11.28515625" style="52" bestFit="1" customWidth="1"/>
    <col min="1794" max="1794" width="20" style="52" bestFit="1" customWidth="1"/>
    <col min="1795" max="1803" width="11.7109375" style="52" customWidth="1"/>
    <col min="1804" max="2048" width="11.42578125" style="52"/>
    <col min="2049" max="2049" width="11.28515625" style="52" bestFit="1" customWidth="1"/>
    <col min="2050" max="2050" width="20" style="52" bestFit="1" customWidth="1"/>
    <col min="2051" max="2059" width="11.7109375" style="52" customWidth="1"/>
    <col min="2060" max="2304" width="11.42578125" style="52"/>
    <col min="2305" max="2305" width="11.28515625" style="52" bestFit="1" customWidth="1"/>
    <col min="2306" max="2306" width="20" style="52" bestFit="1" customWidth="1"/>
    <col min="2307" max="2315" width="11.7109375" style="52" customWidth="1"/>
    <col min="2316" max="2560" width="11.42578125" style="52"/>
    <col min="2561" max="2561" width="11.28515625" style="52" bestFit="1" customWidth="1"/>
    <col min="2562" max="2562" width="20" style="52" bestFit="1" customWidth="1"/>
    <col min="2563" max="2571" width="11.7109375" style="52" customWidth="1"/>
    <col min="2572" max="2816" width="11.42578125" style="52"/>
    <col min="2817" max="2817" width="11.28515625" style="52" bestFit="1" customWidth="1"/>
    <col min="2818" max="2818" width="20" style="52" bestFit="1" customWidth="1"/>
    <col min="2819" max="2827" width="11.7109375" style="52" customWidth="1"/>
    <col min="2828" max="3072" width="11.42578125" style="52"/>
    <col min="3073" max="3073" width="11.28515625" style="52" bestFit="1" customWidth="1"/>
    <col min="3074" max="3074" width="20" style="52" bestFit="1" customWidth="1"/>
    <col min="3075" max="3083" width="11.7109375" style="52" customWidth="1"/>
    <col min="3084" max="3328" width="11.42578125" style="52"/>
    <col min="3329" max="3329" width="11.28515625" style="52" bestFit="1" customWidth="1"/>
    <col min="3330" max="3330" width="20" style="52" bestFit="1" customWidth="1"/>
    <col min="3331" max="3339" width="11.7109375" style="52" customWidth="1"/>
    <col min="3340" max="3584" width="11.42578125" style="52"/>
    <col min="3585" max="3585" width="11.28515625" style="52" bestFit="1" customWidth="1"/>
    <col min="3586" max="3586" width="20" style="52" bestFit="1" customWidth="1"/>
    <col min="3587" max="3595" width="11.7109375" style="52" customWidth="1"/>
    <col min="3596" max="3840" width="11.42578125" style="52"/>
    <col min="3841" max="3841" width="11.28515625" style="52" bestFit="1" customWidth="1"/>
    <col min="3842" max="3842" width="20" style="52" bestFit="1" customWidth="1"/>
    <col min="3843" max="3851" width="11.7109375" style="52" customWidth="1"/>
    <col min="3852" max="4096" width="11.42578125" style="52"/>
    <col min="4097" max="4097" width="11.28515625" style="52" bestFit="1" customWidth="1"/>
    <col min="4098" max="4098" width="20" style="52" bestFit="1" customWidth="1"/>
    <col min="4099" max="4107" width="11.7109375" style="52" customWidth="1"/>
    <col min="4108" max="4352" width="11.42578125" style="52"/>
    <col min="4353" max="4353" width="11.28515625" style="52" bestFit="1" customWidth="1"/>
    <col min="4354" max="4354" width="20" style="52" bestFit="1" customWidth="1"/>
    <col min="4355" max="4363" width="11.7109375" style="52" customWidth="1"/>
    <col min="4364" max="4608" width="11.42578125" style="52"/>
    <col min="4609" max="4609" width="11.28515625" style="52" bestFit="1" customWidth="1"/>
    <col min="4610" max="4610" width="20" style="52" bestFit="1" customWidth="1"/>
    <col min="4611" max="4619" width="11.7109375" style="52" customWidth="1"/>
    <col min="4620" max="4864" width="11.42578125" style="52"/>
    <col min="4865" max="4865" width="11.28515625" style="52" bestFit="1" customWidth="1"/>
    <col min="4866" max="4866" width="20" style="52" bestFit="1" customWidth="1"/>
    <col min="4867" max="4875" width="11.7109375" style="52" customWidth="1"/>
    <col min="4876" max="5120" width="11.42578125" style="52"/>
    <col min="5121" max="5121" width="11.28515625" style="52" bestFit="1" customWidth="1"/>
    <col min="5122" max="5122" width="20" style="52" bestFit="1" customWidth="1"/>
    <col min="5123" max="5131" width="11.7109375" style="52" customWidth="1"/>
    <col min="5132" max="5376" width="11.42578125" style="52"/>
    <col min="5377" max="5377" width="11.28515625" style="52" bestFit="1" customWidth="1"/>
    <col min="5378" max="5378" width="20" style="52" bestFit="1" customWidth="1"/>
    <col min="5379" max="5387" width="11.7109375" style="52" customWidth="1"/>
    <col min="5388" max="5632" width="11.42578125" style="52"/>
    <col min="5633" max="5633" width="11.28515625" style="52" bestFit="1" customWidth="1"/>
    <col min="5634" max="5634" width="20" style="52" bestFit="1" customWidth="1"/>
    <col min="5635" max="5643" width="11.7109375" style="52" customWidth="1"/>
    <col min="5644" max="5888" width="11.42578125" style="52"/>
    <col min="5889" max="5889" width="11.28515625" style="52" bestFit="1" customWidth="1"/>
    <col min="5890" max="5890" width="20" style="52" bestFit="1" customWidth="1"/>
    <col min="5891" max="5899" width="11.7109375" style="52" customWidth="1"/>
    <col min="5900" max="6144" width="11.42578125" style="52"/>
    <col min="6145" max="6145" width="11.28515625" style="52" bestFit="1" customWidth="1"/>
    <col min="6146" max="6146" width="20" style="52" bestFit="1" customWidth="1"/>
    <col min="6147" max="6155" width="11.7109375" style="52" customWidth="1"/>
    <col min="6156" max="6400" width="11.42578125" style="52"/>
    <col min="6401" max="6401" width="11.28515625" style="52" bestFit="1" customWidth="1"/>
    <col min="6402" max="6402" width="20" style="52" bestFit="1" customWidth="1"/>
    <col min="6403" max="6411" width="11.7109375" style="52" customWidth="1"/>
    <col min="6412" max="6656" width="11.42578125" style="52"/>
    <col min="6657" max="6657" width="11.28515625" style="52" bestFit="1" customWidth="1"/>
    <col min="6658" max="6658" width="20" style="52" bestFit="1" customWidth="1"/>
    <col min="6659" max="6667" width="11.7109375" style="52" customWidth="1"/>
    <col min="6668" max="6912" width="11.42578125" style="52"/>
    <col min="6913" max="6913" width="11.28515625" style="52" bestFit="1" customWidth="1"/>
    <col min="6914" max="6914" width="20" style="52" bestFit="1" customWidth="1"/>
    <col min="6915" max="6923" width="11.7109375" style="52" customWidth="1"/>
    <col min="6924" max="7168" width="11.42578125" style="52"/>
    <col min="7169" max="7169" width="11.28515625" style="52" bestFit="1" customWidth="1"/>
    <col min="7170" max="7170" width="20" style="52" bestFit="1" customWidth="1"/>
    <col min="7171" max="7179" width="11.7109375" style="52" customWidth="1"/>
    <col min="7180" max="7424" width="11.42578125" style="52"/>
    <col min="7425" max="7425" width="11.28515625" style="52" bestFit="1" customWidth="1"/>
    <col min="7426" max="7426" width="20" style="52" bestFit="1" customWidth="1"/>
    <col min="7427" max="7435" width="11.7109375" style="52" customWidth="1"/>
    <col min="7436" max="7680" width="11.42578125" style="52"/>
    <col min="7681" max="7681" width="11.28515625" style="52" bestFit="1" customWidth="1"/>
    <col min="7682" max="7682" width="20" style="52" bestFit="1" customWidth="1"/>
    <col min="7683" max="7691" width="11.7109375" style="52" customWidth="1"/>
    <col min="7692" max="7936" width="11.42578125" style="52"/>
    <col min="7937" max="7937" width="11.28515625" style="52" bestFit="1" customWidth="1"/>
    <col min="7938" max="7938" width="20" style="52" bestFit="1" customWidth="1"/>
    <col min="7939" max="7947" width="11.7109375" style="52" customWidth="1"/>
    <col min="7948" max="8192" width="11.42578125" style="52"/>
    <col min="8193" max="8193" width="11.28515625" style="52" bestFit="1" customWidth="1"/>
    <col min="8194" max="8194" width="20" style="52" bestFit="1" customWidth="1"/>
    <col min="8195" max="8203" width="11.7109375" style="52" customWidth="1"/>
    <col min="8204" max="8448" width="11.42578125" style="52"/>
    <col min="8449" max="8449" width="11.28515625" style="52" bestFit="1" customWidth="1"/>
    <col min="8450" max="8450" width="20" style="52" bestFit="1" customWidth="1"/>
    <col min="8451" max="8459" width="11.7109375" style="52" customWidth="1"/>
    <col min="8460" max="8704" width="11.42578125" style="52"/>
    <col min="8705" max="8705" width="11.28515625" style="52" bestFit="1" customWidth="1"/>
    <col min="8706" max="8706" width="20" style="52" bestFit="1" customWidth="1"/>
    <col min="8707" max="8715" width="11.7109375" style="52" customWidth="1"/>
    <col min="8716" max="8960" width="11.42578125" style="52"/>
    <col min="8961" max="8961" width="11.28515625" style="52" bestFit="1" customWidth="1"/>
    <col min="8962" max="8962" width="20" style="52" bestFit="1" customWidth="1"/>
    <col min="8963" max="8971" width="11.7109375" style="52" customWidth="1"/>
    <col min="8972" max="9216" width="11.42578125" style="52"/>
    <col min="9217" max="9217" width="11.28515625" style="52" bestFit="1" customWidth="1"/>
    <col min="9218" max="9218" width="20" style="52" bestFit="1" customWidth="1"/>
    <col min="9219" max="9227" width="11.7109375" style="52" customWidth="1"/>
    <col min="9228" max="9472" width="11.42578125" style="52"/>
    <col min="9473" max="9473" width="11.28515625" style="52" bestFit="1" customWidth="1"/>
    <col min="9474" max="9474" width="20" style="52" bestFit="1" customWidth="1"/>
    <col min="9475" max="9483" width="11.7109375" style="52" customWidth="1"/>
    <col min="9484" max="9728" width="11.42578125" style="52"/>
    <col min="9729" max="9729" width="11.28515625" style="52" bestFit="1" customWidth="1"/>
    <col min="9730" max="9730" width="20" style="52" bestFit="1" customWidth="1"/>
    <col min="9731" max="9739" width="11.7109375" style="52" customWidth="1"/>
    <col min="9740" max="9984" width="11.42578125" style="52"/>
    <col min="9985" max="9985" width="11.28515625" style="52" bestFit="1" customWidth="1"/>
    <col min="9986" max="9986" width="20" style="52" bestFit="1" customWidth="1"/>
    <col min="9987" max="9995" width="11.7109375" style="52" customWidth="1"/>
    <col min="9996" max="10240" width="11.42578125" style="52"/>
    <col min="10241" max="10241" width="11.28515625" style="52" bestFit="1" customWidth="1"/>
    <col min="10242" max="10242" width="20" style="52" bestFit="1" customWidth="1"/>
    <col min="10243" max="10251" width="11.7109375" style="52" customWidth="1"/>
    <col min="10252" max="10496" width="11.42578125" style="52"/>
    <col min="10497" max="10497" width="11.28515625" style="52" bestFit="1" customWidth="1"/>
    <col min="10498" max="10498" width="20" style="52" bestFit="1" customWidth="1"/>
    <col min="10499" max="10507" width="11.7109375" style="52" customWidth="1"/>
    <col min="10508" max="10752" width="11.42578125" style="52"/>
    <col min="10753" max="10753" width="11.28515625" style="52" bestFit="1" customWidth="1"/>
    <col min="10754" max="10754" width="20" style="52" bestFit="1" customWidth="1"/>
    <col min="10755" max="10763" width="11.7109375" style="52" customWidth="1"/>
    <col min="10764" max="11008" width="11.42578125" style="52"/>
    <col min="11009" max="11009" width="11.28515625" style="52" bestFit="1" customWidth="1"/>
    <col min="11010" max="11010" width="20" style="52" bestFit="1" customWidth="1"/>
    <col min="11011" max="11019" width="11.7109375" style="52" customWidth="1"/>
    <col min="11020" max="11264" width="11.42578125" style="52"/>
    <col min="11265" max="11265" width="11.28515625" style="52" bestFit="1" customWidth="1"/>
    <col min="11266" max="11266" width="20" style="52" bestFit="1" customWidth="1"/>
    <col min="11267" max="11275" width="11.7109375" style="52" customWidth="1"/>
    <col min="11276" max="11520" width="11.42578125" style="52"/>
    <col min="11521" max="11521" width="11.28515625" style="52" bestFit="1" customWidth="1"/>
    <col min="11522" max="11522" width="20" style="52" bestFit="1" customWidth="1"/>
    <col min="11523" max="11531" width="11.7109375" style="52" customWidth="1"/>
    <col min="11532" max="11776" width="11.42578125" style="52"/>
    <col min="11777" max="11777" width="11.28515625" style="52" bestFit="1" customWidth="1"/>
    <col min="11778" max="11778" width="20" style="52" bestFit="1" customWidth="1"/>
    <col min="11779" max="11787" width="11.7109375" style="52" customWidth="1"/>
    <col min="11788" max="12032" width="11.42578125" style="52"/>
    <col min="12033" max="12033" width="11.28515625" style="52" bestFit="1" customWidth="1"/>
    <col min="12034" max="12034" width="20" style="52" bestFit="1" customWidth="1"/>
    <col min="12035" max="12043" width="11.7109375" style="52" customWidth="1"/>
    <col min="12044" max="12288" width="11.42578125" style="52"/>
    <col min="12289" max="12289" width="11.28515625" style="52" bestFit="1" customWidth="1"/>
    <col min="12290" max="12290" width="20" style="52" bestFit="1" customWidth="1"/>
    <col min="12291" max="12299" width="11.7109375" style="52" customWidth="1"/>
    <col min="12300" max="12544" width="11.42578125" style="52"/>
    <col min="12545" max="12545" width="11.28515625" style="52" bestFit="1" customWidth="1"/>
    <col min="12546" max="12546" width="20" style="52" bestFit="1" customWidth="1"/>
    <col min="12547" max="12555" width="11.7109375" style="52" customWidth="1"/>
    <col min="12556" max="12800" width="11.42578125" style="52"/>
    <col min="12801" max="12801" width="11.28515625" style="52" bestFit="1" customWidth="1"/>
    <col min="12802" max="12802" width="20" style="52" bestFit="1" customWidth="1"/>
    <col min="12803" max="12811" width="11.7109375" style="52" customWidth="1"/>
    <col min="12812" max="13056" width="11.42578125" style="52"/>
    <col min="13057" max="13057" width="11.28515625" style="52" bestFit="1" customWidth="1"/>
    <col min="13058" max="13058" width="20" style="52" bestFit="1" customWidth="1"/>
    <col min="13059" max="13067" width="11.7109375" style="52" customWidth="1"/>
    <col min="13068" max="13312" width="11.42578125" style="52"/>
    <col min="13313" max="13313" width="11.28515625" style="52" bestFit="1" customWidth="1"/>
    <col min="13314" max="13314" width="20" style="52" bestFit="1" customWidth="1"/>
    <col min="13315" max="13323" width="11.7109375" style="52" customWidth="1"/>
    <col min="13324" max="13568" width="11.42578125" style="52"/>
    <col min="13569" max="13569" width="11.28515625" style="52" bestFit="1" customWidth="1"/>
    <col min="13570" max="13570" width="20" style="52" bestFit="1" customWidth="1"/>
    <col min="13571" max="13579" width="11.7109375" style="52" customWidth="1"/>
    <col min="13580" max="13824" width="11.42578125" style="52"/>
    <col min="13825" max="13825" width="11.28515625" style="52" bestFit="1" customWidth="1"/>
    <col min="13826" max="13826" width="20" style="52" bestFit="1" customWidth="1"/>
    <col min="13827" max="13835" width="11.7109375" style="52" customWidth="1"/>
    <col min="13836" max="14080" width="11.42578125" style="52"/>
    <col min="14081" max="14081" width="11.28515625" style="52" bestFit="1" customWidth="1"/>
    <col min="14082" max="14082" width="20" style="52" bestFit="1" customWidth="1"/>
    <col min="14083" max="14091" width="11.7109375" style="52" customWidth="1"/>
    <col min="14092" max="14336" width="11.42578125" style="52"/>
    <col min="14337" max="14337" width="11.28515625" style="52" bestFit="1" customWidth="1"/>
    <col min="14338" max="14338" width="20" style="52" bestFit="1" customWidth="1"/>
    <col min="14339" max="14347" width="11.7109375" style="52" customWidth="1"/>
    <col min="14348" max="14592" width="11.42578125" style="52"/>
    <col min="14593" max="14593" width="11.28515625" style="52" bestFit="1" customWidth="1"/>
    <col min="14594" max="14594" width="20" style="52" bestFit="1" customWidth="1"/>
    <col min="14595" max="14603" width="11.7109375" style="52" customWidth="1"/>
    <col min="14604" max="14848" width="11.42578125" style="52"/>
    <col min="14849" max="14849" width="11.28515625" style="52" bestFit="1" customWidth="1"/>
    <col min="14850" max="14850" width="20" style="52" bestFit="1" customWidth="1"/>
    <col min="14851" max="14859" width="11.7109375" style="52" customWidth="1"/>
    <col min="14860" max="15104" width="11.42578125" style="52"/>
    <col min="15105" max="15105" width="11.28515625" style="52" bestFit="1" customWidth="1"/>
    <col min="15106" max="15106" width="20" style="52" bestFit="1" customWidth="1"/>
    <col min="15107" max="15115" width="11.7109375" style="52" customWidth="1"/>
    <col min="15116" max="15360" width="11.42578125" style="52"/>
    <col min="15361" max="15361" width="11.28515625" style="52" bestFit="1" customWidth="1"/>
    <col min="15362" max="15362" width="20" style="52" bestFit="1" customWidth="1"/>
    <col min="15363" max="15371" width="11.7109375" style="52" customWidth="1"/>
    <col min="15372" max="15616" width="11.42578125" style="52"/>
    <col min="15617" max="15617" width="11.28515625" style="52" bestFit="1" customWidth="1"/>
    <col min="15618" max="15618" width="20" style="52" bestFit="1" customWidth="1"/>
    <col min="15619" max="15627" width="11.7109375" style="52" customWidth="1"/>
    <col min="15628" max="15872" width="11.42578125" style="52"/>
    <col min="15873" max="15873" width="11.28515625" style="52" bestFit="1" customWidth="1"/>
    <col min="15874" max="15874" width="20" style="52" bestFit="1" customWidth="1"/>
    <col min="15875" max="15883" width="11.7109375" style="52" customWidth="1"/>
    <col min="15884" max="16128" width="11.42578125" style="52"/>
    <col min="16129" max="16129" width="11.28515625" style="52" bestFit="1" customWidth="1"/>
    <col min="16130" max="16130" width="20" style="52" bestFit="1" customWidth="1"/>
    <col min="16131" max="16139" width="11.7109375" style="52" customWidth="1"/>
    <col min="16140" max="16384" width="11.42578125" style="52"/>
  </cols>
  <sheetData>
    <row r="2" spans="1:13" ht="20.25">
      <c r="A2" s="133" t="s">
        <v>165</v>
      </c>
    </row>
    <row r="5" spans="1:13" s="68" customFormat="1" ht="31.5">
      <c r="A5" s="157"/>
      <c r="B5" s="158"/>
      <c r="C5" s="139" t="s">
        <v>159</v>
      </c>
      <c r="D5" s="139" t="s">
        <v>160</v>
      </c>
      <c r="E5" s="139" t="s">
        <v>173</v>
      </c>
      <c r="F5" s="139" t="s">
        <v>185</v>
      </c>
      <c r="G5" s="139" t="s">
        <v>201</v>
      </c>
      <c r="H5" s="1621" t="s">
        <v>492</v>
      </c>
      <c r="I5" s="1621" t="s">
        <v>493</v>
      </c>
      <c r="J5" s="1621" t="s">
        <v>925</v>
      </c>
      <c r="K5" s="165" t="s">
        <v>926</v>
      </c>
      <c r="L5" s="1622"/>
      <c r="M5" s="1622"/>
    </row>
    <row r="6" spans="1:13" ht="15.75" customHeight="1">
      <c r="A6" s="159"/>
      <c r="B6" s="134" t="s">
        <v>143</v>
      </c>
      <c r="C6" s="135">
        <f>+[57]SYNTHESE!C6</f>
        <v>-2.1095600792835185E-2</v>
      </c>
      <c r="D6" s="135">
        <f>+[57]SYNTHESE!D6</f>
        <v>-2.1504050774671359E-2</v>
      </c>
      <c r="E6" s="135">
        <f>+[57]SYNTHESE!E6</f>
        <v>-2.02004438236143E-2</v>
      </c>
      <c r="F6" s="135">
        <f>+[57]SYNTHESE!F6</f>
        <v>-2.0129349525880396E-2</v>
      </c>
      <c r="G6" s="135">
        <f>+[57]SYNTHESE!G6</f>
        <v>-2.486012651576458E-2</v>
      </c>
      <c r="H6" s="135">
        <f>+[57]SYNTHESE!H6</f>
        <v>-2.7675310374716672E-2</v>
      </c>
      <c r="I6" s="135">
        <f>+[57]SYNTHESE!I6</f>
        <v>-2.2731475527068036E-2</v>
      </c>
      <c r="J6" s="135">
        <f>+[57]SYNTHESE!J6</f>
        <v>-2.6273696593572787E-2</v>
      </c>
      <c r="K6" s="135">
        <f>+[57]SYNTHESE!K6</f>
        <v>-2.5404107191237438E-2</v>
      </c>
      <c r="L6" s="1620"/>
    </row>
    <row r="7" spans="1:13" ht="15.75" customHeight="1">
      <c r="A7" s="160" t="s">
        <v>923</v>
      </c>
      <c r="B7" s="136" t="s">
        <v>12</v>
      </c>
      <c r="C7" s="137">
        <f>+[57]SYNTHESE!C7</f>
        <v>-2.3869415417106053E-2</v>
      </c>
      <c r="D7" s="137">
        <f>+[57]SYNTHESE!D7</f>
        <v>-2.1361748724065321E-2</v>
      </c>
      <c r="E7" s="137">
        <f>+[57]SYNTHESE!E7</f>
        <v>-2.0110019221322165E-2</v>
      </c>
      <c r="F7" s="137">
        <f>+[57]SYNTHESE!F7</f>
        <v>-2.2491402492087389E-2</v>
      </c>
      <c r="G7" s="137">
        <f>+[57]SYNTHESE!G7</f>
        <v>-2.4809949241526838E-2</v>
      </c>
      <c r="H7" s="137">
        <f>+[57]SYNTHESE!H7</f>
        <v>-2.4171294586254066E-2</v>
      </c>
      <c r="I7" s="137">
        <f>+[57]SYNTHESE!I7</f>
        <v>-2.2714830440376241E-2</v>
      </c>
      <c r="J7" s="137">
        <f>+[57]SYNTHESE!J7</f>
        <v>-2.3155309318250855E-2</v>
      </c>
      <c r="K7" s="137">
        <f>+[57]SYNTHESE!K7</f>
        <v>-2.1945839916291895E-2</v>
      </c>
      <c r="L7" s="1620" t="str">
        <f>L9&amp;"HQ"</f>
        <v>FVLHQ</v>
      </c>
      <c r="M7" s="1623">
        <f>K7+K6</f>
        <v>-4.7349947107529336E-2</v>
      </c>
    </row>
    <row r="8" spans="1:13" ht="15.75" customHeight="1">
      <c r="A8" s="160"/>
      <c r="B8" s="136" t="s">
        <v>144</v>
      </c>
      <c r="C8" s="137">
        <f>+[57]SYNTHESE!C8</f>
        <v>-2.5703059203369592E-2</v>
      </c>
      <c r="D8" s="137">
        <f>+[57]SYNTHESE!D8</f>
        <v>-2.5525416694615423E-2</v>
      </c>
      <c r="E8" s="137">
        <f>+[57]SYNTHESE!E8</f>
        <v>-2.3423911168285693E-2</v>
      </c>
      <c r="F8" s="137">
        <f>+[57]SYNTHESE!F8</f>
        <v>-2.6666873101241186E-2</v>
      </c>
      <c r="G8" s="137">
        <f>+[57]SYNTHESE!G8</f>
        <v>-2.7116505620658874E-2</v>
      </c>
      <c r="H8" s="137">
        <f>+[57]SYNTHESE!H8</f>
        <v>-2.6193244878258266E-2</v>
      </c>
      <c r="I8" s="137">
        <f>+[57]SYNTHESE!I8</f>
        <v>-2.6145612134371689E-2</v>
      </c>
      <c r="J8" s="137">
        <f>+[57]SYNTHESE!J8</f>
        <v>-2.629706239710063E-2</v>
      </c>
      <c r="K8" s="137">
        <f>+[57]SYNTHESE!K8</f>
        <v>-2.7021520813013501E-2</v>
      </c>
      <c r="L8" s="1620" t="str">
        <f>L9&amp;"opé"</f>
        <v>FVLopé</v>
      </c>
      <c r="M8" s="1623">
        <f>K8</f>
        <v>-2.7021520813013501E-2</v>
      </c>
    </row>
    <row r="9" spans="1:13" ht="16.5">
      <c r="A9" s="161"/>
      <c r="B9" s="141" t="s">
        <v>145</v>
      </c>
      <c r="C9" s="142">
        <f>+[57]SYNTHESE!C9</f>
        <v>-7.0668075413310841E-2</v>
      </c>
      <c r="D9" s="142">
        <f>+[57]SYNTHESE!D9</f>
        <v>-6.8391216193352103E-2</v>
      </c>
      <c r="E9" s="142">
        <f>+[57]SYNTHESE!E9</f>
        <v>-6.3734374213222159E-2</v>
      </c>
      <c r="F9" s="142">
        <f>+[57]SYNTHESE!F9</f>
        <v>-6.9287625119208968E-2</v>
      </c>
      <c r="G9" s="142">
        <f>+[57]SYNTHESE!G9</f>
        <v>-7.6786581377950289E-2</v>
      </c>
      <c r="H9" s="142">
        <f>+[57]SYNTHESE!H9</f>
        <v>-7.8039849839229E-2</v>
      </c>
      <c r="I9" s="142">
        <f>+[57]SYNTHESE!I9</f>
        <v>-7.1591918101815963E-2</v>
      </c>
      <c r="J9" s="142">
        <f>+[57]SYNTHESE!J9</f>
        <v>-7.5726068308924269E-2</v>
      </c>
      <c r="K9" s="142">
        <f>+[57]SYNTHESE!K9</f>
        <v>-7.4371467920542833E-2</v>
      </c>
      <c r="L9" s="1623" t="str">
        <f>+A7</f>
        <v>FVL</v>
      </c>
      <c r="M9" s="1623">
        <f>K9</f>
        <v>-7.4371467920542833E-2</v>
      </c>
    </row>
    <row r="10" spans="1:13" ht="15.75" hidden="1" outlineLevel="1">
      <c r="A10" s="162" t="s">
        <v>161</v>
      </c>
      <c r="B10" s="134" t="s">
        <v>143</v>
      </c>
      <c r="C10" s="135" t="str">
        <f>+[57]SYNTHESE!C10</f>
        <v>-</v>
      </c>
      <c r="D10" s="135" t="str">
        <f>+[57]SYNTHESE!D10</f>
        <v>-</v>
      </c>
      <c r="E10" s="135" t="str">
        <f>+[57]SYNTHESE!E10</f>
        <v>-</v>
      </c>
      <c r="F10" s="135">
        <f>+[57]SYNTHESE!F10</f>
        <v>-2.6630543527619812E-2</v>
      </c>
      <c r="G10" s="135">
        <f>+[57]SYNTHESE!G10</f>
        <v>-2.3503827721348427E-2</v>
      </c>
      <c r="H10" s="135">
        <f>+[57]SYNTHESE!H10</f>
        <v>-3.7054411762167817E-2</v>
      </c>
      <c r="I10" s="135">
        <f>+[57]SYNTHESE!I10</f>
        <v>-2.4106880204300327E-2</v>
      </c>
      <c r="J10" s="135">
        <f>+[57]SYNTHESE!J10</f>
        <v>-2.7507835423487188E-2</v>
      </c>
      <c r="K10" s="135">
        <f>+[57]SYNTHESE!K10</f>
        <v>-2.7016880115488369E-2</v>
      </c>
      <c r="L10" s="1620"/>
    </row>
    <row r="11" spans="1:13" ht="15.75" hidden="1" outlineLevel="1">
      <c r="A11" s="163"/>
      <c r="B11" s="136" t="s">
        <v>12</v>
      </c>
      <c r="C11" s="137" t="str">
        <f>+[57]SYNTHESE!C11</f>
        <v>-</v>
      </c>
      <c r="D11" s="137" t="str">
        <f>+[57]SYNTHESE!D11</f>
        <v>-</v>
      </c>
      <c r="E11" s="137" t="str">
        <f>+[57]SYNTHESE!E11</f>
        <v>-</v>
      </c>
      <c r="F11" s="137">
        <f>+[57]SYNTHESE!F11</f>
        <v>-2.7493792565299911E-2</v>
      </c>
      <c r="G11" s="137">
        <f>+[57]SYNTHESE!G11</f>
        <v>-2.5285354288007288E-2</v>
      </c>
      <c r="H11" s="137">
        <f>+[57]SYNTHESE!H11</f>
        <v>-3.254017519650778E-2</v>
      </c>
      <c r="I11" s="137">
        <f>+[57]SYNTHESE!I11</f>
        <v>-2.9411313424987651E-2</v>
      </c>
      <c r="J11" s="137">
        <f>+[57]SYNTHESE!J11</f>
        <v>-2.6627930368919448E-2</v>
      </c>
      <c r="K11" s="137">
        <f>+[57]SYNTHESE!K11</f>
        <v>-2.8144275924846997E-2</v>
      </c>
      <c r="L11" s="1620" t="str">
        <f>L13&amp;"HQ"</f>
        <v>CTPHQ</v>
      </c>
      <c r="M11" s="1623">
        <f>K11+K10</f>
        <v>-5.5161156040335363E-2</v>
      </c>
    </row>
    <row r="12" spans="1:13" ht="15.75" hidden="1" outlineLevel="1">
      <c r="A12" s="163"/>
      <c r="B12" s="136" t="s">
        <v>144</v>
      </c>
      <c r="C12" s="137" t="str">
        <f>+[57]SYNTHESE!C12</f>
        <v>-</v>
      </c>
      <c r="D12" s="137" t="str">
        <f>+[57]SYNTHESE!D12</f>
        <v>-</v>
      </c>
      <c r="E12" s="137" t="str">
        <f>+[57]SYNTHESE!E12</f>
        <v>-</v>
      </c>
      <c r="F12" s="137">
        <f>+[57]SYNTHESE!F12</f>
        <v>-3.8693166043567345E-2</v>
      </c>
      <c r="G12" s="137">
        <f>+[57]SYNTHESE!G12</f>
        <v>-3.1154940152379157E-2</v>
      </c>
      <c r="H12" s="137">
        <f>+[57]SYNTHESE!H12</f>
        <v>-4.003729578899104E-2</v>
      </c>
      <c r="I12" s="137">
        <f>+[57]SYNTHESE!I12</f>
        <v>-3.8514237021975907E-2</v>
      </c>
      <c r="J12" s="137">
        <f>+[57]SYNTHESE!J12</f>
        <v>-3.5045788098778105E-2</v>
      </c>
      <c r="K12" s="137">
        <f>+[57]SYNTHESE!K12</f>
        <v>-3.768108691876168E-2</v>
      </c>
      <c r="L12" s="1620" t="str">
        <f>L13&amp;"opé"</f>
        <v>CTPopé</v>
      </c>
      <c r="M12" s="1623">
        <f>K12</f>
        <v>-3.768108691876168E-2</v>
      </c>
    </row>
    <row r="13" spans="1:13" ht="16.5" hidden="1" outlineLevel="1">
      <c r="A13" s="163"/>
      <c r="B13" s="138" t="s">
        <v>145</v>
      </c>
      <c r="C13" s="142" t="str">
        <f>+[57]SYNTHESE!C13</f>
        <v>-</v>
      </c>
      <c r="D13" s="142" t="str">
        <f>+[57]SYNTHESE!D13</f>
        <v>-</v>
      </c>
      <c r="E13" s="142" t="str">
        <f>+[57]SYNTHESE!E13</f>
        <v>-</v>
      </c>
      <c r="F13" s="142">
        <f>+[57]SYNTHESE!F13</f>
        <v>-9.2817502136487068E-2</v>
      </c>
      <c r="G13" s="142">
        <f>+[57]SYNTHESE!G13</f>
        <v>-7.9944122161734868E-2</v>
      </c>
      <c r="H13" s="142">
        <f>+[57]SYNTHESE!H13</f>
        <v>-0.10963188274766662</v>
      </c>
      <c r="I13" s="142">
        <f>+[57]SYNTHESE!I13</f>
        <v>-9.2032430651263888E-2</v>
      </c>
      <c r="J13" s="142">
        <f>+[57]SYNTHESE!J13</f>
        <v>-8.9181553891184734E-2</v>
      </c>
      <c r="K13" s="142">
        <f>+[57]SYNTHESE!K13</f>
        <v>-9.2842242959097043E-2</v>
      </c>
      <c r="L13" s="1623" t="str">
        <f>+A10</f>
        <v>CTP</v>
      </c>
      <c r="M13" s="1623">
        <f>K13</f>
        <v>-9.2842242959097043E-2</v>
      </c>
    </row>
    <row r="14" spans="1:13" ht="15.75" hidden="1" outlineLevel="1">
      <c r="A14" s="162" t="s">
        <v>162</v>
      </c>
      <c r="B14" s="134" t="s">
        <v>143</v>
      </c>
      <c r="C14" s="135" t="str">
        <f>+[57]SYNTHESE!C14</f>
        <v>-</v>
      </c>
      <c r="D14" s="135" t="str">
        <f>+[57]SYNTHESE!D14</f>
        <v>-</v>
      </c>
      <c r="E14" s="135" t="str">
        <f>+[57]SYNTHESE!E14</f>
        <v>-</v>
      </c>
      <c r="F14" s="135">
        <f>+[57]SYNTHESE!F14</f>
        <v>-1.8819747012012198E-2</v>
      </c>
      <c r="G14" s="135">
        <f>+[57]SYNTHESE!G14</f>
        <v>-2.5250805131570183E-2</v>
      </c>
      <c r="H14" s="135">
        <f>+[57]SYNTHESE!H14</f>
        <v>-2.6072294077767001E-2</v>
      </c>
      <c r="I14" s="135">
        <f>+[57]SYNTHESE!I14</f>
        <v>-2.2523402528454639E-2</v>
      </c>
      <c r="J14" s="135">
        <f>+[57]SYNTHESE!J14</f>
        <v>-2.5999530841479514E-2</v>
      </c>
      <c r="K14" s="135">
        <f>+[57]SYNTHESE!K14</f>
        <v>-2.5084360640628914E-2</v>
      </c>
      <c r="L14" s="1620"/>
    </row>
    <row r="15" spans="1:13" ht="15.75" hidden="1" outlineLevel="1">
      <c r="A15" s="163"/>
      <c r="B15" s="136" t="s">
        <v>12</v>
      </c>
      <c r="C15" s="137" t="str">
        <f>+[57]SYNTHESE!C15</f>
        <v>-</v>
      </c>
      <c r="D15" s="137" t="str">
        <f>+[57]SYNTHESE!D15</f>
        <v>-</v>
      </c>
      <c r="E15" s="137" t="str">
        <f>+[57]SYNTHESE!E15</f>
        <v>-</v>
      </c>
      <c r="F15" s="137">
        <f>+[57]SYNTHESE!F15</f>
        <v>-2.1484000504917541E-2</v>
      </c>
      <c r="G15" s="137">
        <f>+[57]SYNTHESE!G15</f>
        <v>-2.4794390743325966E-2</v>
      </c>
      <c r="H15" s="137">
        <f>+[57]SYNTHESE!H15</f>
        <v>-2.273751127494681E-2</v>
      </c>
      <c r="I15" s="137">
        <f>+[57]SYNTHESE!I15</f>
        <v>-2.1579134718500398E-2</v>
      </c>
      <c r="J15" s="137">
        <f>+[57]SYNTHESE!J15</f>
        <v>-2.2477922131511362E-2</v>
      </c>
      <c r="K15" s="137">
        <f>+[57]SYNTHESE!K15</f>
        <v>-2.0824092089078761E-2</v>
      </c>
      <c r="L15" s="1620" t="str">
        <f>L17&amp;"HQ"</f>
        <v>DIVHQ</v>
      </c>
      <c r="M15" s="1623">
        <f>K15+K14</f>
        <v>-4.5908452729707672E-2</v>
      </c>
    </row>
    <row r="16" spans="1:13" ht="15.75" hidden="1" outlineLevel="1">
      <c r="A16" s="163"/>
      <c r="B16" s="136" t="s">
        <v>144</v>
      </c>
      <c r="C16" s="137" t="str">
        <f>+[57]SYNTHESE!C16</f>
        <v>-</v>
      </c>
      <c r="D16" s="137" t="str">
        <f>+[57]SYNTHESE!D16</f>
        <v>-</v>
      </c>
      <c r="E16" s="137" t="str">
        <f>+[57]SYNTHESE!E16</f>
        <v>-</v>
      </c>
      <c r="F16" s="137">
        <f>+[57]SYNTHESE!F16</f>
        <v>-2.370828113757607E-2</v>
      </c>
      <c r="G16" s="137">
        <f>+[57]SYNTHESE!G16</f>
        <v>-2.5388450996414097E-2</v>
      </c>
      <c r="H16" s="137">
        <f>+[57]SYNTHESE!H16</f>
        <v>-2.2816766443940605E-2</v>
      </c>
      <c r="I16" s="137">
        <f>+[57]SYNTHESE!I16</f>
        <v>-2.3165907566605998E-2</v>
      </c>
      <c r="J16" s="137">
        <f>+[57]SYNTHESE!J16</f>
        <v>-2.3636504708250419E-2</v>
      </c>
      <c r="K16" s="137">
        <f>+[57]SYNTHESE!K16</f>
        <v>-2.4269371046756465E-2</v>
      </c>
      <c r="L16" s="1620" t="str">
        <f>L17&amp;"opé"</f>
        <v>DIVopé</v>
      </c>
      <c r="M16" s="1623">
        <f>K16</f>
        <v>-2.4269371046756465E-2</v>
      </c>
    </row>
    <row r="17" spans="1:13" ht="16.5" hidden="1" outlineLevel="1">
      <c r="A17" s="163"/>
      <c r="B17" s="138" t="s">
        <v>145</v>
      </c>
      <c r="C17" s="142" t="str">
        <f>+[57]SYNTHESE!C17</f>
        <v>-</v>
      </c>
      <c r="D17" s="142" t="str">
        <f>+[57]SYNTHESE!D17</f>
        <v>-</v>
      </c>
      <c r="E17" s="142" t="str">
        <f>+[57]SYNTHESE!E17</f>
        <v>-</v>
      </c>
      <c r="F17" s="142">
        <f>+[57]SYNTHESE!F17</f>
        <v>-6.4012028654505809E-2</v>
      </c>
      <c r="G17" s="142">
        <f>+[57]SYNTHESE!G17</f>
        <v>-7.5433646871310239E-2</v>
      </c>
      <c r="H17" s="142">
        <f>+[57]SYNTHESE!H17</f>
        <v>-7.1626571796654409E-2</v>
      </c>
      <c r="I17" s="142">
        <f>+[57]SYNTHESE!I17</f>
        <v>-6.7268444813561035E-2</v>
      </c>
      <c r="J17" s="142">
        <f>+[57]SYNTHESE!J17</f>
        <v>-7.2113957681241306E-2</v>
      </c>
      <c r="K17" s="142">
        <f>+[57]SYNTHESE!K17</f>
        <v>-7.0177823776464143E-2</v>
      </c>
      <c r="L17" s="1623" t="str">
        <f>+A14</f>
        <v>DIV</v>
      </c>
      <c r="M17" s="1623">
        <f>K17</f>
        <v>-7.0177823776464143E-2</v>
      </c>
    </row>
    <row r="18" spans="1:13" ht="15.75" hidden="1" outlineLevel="1">
      <c r="A18" s="162" t="s">
        <v>163</v>
      </c>
      <c r="B18" s="134" t="s">
        <v>143</v>
      </c>
      <c r="C18" s="135" t="str">
        <f>+[57]SYNTHESE!C18</f>
        <v>-</v>
      </c>
      <c r="D18" s="135" t="str">
        <f>+[57]SYNTHESE!D18</f>
        <v>-</v>
      </c>
      <c r="E18" s="135" t="str">
        <f>+[57]SYNTHESE!E18</f>
        <v>-</v>
      </c>
      <c r="F18" s="135">
        <f>+[57]SYNTHESE!F18</f>
        <v>-1.6138430395515418E-2</v>
      </c>
      <c r="G18" s="135">
        <f>+[57]SYNTHESE!G18</f>
        <v>-1.7486983021332173E-2</v>
      </c>
      <c r="H18" s="135">
        <f>+[57]SYNTHESE!H18</f>
        <v>-1.584358401970595E-2</v>
      </c>
      <c r="I18" s="135">
        <f>+[57]SYNTHESE!I18</f>
        <v>-1.8916931725719358E-2</v>
      </c>
      <c r="J18" s="135">
        <f>+[57]SYNTHESE!J18</f>
        <v>-2.8994040371675744E-2</v>
      </c>
      <c r="K18" s="135">
        <v>-2.5404107191237438E-2</v>
      </c>
      <c r="L18" s="1620"/>
    </row>
    <row r="19" spans="1:13" ht="15.75" hidden="1" outlineLevel="1">
      <c r="A19" s="163"/>
      <c r="B19" s="136" t="s">
        <v>12</v>
      </c>
      <c r="C19" s="137" t="str">
        <f>+[57]SYNTHESE!C19</f>
        <v>-</v>
      </c>
      <c r="D19" s="137" t="str">
        <f>+[57]SYNTHESE!D19</f>
        <v>-</v>
      </c>
      <c r="E19" s="137" t="str">
        <f>+[57]SYNTHESE!E19</f>
        <v>-</v>
      </c>
      <c r="F19" s="137">
        <f>+[57]SYNTHESE!F19</f>
        <v>-1.9394752413578326E-2</v>
      </c>
      <c r="G19" s="137">
        <f>+[57]SYNTHESE!G19</f>
        <v>-1.7487505441880713E-2</v>
      </c>
      <c r="H19" s="137">
        <f>+[57]SYNTHESE!H19</f>
        <v>-1.3904241397890846E-2</v>
      </c>
      <c r="I19" s="137">
        <f>+[57]SYNTHESE!I19</f>
        <v>-1.538922997263111E-2</v>
      </c>
      <c r="J19" s="137">
        <f>+[57]SYNTHESE!J19</f>
        <v>-1.8883477517889564E-2</v>
      </c>
      <c r="K19" s="137">
        <v>-2.1945839916291895E-2</v>
      </c>
      <c r="L19" s="1620" t="str">
        <f>L21&amp;"HQ"</f>
        <v>GMOHQ</v>
      </c>
      <c r="M19" s="1623">
        <f>K19+K18</f>
        <v>-4.7349947107529336E-2</v>
      </c>
    </row>
    <row r="20" spans="1:13" ht="15.75" hidden="1" outlineLevel="1">
      <c r="A20" s="163"/>
      <c r="B20" s="136" t="s">
        <v>144</v>
      </c>
      <c r="C20" s="137" t="str">
        <f>+[57]SYNTHESE!C20</f>
        <v>-</v>
      </c>
      <c r="D20" s="137" t="str">
        <f>+[57]SYNTHESE!D20</f>
        <v>-</v>
      </c>
      <c r="E20" s="137" t="str">
        <f>+[57]SYNTHESE!E20</f>
        <v>-</v>
      </c>
      <c r="F20" s="137">
        <f>+[57]SYNTHESE!F20</f>
        <v>-6.8514481469947056E-2</v>
      </c>
      <c r="G20" s="137">
        <f>+[57]SYNTHESE!G20</f>
        <v>-9.5167609925990423E-2</v>
      </c>
      <c r="H20" s="137">
        <f>+[57]SYNTHESE!H20</f>
        <v>-9.4296051112308515E-2</v>
      </c>
      <c r="I20" s="137">
        <f>+[57]SYNTHESE!I20</f>
        <v>-9.3498039795842883E-2</v>
      </c>
      <c r="J20" s="137">
        <f>+[57]SYNTHESE!J20</f>
        <v>-0.13649471323293816</v>
      </c>
      <c r="K20" s="137">
        <v>-2.7021520813013501E-2</v>
      </c>
      <c r="L20" s="1620" t="str">
        <f>L21&amp;"opé"</f>
        <v>GMOopé</v>
      </c>
      <c r="M20" s="1623">
        <f>K20</f>
        <v>-2.7021520813013501E-2</v>
      </c>
    </row>
    <row r="21" spans="1:13" ht="16.5" hidden="1" outlineLevel="1">
      <c r="A21" s="163"/>
      <c r="B21" s="138" t="s">
        <v>145</v>
      </c>
      <c r="C21" s="142" t="str">
        <f>+[57]SYNTHESE!C21</f>
        <v>-</v>
      </c>
      <c r="D21" s="142" t="str">
        <f>+[57]SYNTHESE!D21</f>
        <v>-</v>
      </c>
      <c r="E21" s="142" t="str">
        <f>+[57]SYNTHESE!E21</f>
        <v>-</v>
      </c>
      <c r="F21" s="142">
        <f>+[57]SYNTHESE!F21</f>
        <v>-0.10404766427904079</v>
      </c>
      <c r="G21" s="142">
        <f>+[57]SYNTHESE!G21</f>
        <v>-0.13014209838920332</v>
      </c>
      <c r="H21" s="142">
        <f>+[57]SYNTHESE!H21</f>
        <v>-0.12404387652990531</v>
      </c>
      <c r="I21" s="142">
        <f>+[57]SYNTHESE!I21</f>
        <v>-0.12780420149419336</v>
      </c>
      <c r="J21" s="142">
        <f>+[57]SYNTHESE!J21</f>
        <v>-0.18437223112250348</v>
      </c>
      <c r="K21" s="142">
        <v>-7.4371467920542833E-2</v>
      </c>
      <c r="L21" s="1623" t="str">
        <f>+A18</f>
        <v>GMO</v>
      </c>
      <c r="M21" s="1623">
        <f>K21</f>
        <v>-7.4371467920542833E-2</v>
      </c>
    </row>
    <row r="22" spans="1:13" ht="15.75" hidden="1" outlineLevel="2">
      <c r="A22" s="162" t="s">
        <v>139</v>
      </c>
      <c r="B22" s="134" t="s">
        <v>143</v>
      </c>
      <c r="C22" s="135">
        <f>+[57]SYNTHESE!C22</f>
        <v>-1.8162249913121181E-2</v>
      </c>
      <c r="D22" s="135">
        <f>+[57]SYNTHESE!D22</f>
        <v>-1.8213060561201207E-2</v>
      </c>
      <c r="E22" s="135">
        <f>+[57]SYNTHESE!E22</f>
        <v>-1.7404307080451015E-2</v>
      </c>
      <c r="F22" s="135" t="str">
        <f>+[57]SYNTHESE!F22</f>
        <v>-</v>
      </c>
      <c r="G22" s="135" t="str">
        <f>+[57]SYNTHESE!G22</f>
        <v>-</v>
      </c>
      <c r="H22" s="135" t="str">
        <f>+[57]SYNTHESE!H22</f>
        <v>-</v>
      </c>
      <c r="I22" s="135" t="str">
        <f>+[57]SYNTHESE!I22</f>
        <v>-</v>
      </c>
      <c r="J22" s="135" t="str">
        <f>+[57]SYNTHESE!J22</f>
        <v>-</v>
      </c>
      <c r="K22" s="135" t="str">
        <f>+[57]SYNTHESE!K22</f>
        <v>-</v>
      </c>
      <c r="L22" s="1620"/>
    </row>
    <row r="23" spans="1:13" ht="15.75" hidden="1" outlineLevel="2">
      <c r="A23" s="163"/>
      <c r="B23" s="136" t="s">
        <v>12</v>
      </c>
      <c r="C23" s="137">
        <f>+[57]SYNTHESE!C23</f>
        <v>-3.1327099571397843E-2</v>
      </c>
      <c r="D23" s="137">
        <f>+[57]SYNTHESE!D23</f>
        <v>-3.0103758779203717E-2</v>
      </c>
      <c r="E23" s="137">
        <f>+[57]SYNTHESE!E23</f>
        <v>-3.0265226037105204E-2</v>
      </c>
      <c r="F23" s="137" t="str">
        <f>+[57]SYNTHESE!F23</f>
        <v>-</v>
      </c>
      <c r="G23" s="137" t="str">
        <f>+[57]SYNTHESE!G23</f>
        <v>-</v>
      </c>
      <c r="H23" s="137" t="str">
        <f>+[57]SYNTHESE!H23</f>
        <v>-</v>
      </c>
      <c r="I23" s="137" t="str">
        <f>+[57]SYNTHESE!I23</f>
        <v>-</v>
      </c>
      <c r="J23" s="137" t="str">
        <f>+[57]SYNTHESE!J23</f>
        <v>-</v>
      </c>
      <c r="K23" s="137" t="str">
        <f>+[57]SYNTHESE!K23</f>
        <v>-</v>
      </c>
      <c r="L23" s="1620"/>
    </row>
    <row r="24" spans="1:13" ht="15.75" hidden="1" outlineLevel="2">
      <c r="A24" s="163"/>
      <c r="B24" s="136" t="s">
        <v>144</v>
      </c>
      <c r="C24" s="137">
        <f>+[57]SYNTHESE!C24</f>
        <v>-2.4965937987831449E-2</v>
      </c>
      <c r="D24" s="137">
        <f>+[57]SYNTHESE!D24</f>
        <v>-2.8839197266342396E-2</v>
      </c>
      <c r="E24" s="137">
        <f>+[57]SYNTHESE!E24</f>
        <v>-2.5983160923187577E-2</v>
      </c>
      <c r="F24" s="137" t="str">
        <f>+[57]SYNTHESE!F24</f>
        <v>-</v>
      </c>
      <c r="G24" s="137" t="str">
        <f>+[57]SYNTHESE!G24</f>
        <v>-</v>
      </c>
      <c r="H24" s="137" t="str">
        <f>+[57]SYNTHESE!H24</f>
        <v>-</v>
      </c>
      <c r="I24" s="137" t="str">
        <f>+[57]SYNTHESE!I24</f>
        <v>-</v>
      </c>
      <c r="J24" s="137" t="str">
        <f>+[57]SYNTHESE!J24</f>
        <v>-</v>
      </c>
      <c r="K24" s="137" t="str">
        <f>+[57]SYNTHESE!K24</f>
        <v>-</v>
      </c>
      <c r="L24" s="1620"/>
    </row>
    <row r="25" spans="1:13" ht="16.5" hidden="1" outlineLevel="2">
      <c r="A25" s="163"/>
      <c r="B25" s="138" t="s">
        <v>145</v>
      </c>
      <c r="C25" s="142">
        <f>+[57]SYNTHESE!C25</f>
        <v>-7.4455287472350473E-2</v>
      </c>
      <c r="D25" s="142">
        <f>+[57]SYNTHESE!D25</f>
        <v>-7.7156016606747327E-2</v>
      </c>
      <c r="E25" s="142">
        <f>+[57]SYNTHESE!E25</f>
        <v>-7.3652694040743802E-2</v>
      </c>
      <c r="F25" s="142" t="str">
        <f>+[57]SYNTHESE!F25</f>
        <v>-</v>
      </c>
      <c r="G25" s="142" t="str">
        <f>+[57]SYNTHESE!G25</f>
        <v>-</v>
      </c>
      <c r="H25" s="142" t="str">
        <f>+[57]SYNTHESE!H25</f>
        <v>-</v>
      </c>
      <c r="I25" s="142" t="str">
        <f>+[57]SYNTHESE!I25</f>
        <v>-</v>
      </c>
      <c r="J25" s="142" t="str">
        <f>+[57]SYNTHESE!J25</f>
        <v>-</v>
      </c>
      <c r="K25" s="142" t="str">
        <f>+[57]SYNTHESE!K25</f>
        <v>-</v>
      </c>
      <c r="L25" s="1623"/>
      <c r="M25" s="1623" t="str">
        <f>F25</f>
        <v>-</v>
      </c>
    </row>
    <row r="26" spans="1:13" ht="15.75" hidden="1" outlineLevel="2">
      <c r="A26" s="162" t="s">
        <v>138</v>
      </c>
      <c r="B26" s="134" t="s">
        <v>143</v>
      </c>
      <c r="C26" s="135">
        <f>+[57]SYNTHESE!C26</f>
        <v>-2.137962455894896E-2</v>
      </c>
      <c r="D26" s="135">
        <f>+[57]SYNTHESE!D26</f>
        <v>-2.2091108465448889E-2</v>
      </c>
      <c r="E26" s="135">
        <f>+[57]SYNTHESE!E26</f>
        <v>-2.0690076286039496E-2</v>
      </c>
      <c r="F26" s="135" t="str">
        <f>+[57]SYNTHESE!F26</f>
        <v>-</v>
      </c>
      <c r="G26" s="135" t="str">
        <f>+[57]SYNTHESE!G26</f>
        <v>-</v>
      </c>
      <c r="H26" s="135" t="str">
        <f>+[57]SYNTHESE!H26</f>
        <v>-</v>
      </c>
      <c r="I26" s="135" t="str">
        <f>+[57]SYNTHESE!I26</f>
        <v>-</v>
      </c>
      <c r="J26" s="135" t="str">
        <f>+[57]SYNTHESE!J26</f>
        <v>-</v>
      </c>
      <c r="K26" s="135" t="str">
        <f>+[57]SYNTHESE!K26</f>
        <v>-</v>
      </c>
      <c r="L26" s="1620"/>
    </row>
    <row r="27" spans="1:13" ht="15.75" hidden="1" outlineLevel="2">
      <c r="A27" s="163"/>
      <c r="B27" s="136" t="s">
        <v>12</v>
      </c>
      <c r="C27" s="137">
        <f>+[57]SYNTHESE!C27</f>
        <v>-2.2390030115783797E-2</v>
      </c>
      <c r="D27" s="137">
        <f>+[57]SYNTHESE!D27</f>
        <v>-2.001757588528218E-2</v>
      </c>
      <c r="E27" s="137">
        <f>+[57]SYNTHESE!E27</f>
        <v>-1.8742249213995629E-2</v>
      </c>
      <c r="F27" s="137" t="str">
        <f>+[57]SYNTHESE!F27</f>
        <v>-</v>
      </c>
      <c r="G27" s="137" t="str">
        <f>+[57]SYNTHESE!G27</f>
        <v>-</v>
      </c>
      <c r="H27" s="137" t="str">
        <f>+[57]SYNTHESE!H27</f>
        <v>-</v>
      </c>
      <c r="I27" s="137" t="str">
        <f>+[57]SYNTHESE!I27</f>
        <v>-</v>
      </c>
      <c r="J27" s="137" t="str">
        <f>+[57]SYNTHESE!J27</f>
        <v>-</v>
      </c>
      <c r="K27" s="137" t="str">
        <f>+[57]SYNTHESE!K27</f>
        <v>-</v>
      </c>
      <c r="L27" s="1620"/>
    </row>
    <row r="28" spans="1:13" ht="15.75" hidden="1" outlineLevel="2">
      <c r="A28" s="163"/>
      <c r="B28" s="136" t="s">
        <v>144</v>
      </c>
      <c r="C28" s="137">
        <f>+[57]SYNTHESE!C28</f>
        <v>-2.4803781322733792E-2</v>
      </c>
      <c r="D28" s="137">
        <f>+[57]SYNTHESE!D28</f>
        <v>-2.4963197433261263E-2</v>
      </c>
      <c r="E28" s="137">
        <f>+[57]SYNTHESE!E28</f>
        <v>-2.1831033594850339E-2</v>
      </c>
      <c r="F28" s="137" t="str">
        <f>+[57]SYNTHESE!F28</f>
        <v>-</v>
      </c>
      <c r="G28" s="137" t="str">
        <f>+[57]SYNTHESE!G28</f>
        <v>-</v>
      </c>
      <c r="H28" s="137" t="str">
        <f>+[57]SYNTHESE!H28</f>
        <v>-</v>
      </c>
      <c r="I28" s="137" t="str">
        <f>+[57]SYNTHESE!I28</f>
        <v>-</v>
      </c>
      <c r="J28" s="137" t="str">
        <f>+[57]SYNTHESE!J28</f>
        <v>-</v>
      </c>
      <c r="K28" s="137" t="str">
        <f>+[57]SYNTHESE!K28</f>
        <v>-</v>
      </c>
      <c r="L28" s="1620"/>
    </row>
    <row r="29" spans="1:13" ht="16.5" hidden="1" outlineLevel="2">
      <c r="A29" s="163"/>
      <c r="B29" s="138" t="s">
        <v>145</v>
      </c>
      <c r="C29" s="142">
        <f>+[57]SYNTHESE!C29</f>
        <v>-6.8573435997466542E-2</v>
      </c>
      <c r="D29" s="142">
        <f>+[57]SYNTHESE!D29</f>
        <v>-6.7071881783992329E-2</v>
      </c>
      <c r="E29" s="142">
        <f>+[57]SYNTHESE!E29</f>
        <v>-6.1263359094885464E-2</v>
      </c>
      <c r="F29" s="142" t="str">
        <f>+[57]SYNTHESE!F29</f>
        <v>-</v>
      </c>
      <c r="G29" s="142" t="str">
        <f>+[57]SYNTHESE!G29</f>
        <v>-</v>
      </c>
      <c r="H29" s="142" t="str">
        <f>+[57]SYNTHESE!H29</f>
        <v>-</v>
      </c>
      <c r="I29" s="142" t="str">
        <f>+[57]SYNTHESE!I29</f>
        <v>-</v>
      </c>
      <c r="J29" s="142" t="str">
        <f>+[57]SYNTHESE!J29</f>
        <v>-</v>
      </c>
      <c r="K29" s="142" t="str">
        <f>+[57]SYNTHESE!K29</f>
        <v>-</v>
      </c>
      <c r="L29" s="1623"/>
      <c r="M29" s="1623" t="str">
        <f>F29</f>
        <v>-</v>
      </c>
    </row>
    <row r="30" spans="1:13" ht="15.75" hidden="1" outlineLevel="2">
      <c r="A30" s="162" t="s">
        <v>140</v>
      </c>
      <c r="B30" s="134" t="s">
        <v>143</v>
      </c>
      <c r="C30" s="135">
        <f>+[57]SYNTHESE!C30</f>
        <v>-2.4600730427884031E-2</v>
      </c>
      <c r="D30" s="135">
        <f>+[57]SYNTHESE!D30</f>
        <v>-2.2064276673672986E-2</v>
      </c>
      <c r="E30" s="135">
        <f>+[57]SYNTHESE!E30</f>
        <v>-2.0664460623038054E-2</v>
      </c>
      <c r="F30" s="135" t="str">
        <f>+[57]SYNTHESE!F30</f>
        <v>-</v>
      </c>
      <c r="G30" s="135" t="str">
        <f>+[57]SYNTHESE!G30</f>
        <v>-</v>
      </c>
      <c r="H30" s="135" t="str">
        <f>+[57]SYNTHESE!H30</f>
        <v>-</v>
      </c>
      <c r="I30" s="135" t="str">
        <f>+[57]SYNTHESE!I30</f>
        <v>-</v>
      </c>
      <c r="J30" s="135" t="str">
        <f>+[57]SYNTHESE!J30</f>
        <v>-</v>
      </c>
      <c r="K30" s="135" t="str">
        <f>+[57]SYNTHESE!K30</f>
        <v>-</v>
      </c>
      <c r="L30" s="1620"/>
    </row>
    <row r="31" spans="1:13" ht="15.75" hidden="1" outlineLevel="2">
      <c r="A31" s="163"/>
      <c r="B31" s="136" t="s">
        <v>12</v>
      </c>
      <c r="C31" s="137">
        <f>+[57]SYNTHESE!C31</f>
        <v>-2.0917405491325015E-2</v>
      </c>
      <c r="D31" s="137">
        <f>+[57]SYNTHESE!D31</f>
        <v>-1.7058332382301891E-2</v>
      </c>
      <c r="E31" s="137">
        <f>+[57]SYNTHESE!E31</f>
        <v>-1.5870709918590086E-2</v>
      </c>
      <c r="F31" s="137" t="str">
        <f>+[57]SYNTHESE!F31</f>
        <v>-</v>
      </c>
      <c r="G31" s="137" t="str">
        <f>+[57]SYNTHESE!G31</f>
        <v>-</v>
      </c>
      <c r="H31" s="137" t="str">
        <f>+[57]SYNTHESE!H31</f>
        <v>-</v>
      </c>
      <c r="I31" s="137" t="str">
        <f>+[57]SYNTHESE!I31</f>
        <v>-</v>
      </c>
      <c r="J31" s="137" t="str">
        <f>+[57]SYNTHESE!J31</f>
        <v>-</v>
      </c>
      <c r="K31" s="137" t="str">
        <f>+[57]SYNTHESE!K31</f>
        <v>-</v>
      </c>
      <c r="L31" s="1620"/>
    </row>
    <row r="32" spans="1:13" ht="15.75" hidden="1" outlineLevel="2">
      <c r="A32" s="163"/>
      <c r="B32" s="136" t="s">
        <v>144</v>
      </c>
      <c r="C32" s="137">
        <f>+[57]SYNTHESE!C32</f>
        <v>-2.7582026328206128E-2</v>
      </c>
      <c r="D32" s="137">
        <f>+[57]SYNTHESE!D32</f>
        <v>-2.3640970476249648E-2</v>
      </c>
      <c r="E32" s="137">
        <f>+[57]SYNTHESE!E32</f>
        <v>-2.4959263541636641E-2</v>
      </c>
      <c r="F32" s="137" t="str">
        <f>+[57]SYNTHESE!F32</f>
        <v>-</v>
      </c>
      <c r="G32" s="137" t="str">
        <f>+[57]SYNTHESE!G32</f>
        <v>-</v>
      </c>
      <c r="H32" s="137" t="str">
        <f>+[57]SYNTHESE!H32</f>
        <v>-</v>
      </c>
      <c r="I32" s="137" t="str">
        <f>+[57]SYNTHESE!I32</f>
        <v>-</v>
      </c>
      <c r="J32" s="137" t="str">
        <f>+[57]SYNTHESE!J32</f>
        <v>-</v>
      </c>
      <c r="K32" s="137" t="str">
        <f>+[57]SYNTHESE!K32</f>
        <v>-</v>
      </c>
      <c r="L32" s="1620"/>
    </row>
    <row r="33" spans="1:13" ht="16.5" hidden="1" outlineLevel="2">
      <c r="A33" s="163"/>
      <c r="B33" s="138" t="s">
        <v>145</v>
      </c>
      <c r="C33" s="142">
        <f>+[57]SYNTHESE!C33</f>
        <v>-7.3100162247415168E-2</v>
      </c>
      <c r="D33" s="142">
        <f>+[57]SYNTHESE!D33</f>
        <v>-6.2763579532224528E-2</v>
      </c>
      <c r="E33" s="142">
        <f>+[57]SYNTHESE!E33</f>
        <v>-6.1494434083264785E-2</v>
      </c>
      <c r="F33" s="142" t="str">
        <f>+[57]SYNTHESE!F33</f>
        <v>-</v>
      </c>
      <c r="G33" s="142" t="str">
        <f>+[57]SYNTHESE!G33</f>
        <v>-</v>
      </c>
      <c r="H33" s="142" t="str">
        <f>+[57]SYNTHESE!H33</f>
        <v>-</v>
      </c>
      <c r="I33" s="142" t="str">
        <f>+[57]SYNTHESE!I33</f>
        <v>-</v>
      </c>
      <c r="J33" s="142" t="str">
        <f>+[57]SYNTHESE!J33</f>
        <v>-</v>
      </c>
      <c r="K33" s="142" t="str">
        <f>+[57]SYNTHESE!K33</f>
        <v>-</v>
      </c>
      <c r="L33" s="1623"/>
      <c r="M33" s="1623" t="str">
        <f>F33</f>
        <v>-</v>
      </c>
    </row>
    <row r="34" spans="1:13" ht="15.75" hidden="1" outlineLevel="2">
      <c r="A34" s="162" t="s">
        <v>147</v>
      </c>
      <c r="B34" s="134" t="s">
        <v>143</v>
      </c>
      <c r="C34" s="135">
        <f>+[57]SYNTHESE!C34</f>
        <v>-2.5372092165898617E-2</v>
      </c>
      <c r="D34" s="135">
        <f>+[57]SYNTHESE!D34</f>
        <v>-2.3008249123530625E-2</v>
      </c>
      <c r="E34" s="135">
        <f>+[57]SYNTHESE!E34</f>
        <v>-1.3457358888693514E-2</v>
      </c>
      <c r="F34" s="135" t="str">
        <f>+[57]SYNTHESE!F34</f>
        <v>-</v>
      </c>
      <c r="G34" s="135" t="str">
        <f>+[57]SYNTHESE!G34</f>
        <v>-</v>
      </c>
      <c r="H34" s="135" t="str">
        <f>+[57]SYNTHESE!H34</f>
        <v>-</v>
      </c>
      <c r="I34" s="135" t="str">
        <f>+[57]SYNTHESE!I34</f>
        <v>-</v>
      </c>
      <c r="J34" s="135" t="str">
        <f>+[57]SYNTHESE!J34</f>
        <v>-</v>
      </c>
      <c r="K34" s="135" t="str">
        <f>+[57]SYNTHESE!K34</f>
        <v>-</v>
      </c>
      <c r="L34" s="1620"/>
    </row>
    <row r="35" spans="1:13" ht="15.75" hidden="1" outlineLevel="2">
      <c r="A35" s="163"/>
      <c r="B35" s="136" t="s">
        <v>12</v>
      </c>
      <c r="C35" s="137">
        <f>+[57]SYNTHESE!C35</f>
        <v>-4.3523281105990783E-2</v>
      </c>
      <c r="D35" s="137">
        <f>+[57]SYNTHESE!D35</f>
        <v>-3.2046607547948032E-2</v>
      </c>
      <c r="E35" s="137">
        <f>+[57]SYNTHESE!E35</f>
        <v>-1.981536838403376E-2</v>
      </c>
      <c r="F35" s="137" t="str">
        <f>+[57]SYNTHESE!F35</f>
        <v>-</v>
      </c>
      <c r="G35" s="137" t="str">
        <f>+[57]SYNTHESE!G35</f>
        <v>-</v>
      </c>
      <c r="H35" s="137" t="str">
        <f>+[57]SYNTHESE!H35</f>
        <v>-</v>
      </c>
      <c r="I35" s="137" t="str">
        <f>+[57]SYNTHESE!I35</f>
        <v>-</v>
      </c>
      <c r="J35" s="137" t="str">
        <f>+[57]SYNTHESE!J35</f>
        <v>-</v>
      </c>
      <c r="K35" s="137" t="str">
        <f>+[57]SYNTHESE!K35</f>
        <v>-</v>
      </c>
      <c r="L35" s="1620"/>
    </row>
    <row r="36" spans="1:13" ht="15.75" hidden="1" outlineLevel="2">
      <c r="A36" s="163"/>
      <c r="B36" s="136" t="s">
        <v>144</v>
      </c>
      <c r="C36" s="137">
        <f>+[57]SYNTHESE!C36</f>
        <v>-0.16110599078341015</v>
      </c>
      <c r="D36" s="137">
        <f>+[57]SYNTHESE!D36</f>
        <v>-4.4339038977108683E-2</v>
      </c>
      <c r="E36" s="137">
        <f>+[57]SYNTHESE!E36</f>
        <v>-0.20186390012308775</v>
      </c>
      <c r="F36" s="137" t="str">
        <f>+[57]SYNTHESE!F36</f>
        <v>-</v>
      </c>
      <c r="G36" s="137" t="str">
        <f>+[57]SYNTHESE!G36</f>
        <v>-</v>
      </c>
      <c r="H36" s="137" t="str">
        <f>+[57]SYNTHESE!H36</f>
        <v>-</v>
      </c>
      <c r="I36" s="137" t="str">
        <f>+[57]SYNTHESE!I36</f>
        <v>-</v>
      </c>
      <c r="J36" s="137" t="str">
        <f>+[57]SYNTHESE!J36</f>
        <v>-</v>
      </c>
      <c r="K36" s="137" t="str">
        <f>+[57]SYNTHESE!K36</f>
        <v>-</v>
      </c>
      <c r="L36" s="1620"/>
    </row>
    <row r="37" spans="1:13" ht="16.5" hidden="1" outlineLevel="2">
      <c r="A37" s="163"/>
      <c r="B37" s="138" t="s">
        <v>145</v>
      </c>
      <c r="C37" s="142">
        <f>+[57]SYNTHESE!C37</f>
        <v>-0.23000136405529953</v>
      </c>
      <c r="D37" s="142">
        <f>+[57]SYNTHESE!D37</f>
        <v>-9.9393895648587346E-2</v>
      </c>
      <c r="E37" s="142">
        <f>+[57]SYNTHESE!E37</f>
        <v>-0.23513662739581501</v>
      </c>
      <c r="F37" s="142" t="str">
        <f>+[57]SYNTHESE!F37</f>
        <v>-</v>
      </c>
      <c r="G37" s="142" t="str">
        <f>+[57]SYNTHESE!G37</f>
        <v>-</v>
      </c>
      <c r="H37" s="142" t="str">
        <f>+[57]SYNTHESE!H37</f>
        <v>-</v>
      </c>
      <c r="I37" s="142" t="str">
        <f>+[57]SYNTHESE!I37</f>
        <v>-</v>
      </c>
      <c r="J37" s="142" t="str">
        <f>+[57]SYNTHESE!J37</f>
        <v>-</v>
      </c>
      <c r="K37" s="142" t="str">
        <f>+[57]SYNTHESE!K37</f>
        <v>-</v>
      </c>
      <c r="L37" s="1623"/>
      <c r="M37" s="1623" t="str">
        <f>F37</f>
        <v>-</v>
      </c>
    </row>
    <row r="38" spans="1:13" ht="7.5" hidden="1" customHeight="1" collapsed="1">
      <c r="A38" s="163"/>
      <c r="B38" s="46"/>
      <c r="C38" s="46">
        <f>+[57]SYNTHESE!C38</f>
        <v>0</v>
      </c>
      <c r="D38" s="46">
        <f>+[57]SYNTHESE!D38</f>
        <v>0</v>
      </c>
      <c r="E38" s="46">
        <f>+[57]SYNTHESE!E38</f>
        <v>0</v>
      </c>
      <c r="F38" s="46">
        <f>+[57]SYNTHESE!F38</f>
        <v>0</v>
      </c>
      <c r="G38" s="46">
        <f>+[57]SYNTHESE!G38</f>
        <v>0</v>
      </c>
      <c r="H38" s="46">
        <f>+[57]SYNTHESE!H38</f>
        <v>0</v>
      </c>
      <c r="I38" s="46">
        <f>+[57]SYNTHESE!I38</f>
        <v>0</v>
      </c>
      <c r="J38" s="46">
        <f>+[57]SYNTHESE!J38</f>
        <v>0</v>
      </c>
      <c r="K38" s="46">
        <f>+[57]SYNTHESE!K38</f>
        <v>0</v>
      </c>
      <c r="L38" s="1620"/>
    </row>
    <row r="39" spans="1:13" ht="12.75" hidden="1" customHeight="1">
      <c r="A39" s="151"/>
      <c r="B39" s="134" t="s">
        <v>143</v>
      </c>
      <c r="C39" s="135">
        <f>+[57]SYNTHESE!C39</f>
        <v>-2.0204868304992421E-2</v>
      </c>
      <c r="D39" s="135">
        <f>+[57]SYNTHESE!D39</f>
        <v>-2.1141969974455409E-2</v>
      </c>
      <c r="E39" s="135">
        <f>+[57]SYNTHESE!E39</f>
        <v>-2.1189005286981859E-2</v>
      </c>
      <c r="F39" s="135">
        <f>+[57]SYNTHESE!F39</f>
        <v>-2.0893786433093711E-2</v>
      </c>
      <c r="G39" s="135">
        <f>+[57]SYNTHESE!G39</f>
        <v>-2.4006022271061325E-2</v>
      </c>
      <c r="H39" s="135">
        <f>+[57]SYNTHESE!H39</f>
        <v>-2.3402300073460697E-2</v>
      </c>
      <c r="I39" s="135">
        <f>+[57]SYNTHESE!I39</f>
        <v>-2.1875795380318901E-2</v>
      </c>
      <c r="J39" s="135">
        <f>+[57]SYNTHESE!J39</f>
        <v>-2.5808802466227677E-2</v>
      </c>
      <c r="K39" s="135">
        <f>+[57]SYNTHESE!K39</f>
        <v>-2.5430407817158537E-2</v>
      </c>
      <c r="L39" s="1620"/>
    </row>
    <row r="40" spans="1:13" ht="12.75" hidden="1" customHeight="1">
      <c r="A40" s="152" t="s">
        <v>927</v>
      </c>
      <c r="B40" s="136" t="s">
        <v>12</v>
      </c>
      <c r="C40" s="137">
        <f>+[57]SYNTHESE!C40</f>
        <v>-2.4126439111717208E-2</v>
      </c>
      <c r="D40" s="137">
        <f>+[57]SYNTHESE!D40</f>
        <v>-2.1934430813977984E-2</v>
      </c>
      <c r="E40" s="137">
        <f>+[57]SYNTHESE!E40</f>
        <v>-2.1684621728920671E-2</v>
      </c>
      <c r="F40" s="137">
        <f>+[57]SYNTHESE!F40</f>
        <v>-2.4096465801980944E-2</v>
      </c>
      <c r="G40" s="137">
        <f>+[57]SYNTHESE!G40</f>
        <v>-2.6116118878014929E-2</v>
      </c>
      <c r="H40" s="137">
        <f>+[57]SYNTHESE!H40</f>
        <v>-2.3288554299226945E-2</v>
      </c>
      <c r="I40" s="137">
        <f>+[57]SYNTHESE!I40</f>
        <v>-2.169630449935956E-2</v>
      </c>
      <c r="J40" s="137">
        <f>+[57]SYNTHESE!J40</f>
        <v>-2.5250561481074827E-2</v>
      </c>
      <c r="K40" s="137">
        <f>+[57]SYNTHESE!K40</f>
        <v>-2.3156890841033406E-2</v>
      </c>
      <c r="L40" s="1620" t="str">
        <f>L42&amp;"HQ"</f>
        <v>Hors FVLHQ</v>
      </c>
      <c r="M40" s="1623">
        <f>K40+K39</f>
        <v>-4.8587298658191946E-2</v>
      </c>
    </row>
    <row r="41" spans="1:13" ht="12.75" hidden="1" customHeight="1">
      <c r="A41" s="152"/>
      <c r="B41" s="136" t="s">
        <v>144</v>
      </c>
      <c r="C41" s="137">
        <f>+[57]SYNTHESE!C41</f>
        <v>-3.1624544717399082E-2</v>
      </c>
      <c r="D41" s="137">
        <f>+[57]SYNTHESE!D41</f>
        <v>-3.2450937054912775E-2</v>
      </c>
      <c r="E41" s="137">
        <f>+[57]SYNTHESE!E41</f>
        <v>-3.3086611697349215E-2</v>
      </c>
      <c r="F41" s="137">
        <f>+[57]SYNTHESE!F41</f>
        <v>-2.969918090992036E-2</v>
      </c>
      <c r="G41" s="137">
        <f>+[57]SYNTHESE!G41</f>
        <v>-4.0756207577532406E-2</v>
      </c>
      <c r="H41" s="137">
        <f>+[57]SYNTHESE!H41</f>
        <v>-3.0068687673297366E-2</v>
      </c>
      <c r="I41" s="137">
        <f>+[57]SYNTHESE!I41</f>
        <v>-2.9199776292361482E-2</v>
      </c>
      <c r="J41" s="137">
        <f>+[57]SYNTHESE!J41</f>
        <v>-3.2938675835168969E-2</v>
      </c>
      <c r="K41" s="137">
        <f>+[57]SYNTHESE!K41</f>
        <v>-3.2349793050861247E-2</v>
      </c>
      <c r="L41" s="1620" t="str">
        <f>L42&amp;"opé"</f>
        <v>Hors FVLopé</v>
      </c>
      <c r="M41" s="1623">
        <f>K41</f>
        <v>-3.2349793050861247E-2</v>
      </c>
    </row>
    <row r="42" spans="1:13" ht="16.5" hidden="1">
      <c r="A42" s="153"/>
      <c r="B42" s="141" t="s">
        <v>145</v>
      </c>
      <c r="C42" s="142">
        <f>+[57]SYNTHESE!C42</f>
        <v>-7.5955852134108715E-2</v>
      </c>
      <c r="D42" s="142">
        <f>+[57]SYNTHESE!D42</f>
        <v>-7.5527337843346171E-2</v>
      </c>
      <c r="E42" s="142">
        <f>+[57]SYNTHESE!E42</f>
        <v>-7.5960238713251749E-2</v>
      </c>
      <c r="F42" s="142">
        <f>+[57]SYNTHESE!F42</f>
        <v>-7.4689433144995029E-2</v>
      </c>
      <c r="G42" s="142">
        <f>+[57]SYNTHESE!G42</f>
        <v>-9.0878348726608646E-2</v>
      </c>
      <c r="H42" s="142">
        <f>+[57]SYNTHESE!H42</f>
        <v>-7.6759542045985008E-2</v>
      </c>
      <c r="I42" s="142">
        <f>+[57]SYNTHESE!I42</f>
        <v>-7.2771876172039937E-2</v>
      </c>
      <c r="J42" s="142">
        <f>+[57]SYNTHESE!J42</f>
        <v>-8.3998039782471487E-2</v>
      </c>
      <c r="K42" s="142">
        <f>+[57]SYNTHESE!K42</f>
        <v>-8.093709170905318E-2</v>
      </c>
      <c r="L42" s="1623" t="str">
        <f>+A40</f>
        <v>Hors FVL</v>
      </c>
      <c r="M42" s="1623">
        <f>K42</f>
        <v>-8.093709170905318E-2</v>
      </c>
    </row>
    <row r="43" spans="1:13" ht="7.5" hidden="1" customHeight="1">
      <c r="A43" s="163"/>
      <c r="B43" s="46"/>
      <c r="C43" s="46">
        <f>+[57]SYNTHESE!C43</f>
        <v>0</v>
      </c>
      <c r="D43" s="46">
        <f>+[57]SYNTHESE!D43</f>
        <v>0</v>
      </c>
      <c r="E43" s="46">
        <f>+[57]SYNTHESE!E43</f>
        <v>0</v>
      </c>
      <c r="F43" s="46">
        <f>+[57]SYNTHESE!F43</f>
        <v>0</v>
      </c>
      <c r="G43" s="46">
        <f>+[57]SYNTHESE!G43</f>
        <v>0</v>
      </c>
      <c r="H43" s="46">
        <f>+[57]SYNTHESE!H43</f>
        <v>0</v>
      </c>
      <c r="I43" s="46">
        <f>+[57]SYNTHESE!I43</f>
        <v>0</v>
      </c>
      <c r="J43" s="46">
        <f>+[57]SYNTHESE!J43</f>
        <v>0</v>
      </c>
      <c r="K43" s="46">
        <f>+[57]SYNTHESE!K43</f>
        <v>0</v>
      </c>
      <c r="L43" s="1620"/>
    </row>
    <row r="44" spans="1:13" ht="12.75" customHeight="1">
      <c r="A44" s="151"/>
      <c r="B44" s="134" t="s">
        <v>143</v>
      </c>
      <c r="C44" s="135">
        <f>+[57]SYNTHESE!C44</f>
        <v>-2.0349569147530968E-2</v>
      </c>
      <c r="D44" s="135">
        <f>+[57]SYNTHESE!D44</f>
        <v>-2.1135728098730443E-2</v>
      </c>
      <c r="E44" s="135">
        <f>+[57]SYNTHESE!E44</f>
        <v>-2.1234154548486501E-2</v>
      </c>
      <c r="F44" s="135">
        <f>+[57]SYNTHESE!F44</f>
        <v>-2.1258803906624039E-2</v>
      </c>
      <c r="G44" s="135">
        <f>+[57]SYNTHESE!G44</f>
        <v>-2.3617142507699137E-2</v>
      </c>
      <c r="H44" s="135">
        <f>+[57]SYNTHESE!H44</f>
        <v>-2.3399092241414728E-2</v>
      </c>
      <c r="I44" s="135">
        <f>+[57]SYNTHESE!I44</f>
        <v>-2.170056022503522E-2</v>
      </c>
      <c r="J44" s="135">
        <f>+[57]SYNTHESE!J44</f>
        <v>-2.5704915730736012E-2</v>
      </c>
      <c r="K44" s="135">
        <f>+[57]SYNTHESE!K44</f>
        <v>-2.4257661083292237E-2</v>
      </c>
      <c r="L44" s="1620"/>
    </row>
    <row r="45" spans="1:13" ht="12.75" customHeight="1">
      <c r="A45" s="152" t="s">
        <v>202</v>
      </c>
      <c r="B45" s="136" t="s">
        <v>12</v>
      </c>
      <c r="C45" s="137">
        <f>+[57]SYNTHESE!C45</f>
        <v>-2.3098632230759964E-2</v>
      </c>
      <c r="D45" s="137">
        <f>+[57]SYNTHESE!D45</f>
        <v>-2.0640840485137812E-2</v>
      </c>
      <c r="E45" s="137">
        <f>+[57]SYNTHESE!E45</f>
        <v>-2.1261111479173631E-2</v>
      </c>
      <c r="F45" s="137">
        <f>+[57]SYNTHESE!F45</f>
        <v>-2.3946638598657841E-2</v>
      </c>
      <c r="G45" s="137">
        <f>+[57]SYNTHESE!G45</f>
        <v>-2.5172606413857074E-2</v>
      </c>
      <c r="H45" s="137">
        <f>+[57]SYNTHESE!H45</f>
        <v>-2.2667083002193267E-2</v>
      </c>
      <c r="I45" s="137">
        <f>+[57]SYNTHESE!I45</f>
        <v>-2.126130263693677E-2</v>
      </c>
      <c r="J45" s="137">
        <f>+[57]SYNTHESE!J45</f>
        <v>-2.5796895611099189E-2</v>
      </c>
      <c r="K45" s="137">
        <f>+[57]SYNTHESE!K45</f>
        <v>-2.3510064286741812E-2</v>
      </c>
      <c r="L45" s="1620" t="str">
        <f>L47&amp;"HQ"</f>
        <v>OVLHQ</v>
      </c>
      <c r="M45" s="1623">
        <f>K45+K44</f>
        <v>-4.7767725370034049E-2</v>
      </c>
    </row>
    <row r="46" spans="1:13" ht="12.75" customHeight="1">
      <c r="A46" s="152"/>
      <c r="B46" s="136" t="s">
        <v>144</v>
      </c>
      <c r="C46" s="137">
        <f>+[57]SYNTHESE!C46</f>
        <v>-2.643250748360013E-2</v>
      </c>
      <c r="D46" s="137">
        <f>+[57]SYNTHESE!D46</f>
        <v>-2.728890553393996E-2</v>
      </c>
      <c r="E46" s="137">
        <f>+[57]SYNTHESE!E46</f>
        <v>-2.7876675050829799E-2</v>
      </c>
      <c r="F46" s="137">
        <f>+[57]SYNTHESE!F46</f>
        <v>-2.6585275433128722E-2</v>
      </c>
      <c r="G46" s="137">
        <f>+[57]SYNTHESE!G46</f>
        <v>-3.8415658047403996E-2</v>
      </c>
      <c r="H46" s="137">
        <f>+[57]SYNTHESE!H46</f>
        <v>-2.813367788560265E-2</v>
      </c>
      <c r="I46" s="137">
        <f>+[57]SYNTHESE!I46</f>
        <v>-2.6065391272481624E-2</v>
      </c>
      <c r="J46" s="137">
        <f>+[57]SYNTHESE!J46</f>
        <v>-3.037886940130451E-2</v>
      </c>
      <c r="K46" s="137">
        <f>+[57]SYNTHESE!K46</f>
        <v>-3.1326589550222016E-2</v>
      </c>
      <c r="L46" s="1620" t="str">
        <f>L47&amp;"opé"</f>
        <v>OVLopé</v>
      </c>
      <c r="M46" s="1623">
        <f>K46</f>
        <v>-3.1326589550222016E-2</v>
      </c>
    </row>
    <row r="47" spans="1:13" ht="16.5">
      <c r="A47" s="153"/>
      <c r="B47" s="141" t="s">
        <v>145</v>
      </c>
      <c r="C47" s="142">
        <f>+[57]SYNTHESE!C47</f>
        <v>-6.9880708861891058E-2</v>
      </c>
      <c r="D47" s="142">
        <f>+[57]SYNTHESE!D47</f>
        <v>-6.9065474117808209E-2</v>
      </c>
      <c r="E47" s="142">
        <f>+[57]SYNTHESE!E47</f>
        <v>-7.037194107848993E-2</v>
      </c>
      <c r="F47" s="142">
        <f>+[57]SYNTHESE!F47</f>
        <v>-7.1790717938410603E-2</v>
      </c>
      <c r="G47" s="142">
        <f>+[57]SYNTHESE!G47</f>
        <v>-8.7205406968960203E-2</v>
      </c>
      <c r="H47" s="142">
        <f>+[57]SYNTHESE!H47</f>
        <v>-7.4199853129210638E-2</v>
      </c>
      <c r="I47" s="142">
        <f>+[57]SYNTHESE!I47</f>
        <v>-6.9027254134453611E-2</v>
      </c>
      <c r="J47" s="142">
        <f>+[57]SYNTHESE!J47</f>
        <v>-8.1880680743139728E-2</v>
      </c>
      <c r="K47" s="142">
        <f>+[57]SYNTHESE!K47</f>
        <v>-7.9094314920256051E-2</v>
      </c>
      <c r="L47" s="1623" t="str">
        <f>+A45</f>
        <v>OVL</v>
      </c>
      <c r="M47" s="1623">
        <f>K47</f>
        <v>-7.9094314920256051E-2</v>
      </c>
    </row>
    <row r="48" spans="1:13" ht="15.75" hidden="1">
      <c r="A48" s="162" t="s">
        <v>928</v>
      </c>
      <c r="B48" s="134" t="s">
        <v>143</v>
      </c>
      <c r="C48" s="135">
        <f>+[57]SYNTHESE!C48</f>
        <v>0</v>
      </c>
      <c r="D48" s="135">
        <f>+[57]SYNTHESE!D48</f>
        <v>0</v>
      </c>
      <c r="E48" s="135">
        <f>+[57]SYNTHESE!E48</f>
        <v>0</v>
      </c>
      <c r="F48" s="135">
        <f>+[57]SYNTHESE!F48</f>
        <v>0</v>
      </c>
      <c r="G48" s="135">
        <f>+[57]SYNTHESE!G48</f>
        <v>0</v>
      </c>
      <c r="H48" s="135">
        <f>+[57]SYNTHESE!H48</f>
        <v>-1.8664675567714284E-2</v>
      </c>
      <c r="I48" s="135">
        <f>+[57]SYNTHESE!I48</f>
        <v>-1.7936632775112864E-2</v>
      </c>
      <c r="J48" s="135">
        <f>+[57]SYNTHESE!J48</f>
        <v>-2.1910975001744576E-2</v>
      </c>
      <c r="K48" s="135">
        <f>+[57]SYNTHESE!K48</f>
        <v>-2.2942037283184013E-2</v>
      </c>
      <c r="L48" s="1620"/>
    </row>
    <row r="49" spans="1:13" ht="15.75" hidden="1">
      <c r="A49" s="163"/>
      <c r="B49" s="136" t="s">
        <v>12</v>
      </c>
      <c r="C49" s="137">
        <f>+[57]SYNTHESE!C49</f>
        <v>0</v>
      </c>
      <c r="D49" s="137">
        <f>+[57]SYNTHESE!D49</f>
        <v>0</v>
      </c>
      <c r="E49" s="137">
        <f>+[57]SYNTHESE!E49</f>
        <v>0</v>
      </c>
      <c r="F49" s="137">
        <f>+[57]SYNTHESE!F49</f>
        <v>0</v>
      </c>
      <c r="G49" s="137">
        <f>+[57]SYNTHESE!G49</f>
        <v>0</v>
      </c>
      <c r="H49" s="137">
        <f>+[57]SYNTHESE!H49</f>
        <v>-1.6537609789407087E-2</v>
      </c>
      <c r="I49" s="137">
        <f>+[57]SYNTHESE!I49</f>
        <v>-1.5923909395102034E-2</v>
      </c>
      <c r="J49" s="137">
        <f>+[57]SYNTHESE!J49</f>
        <v>-2.1966390427678079E-2</v>
      </c>
      <c r="K49" s="137">
        <f>+[57]SYNTHESE!K49</f>
        <v>-2.0879710943173729E-2</v>
      </c>
      <c r="L49" s="1620" t="str">
        <f>L51&amp;"HQ"</f>
        <v>LOTHQ</v>
      </c>
      <c r="M49" s="1623">
        <f>K49+K48</f>
        <v>-4.3821748226357746E-2</v>
      </c>
    </row>
    <row r="50" spans="1:13" ht="15.75" hidden="1">
      <c r="A50" s="163"/>
      <c r="B50" s="136" t="s">
        <v>144</v>
      </c>
      <c r="C50" s="137">
        <f>+[57]SYNTHESE!C50</f>
        <v>0</v>
      </c>
      <c r="D50" s="137">
        <f>+[57]SYNTHESE!D50</f>
        <v>0</v>
      </c>
      <c r="E50" s="137">
        <f>+[57]SYNTHESE!E50</f>
        <v>0</v>
      </c>
      <c r="F50" s="137">
        <f>+[57]SYNTHESE!F50</f>
        <v>0</v>
      </c>
      <c r="G50" s="137">
        <f>+[57]SYNTHESE!G50</f>
        <v>0</v>
      </c>
      <c r="H50" s="137">
        <f>+[57]SYNTHESE!H50</f>
        <v>-2.5550622212793875E-2</v>
      </c>
      <c r="I50" s="137">
        <f>+[57]SYNTHESE!I50</f>
        <v>-2.4245856658177804E-2</v>
      </c>
      <c r="J50" s="137">
        <f>+[57]SYNTHESE!J50</f>
        <v>-2.7814841312102441E-2</v>
      </c>
      <c r="K50" s="137">
        <f>+[57]SYNTHESE!K50</f>
        <v>-3.0260216820073668E-2</v>
      </c>
      <c r="L50" s="1620" t="str">
        <f>L51&amp;"opé"</f>
        <v>LOTopé</v>
      </c>
      <c r="M50" s="1623">
        <f>K50</f>
        <v>-3.0260216820073668E-2</v>
      </c>
    </row>
    <row r="51" spans="1:13" ht="16.5" hidden="1">
      <c r="A51" s="163"/>
      <c r="B51" s="138" t="s">
        <v>145</v>
      </c>
      <c r="C51" s="142">
        <f>+[57]SYNTHESE!C51</f>
        <v>0</v>
      </c>
      <c r="D51" s="142">
        <f>+[57]SYNTHESE!D51</f>
        <v>0</v>
      </c>
      <c r="E51" s="142">
        <f>+[57]SYNTHESE!E51</f>
        <v>0</v>
      </c>
      <c r="F51" s="142">
        <f>+[57]SYNTHESE!F51</f>
        <v>0</v>
      </c>
      <c r="G51" s="142">
        <f>+[57]SYNTHESE!G51</f>
        <v>0</v>
      </c>
      <c r="H51" s="142">
        <f>+[57]SYNTHESE!H51</f>
        <v>-6.0752907569915242E-2</v>
      </c>
      <c r="I51" s="142">
        <f>+[57]SYNTHESE!I51</f>
        <v>-5.8106398828392698E-2</v>
      </c>
      <c r="J51" s="142">
        <f>+[57]SYNTHESE!J51</f>
        <v>-7.16922067415251E-2</v>
      </c>
      <c r="K51" s="142">
        <f>+[57]SYNTHESE!K51</f>
        <v>-7.40819650464314E-2</v>
      </c>
      <c r="L51" s="1623" t="str">
        <f>+A48</f>
        <v>LOT</v>
      </c>
      <c r="M51" s="1623">
        <f>K51</f>
        <v>-7.40819650464314E-2</v>
      </c>
    </row>
    <row r="52" spans="1:13" ht="15.75" hidden="1">
      <c r="A52" s="162" t="s">
        <v>929</v>
      </c>
      <c r="B52" s="134" t="s">
        <v>143</v>
      </c>
      <c r="C52" s="135">
        <f>+[57]SYNTHESE!C52</f>
        <v>0</v>
      </c>
      <c r="D52" s="135">
        <f>+[57]SYNTHESE!D52</f>
        <v>0</v>
      </c>
      <c r="E52" s="135">
        <f>+[57]SYNTHESE!E52</f>
        <v>0</v>
      </c>
      <c r="F52" s="135">
        <f>+[57]SYNTHESE!F52</f>
        <v>0</v>
      </c>
      <c r="G52" s="135">
        <f>+[57]SYNTHESE!G52</f>
        <v>0</v>
      </c>
      <c r="H52" s="135">
        <f>+[57]SYNTHESE!H52</f>
        <v>-3.3048896437313291E-2</v>
      </c>
      <c r="I52" s="135">
        <f>+[57]SYNTHESE!I52</f>
        <v>-3.0077157825140172E-2</v>
      </c>
      <c r="J52" s="135">
        <f>+[57]SYNTHESE!J52</f>
        <v>-3.4530873461410823E-2</v>
      </c>
      <c r="K52" s="135">
        <f>+[57]SYNTHESE!K52</f>
        <v>-2.6748237267633562E-2</v>
      </c>
      <c r="L52" s="1620"/>
    </row>
    <row r="53" spans="1:13" ht="15.75" hidden="1">
      <c r="A53" s="163"/>
      <c r="B53" s="136" t="s">
        <v>12</v>
      </c>
      <c r="C53" s="137">
        <f>+[57]SYNTHESE!C53</f>
        <v>0</v>
      </c>
      <c r="D53" s="137">
        <f>+[57]SYNTHESE!D53</f>
        <v>0</v>
      </c>
      <c r="E53" s="137">
        <f>+[57]SYNTHESE!E53</f>
        <v>0</v>
      </c>
      <c r="F53" s="137">
        <f>+[57]SYNTHESE!F53</f>
        <v>0</v>
      </c>
      <c r="G53" s="137">
        <f>+[57]SYNTHESE!G53</f>
        <v>0</v>
      </c>
      <c r="H53" s="137">
        <f>+[57]SYNTHESE!H53</f>
        <v>-3.5160325655709312E-2</v>
      </c>
      <c r="I53" s="137">
        <f>+[57]SYNTHESE!I53</f>
        <v>-3.3139638767270899E-2</v>
      </c>
      <c r="J53" s="137">
        <f>+[57]SYNTHESE!J53</f>
        <v>-3.470791432514031E-2</v>
      </c>
      <c r="K53" s="137">
        <f>+[57]SYNTHESE!K53</f>
        <v>-2.9237914097951585E-2</v>
      </c>
      <c r="L53" s="1620" t="str">
        <f>L55&amp;"HQ"</f>
        <v>MSGHQ</v>
      </c>
      <c r="M53" s="1623">
        <f>K53+K52</f>
        <v>-5.5986151365585143E-2</v>
      </c>
    </row>
    <row r="54" spans="1:13" ht="15.75" hidden="1">
      <c r="A54" s="163"/>
      <c r="B54" s="136" t="s">
        <v>144</v>
      </c>
      <c r="C54" s="137">
        <f>+[57]SYNTHESE!C54</f>
        <v>0</v>
      </c>
      <c r="D54" s="137">
        <f>+[57]SYNTHESE!D54</f>
        <v>0</v>
      </c>
      <c r="E54" s="137">
        <f>+[57]SYNTHESE!E54</f>
        <v>0</v>
      </c>
      <c r="F54" s="137">
        <f>+[57]SYNTHESE!F54</f>
        <v>0</v>
      </c>
      <c r="G54" s="137">
        <f>+[57]SYNTHESE!G54</f>
        <v>0</v>
      </c>
      <c r="H54" s="137">
        <f>+[57]SYNTHESE!H54</f>
        <v>-3.3398525318270082E-2</v>
      </c>
      <c r="I54" s="137">
        <f>+[57]SYNTHESE!I54</f>
        <v>-3.0114754467247668E-2</v>
      </c>
      <c r="J54" s="137">
        <f>+[57]SYNTHESE!J54</f>
        <v>-3.6343644592079873E-2</v>
      </c>
      <c r="K54" s="137">
        <f>+[57]SYNTHESE!K54</f>
        <v>-3.3961427764030015E-2</v>
      </c>
      <c r="L54" s="1620" t="str">
        <f>L55&amp;"opé"</f>
        <v>MSGopé</v>
      </c>
      <c r="M54" s="1623">
        <f>K54</f>
        <v>-3.3961427764030015E-2</v>
      </c>
    </row>
    <row r="55" spans="1:13" ht="16.5" hidden="1">
      <c r="A55" s="163"/>
      <c r="B55" s="138" t="s">
        <v>145</v>
      </c>
      <c r="C55" s="142">
        <f>+[57]SYNTHESE!C55</f>
        <v>0</v>
      </c>
      <c r="D55" s="142">
        <f>+[57]SYNTHESE!D55</f>
        <v>0</v>
      </c>
      <c r="E55" s="142">
        <f>+[57]SYNTHESE!E55</f>
        <v>0</v>
      </c>
      <c r="F55" s="142">
        <f>+[57]SYNTHESE!F55</f>
        <v>0</v>
      </c>
      <c r="G55" s="142">
        <f>+[57]SYNTHESE!G55</f>
        <v>0</v>
      </c>
      <c r="H55" s="142">
        <f>+[57]SYNTHESE!H55</f>
        <v>-0.10160774741129269</v>
      </c>
      <c r="I55" s="142">
        <f>+[57]SYNTHESE!I55</f>
        <v>-9.3331551059658749E-2</v>
      </c>
      <c r="J55" s="142">
        <f>+[57]SYNTHESE!J55</f>
        <v>-0.10558243237863101</v>
      </c>
      <c r="K55" s="142">
        <f>+[57]SYNTHESE!K55</f>
        <v>-8.9947579129615166E-2</v>
      </c>
      <c r="L55" s="1623" t="str">
        <f>+A52</f>
        <v>MSG</v>
      </c>
      <c r="M55" s="1623">
        <f>K55</f>
        <v>-8.9947579129615166E-2</v>
      </c>
    </row>
    <row r="56" spans="1:13" ht="15.75" hidden="1">
      <c r="A56" s="162" t="s">
        <v>930</v>
      </c>
      <c r="B56" s="134" t="s">
        <v>143</v>
      </c>
      <c r="C56" s="135">
        <f>+[57]SYNTHESE!C56</f>
        <v>0</v>
      </c>
      <c r="D56" s="135">
        <f>+[57]SYNTHESE!D56</f>
        <v>0</v>
      </c>
      <c r="E56" s="135">
        <f>+[57]SYNTHESE!E56</f>
        <v>0</v>
      </c>
      <c r="F56" s="135">
        <f>+[57]SYNTHESE!F56</f>
        <v>0</v>
      </c>
      <c r="G56" s="135">
        <f>+[57]SYNTHESE!G56</f>
        <v>0</v>
      </c>
      <c r="H56" s="135">
        <f>+[57]SYNTHESE!H56</f>
        <v>0</v>
      </c>
      <c r="I56" s="135">
        <f>+[57]SYNTHESE!I56</f>
        <v>0</v>
      </c>
      <c r="J56" s="135">
        <f>+[57]SYNTHESE!J56</f>
        <v>0</v>
      </c>
      <c r="K56" s="135">
        <f>+[57]SYNTHESE!K56</f>
        <v>-2.4257661083292237E-2</v>
      </c>
      <c r="L56" s="1620"/>
    </row>
    <row r="57" spans="1:13" ht="15.75" hidden="1">
      <c r="A57" s="163"/>
      <c r="B57" s="136" t="s">
        <v>12</v>
      </c>
      <c r="C57" s="137">
        <f>+[57]SYNTHESE!C57</f>
        <v>0</v>
      </c>
      <c r="D57" s="137">
        <f>+[57]SYNTHESE!D57</f>
        <v>0</v>
      </c>
      <c r="E57" s="137">
        <f>+[57]SYNTHESE!E57</f>
        <v>0</v>
      </c>
      <c r="F57" s="137">
        <f>+[57]SYNTHESE!F57</f>
        <v>0</v>
      </c>
      <c r="G57" s="137">
        <f>+[57]SYNTHESE!G57</f>
        <v>0</v>
      </c>
      <c r="H57" s="137">
        <f>+[57]SYNTHESE!H57</f>
        <v>0</v>
      </c>
      <c r="I57" s="137">
        <f>+[57]SYNTHESE!I57</f>
        <v>0</v>
      </c>
      <c r="J57" s="137">
        <f>+[57]SYNTHESE!J57</f>
        <v>0</v>
      </c>
      <c r="K57" s="137">
        <f>+[57]SYNTHESE!K57</f>
        <v>-2.3510064286741812E-2</v>
      </c>
      <c r="L57" s="1620" t="str">
        <f>L59&amp;"HQ"</f>
        <v>MOYHQ</v>
      </c>
      <c r="M57" s="1623">
        <f>K57+K56</f>
        <v>-4.7767725370034049E-2</v>
      </c>
    </row>
    <row r="58" spans="1:13" ht="15.75" hidden="1">
      <c r="A58" s="163"/>
      <c r="B58" s="136" t="s">
        <v>144</v>
      </c>
      <c r="C58" s="137">
        <f>+[57]SYNTHESE!C58</f>
        <v>0</v>
      </c>
      <c r="D58" s="137">
        <f>+[57]SYNTHESE!D58</f>
        <v>0</v>
      </c>
      <c r="E58" s="137">
        <f>+[57]SYNTHESE!E58</f>
        <v>0</v>
      </c>
      <c r="F58" s="137">
        <f>+[57]SYNTHESE!F58</f>
        <v>0</v>
      </c>
      <c r="G58" s="137">
        <f>+[57]SYNTHESE!G58</f>
        <v>0</v>
      </c>
      <c r="H58" s="137">
        <f>+[57]SYNTHESE!H58</f>
        <v>0</v>
      </c>
      <c r="I58" s="137">
        <f>+[57]SYNTHESE!I58</f>
        <v>0</v>
      </c>
      <c r="J58" s="137">
        <f>+[57]SYNTHESE!J58</f>
        <v>0</v>
      </c>
      <c r="K58" s="137">
        <f>+[57]SYNTHESE!K58</f>
        <v>-3.1326589550222016E-2</v>
      </c>
      <c r="L58" s="1620" t="str">
        <f>L59&amp;"opé"</f>
        <v>MOYopé</v>
      </c>
      <c r="M58" s="1623">
        <f>K58</f>
        <v>-3.1326589550222016E-2</v>
      </c>
    </row>
    <row r="59" spans="1:13" ht="16.5" hidden="1">
      <c r="A59" s="163"/>
      <c r="B59" s="138" t="s">
        <v>145</v>
      </c>
      <c r="C59" s="142">
        <f>+[57]SYNTHESE!C59</f>
        <v>0</v>
      </c>
      <c r="D59" s="142">
        <f>+[57]SYNTHESE!D59</f>
        <v>0</v>
      </c>
      <c r="E59" s="142">
        <f>+[57]SYNTHESE!E59</f>
        <v>0</v>
      </c>
      <c r="F59" s="142">
        <f>+[57]SYNTHESE!F59</f>
        <v>0</v>
      </c>
      <c r="G59" s="142">
        <f>+[57]SYNTHESE!G59</f>
        <v>0</v>
      </c>
      <c r="H59" s="142">
        <f>+[57]SYNTHESE!H59</f>
        <v>0</v>
      </c>
      <c r="I59" s="142">
        <f>+[57]SYNTHESE!I59</f>
        <v>0</v>
      </c>
      <c r="J59" s="142">
        <f>+[57]SYNTHESE!J59</f>
        <v>0</v>
      </c>
      <c r="K59" s="142">
        <f>+[57]SYNTHESE!K59</f>
        <v>-7.9094314920256051E-2</v>
      </c>
      <c r="L59" s="1623" t="str">
        <f>+A56</f>
        <v>MOY</v>
      </c>
      <c r="M59" s="1623">
        <f>K59</f>
        <v>-7.9094314920256051E-2</v>
      </c>
    </row>
    <row r="60" spans="1:13" ht="15.75" hidden="1">
      <c r="A60" s="157"/>
      <c r="C60" s="52">
        <f>+[57]SYNTHESE!C60</f>
        <v>0</v>
      </c>
      <c r="D60" s="52">
        <f>+[57]SYNTHESE!D60</f>
        <v>0</v>
      </c>
      <c r="E60" s="52">
        <f>+[57]SYNTHESE!E60</f>
        <v>0</v>
      </c>
      <c r="F60" s="52">
        <f>+[57]SYNTHESE!F60</f>
        <v>0</v>
      </c>
      <c r="G60" s="52">
        <f>+[57]SYNTHESE!G60</f>
        <v>0</v>
      </c>
      <c r="H60" s="52">
        <f>+[57]SYNTHESE!H60</f>
        <v>0</v>
      </c>
      <c r="I60" s="52">
        <f>+[57]SYNTHESE!I60</f>
        <v>0</v>
      </c>
      <c r="J60" s="52">
        <f>+[57]SYNTHESE!J60</f>
        <v>0</v>
      </c>
      <c r="K60" s="52">
        <f>+[57]SYNTHESE!K60</f>
        <v>0</v>
      </c>
      <c r="L60" s="1620"/>
    </row>
    <row r="61" spans="1:13" ht="15.75">
      <c r="A61" s="151"/>
      <c r="B61" s="134" t="s">
        <v>143</v>
      </c>
      <c r="C61" s="135">
        <f>+[57]SYNTHESE!C61</f>
        <v>-2.0195188563547357E-2</v>
      </c>
      <c r="D61" s="135">
        <f>+[57]SYNTHESE!D61</f>
        <v>-2.1870372307793828E-2</v>
      </c>
      <c r="E61" s="135">
        <f>+[57]SYNTHESE!E61</f>
        <v>-2.0972748603538396E-2</v>
      </c>
      <c r="F61" s="135">
        <f>+[57]SYNTHESE!F61</f>
        <v>-2.1562296787370577E-2</v>
      </c>
      <c r="G61" s="135">
        <f>+[57]SYNTHESE!G61</f>
        <v>-2.9157920213327328E-2</v>
      </c>
      <c r="H61" s="135">
        <f>+[57]SYNTHESE!H61</f>
        <v>-2.3340352070747195E-2</v>
      </c>
      <c r="I61" s="135">
        <f>+[57]SYNTHESE!I61</f>
        <v>-2.4366458572913637E-2</v>
      </c>
      <c r="J61" s="135">
        <f>+[57]SYNTHESE!J61</f>
        <v>-3.1399691917914523E-2</v>
      </c>
      <c r="K61" s="135">
        <f>+[57]SYNTHESE!K61</f>
        <v>-3.4684106395824296E-2</v>
      </c>
      <c r="L61" s="1620"/>
    </row>
    <row r="62" spans="1:13" ht="15.75">
      <c r="A62" s="152" t="s">
        <v>203</v>
      </c>
      <c r="B62" s="136" t="s">
        <v>12</v>
      </c>
      <c r="C62" s="137">
        <f>+[57]SYNTHESE!C62</f>
        <v>-2.1901696270227082E-2</v>
      </c>
      <c r="D62" s="137">
        <f>+[57]SYNTHESE!D62</f>
        <v>-1.8601849055973656E-2</v>
      </c>
      <c r="E62" s="137">
        <f>+[57]SYNTHESE!E62</f>
        <v>-1.8423520640915372E-2</v>
      </c>
      <c r="F62" s="137">
        <f>+[57]SYNTHESE!F62</f>
        <v>-2.0475788827735087E-2</v>
      </c>
      <c r="G62" s="137">
        <f>+[57]SYNTHESE!G62</f>
        <v>-2.7588605865712199E-2</v>
      </c>
      <c r="H62" s="137">
        <f>+[57]SYNTHESE!H62</f>
        <v>-2.056303708610999E-2</v>
      </c>
      <c r="I62" s="137">
        <f>+[57]SYNTHESE!I62</f>
        <v>-2.1810280562737309E-2</v>
      </c>
      <c r="J62" s="137">
        <f>+[57]SYNTHESE!J62</f>
        <v>-2.3463115732669397E-2</v>
      </c>
      <c r="K62" s="137">
        <f>+[57]SYNTHESE!K62</f>
        <v>-2.1533881676511941E-2</v>
      </c>
      <c r="L62" s="1620" t="str">
        <f>L64&amp;"HQ"</f>
        <v>OVSHQ</v>
      </c>
      <c r="M62" s="1623">
        <f>K62+K61</f>
        <v>-5.6217988072336238E-2</v>
      </c>
    </row>
    <row r="63" spans="1:13" ht="15.75">
      <c r="A63" s="152"/>
      <c r="B63" s="136" t="s">
        <v>144</v>
      </c>
      <c r="C63" s="137">
        <f>+[57]SYNTHESE!C63</f>
        <v>-3.2388768272685269E-2</v>
      </c>
      <c r="D63" s="137">
        <f>+[57]SYNTHESE!D63</f>
        <v>-3.3620633454870659E-2</v>
      </c>
      <c r="E63" s="137">
        <f>+[57]SYNTHESE!E63</f>
        <v>-3.8628287641278243E-2</v>
      </c>
      <c r="F63" s="137">
        <f>+[57]SYNTHESE!F63</f>
        <v>-3.3431526880513089E-2</v>
      </c>
      <c r="G63" s="137">
        <f>+[57]SYNTHESE!G63</f>
        <v>-4.9979429580147942E-2</v>
      </c>
      <c r="H63" s="137">
        <f>+[57]SYNTHESE!H63</f>
        <v>-3.3278048445277882E-2</v>
      </c>
      <c r="I63" s="137">
        <f>+[57]SYNTHESE!I63</f>
        <v>-3.8253683664741238E-2</v>
      </c>
      <c r="J63" s="137">
        <f>+[57]SYNTHESE!J63</f>
        <v>-4.2210714422926475E-2</v>
      </c>
      <c r="K63" s="137">
        <f>+[57]SYNTHESE!K63</f>
        <v>-3.2724790020568356E-2</v>
      </c>
      <c r="L63" s="1620" t="str">
        <f>L64&amp;"opé"</f>
        <v>OVSopé</v>
      </c>
      <c r="M63" s="1623">
        <f>K63</f>
        <v>-3.2724790020568356E-2</v>
      </c>
    </row>
    <row r="64" spans="1:13" ht="16.5">
      <c r="A64" s="153"/>
      <c r="B64" s="141" t="s">
        <v>145</v>
      </c>
      <c r="C64" s="142">
        <f>+[57]SYNTHESE!C64</f>
        <v>-7.4485653106459715E-2</v>
      </c>
      <c r="D64" s="142">
        <f>+[57]SYNTHESE!D64</f>
        <v>-7.4092854818638157E-2</v>
      </c>
      <c r="E64" s="142">
        <f>+[57]SYNTHESE!E64</f>
        <v>-7.802455688573201E-2</v>
      </c>
      <c r="F64" s="142">
        <f>+[57]SYNTHESE!F64</f>
        <v>-7.5469612495618746E-2</v>
      </c>
      <c r="G64" s="142">
        <f>+[57]SYNTHESE!G64</f>
        <v>-0.10672595565918748</v>
      </c>
      <c r="H64" s="142">
        <f>+[57]SYNTHESE!H64</f>
        <v>-7.718143760213507E-2</v>
      </c>
      <c r="I64" s="142">
        <f>+[57]SYNTHESE!I64</f>
        <v>-8.4430422800392174E-2</v>
      </c>
      <c r="J64" s="142">
        <f>+[57]SYNTHESE!J64</f>
        <v>-9.7073522073510388E-2</v>
      </c>
      <c r="K64" s="142">
        <f>+[57]SYNTHESE!K64</f>
        <v>-8.8942778092904587E-2</v>
      </c>
      <c r="L64" s="1623" t="str">
        <f>+A62</f>
        <v>OVS</v>
      </c>
      <c r="M64" s="1623">
        <f>K64</f>
        <v>-8.8942778092904587E-2</v>
      </c>
    </row>
    <row r="65" spans="1:13" ht="15.75" hidden="1">
      <c r="A65" s="162" t="s">
        <v>931</v>
      </c>
      <c r="B65" s="134" t="s">
        <v>143</v>
      </c>
      <c r="C65" s="135">
        <f>+[57]SYNTHESE!C65</f>
        <v>0</v>
      </c>
      <c r="D65" s="135">
        <f>+[57]SYNTHESE!D65</f>
        <v>0</v>
      </c>
      <c r="E65" s="135">
        <f>+[57]SYNTHESE!E65</f>
        <v>0</v>
      </c>
      <c r="F65" s="135">
        <f>+[57]SYNTHESE!F65</f>
        <v>0</v>
      </c>
      <c r="G65" s="135">
        <f>+[57]SYNTHESE!G65</f>
        <v>0</v>
      </c>
      <c r="H65" s="135">
        <f>+[57]SYNTHESE!H65</f>
        <v>0</v>
      </c>
      <c r="I65" s="135">
        <f>+[57]SYNTHESE!I65</f>
        <v>0</v>
      </c>
      <c r="J65" s="135">
        <f>+[57]SYNTHESE!J65</f>
        <v>0</v>
      </c>
      <c r="K65" s="135">
        <f>+[57]SYNTHESE!K65</f>
        <v>-3.4684106395824296E-2</v>
      </c>
      <c r="L65" s="1620"/>
    </row>
    <row r="66" spans="1:13" ht="15.75" hidden="1">
      <c r="A66" s="163"/>
      <c r="B66" s="136" t="s">
        <v>12</v>
      </c>
      <c r="C66" s="137">
        <f>+[57]SYNTHESE!C66</f>
        <v>0</v>
      </c>
      <c r="D66" s="137">
        <f>+[57]SYNTHESE!D66</f>
        <v>0</v>
      </c>
      <c r="E66" s="137">
        <f>+[57]SYNTHESE!E66</f>
        <v>0</v>
      </c>
      <c r="F66" s="137">
        <f>+[57]SYNTHESE!F66</f>
        <v>0</v>
      </c>
      <c r="G66" s="137">
        <f>+[57]SYNTHESE!G66</f>
        <v>0</v>
      </c>
      <c r="H66" s="137">
        <f>+[57]SYNTHESE!H66</f>
        <v>0</v>
      </c>
      <c r="I66" s="137">
        <f>+[57]SYNTHESE!I66</f>
        <v>0</v>
      </c>
      <c r="J66" s="137">
        <f>+[57]SYNTHESE!J66</f>
        <v>0</v>
      </c>
      <c r="K66" s="137">
        <f>+[57]SYNTHESE!K66</f>
        <v>-2.1533881676511941E-2</v>
      </c>
      <c r="L66" s="1620" t="str">
        <f>L68&amp;"HQ"</f>
        <v>AIRHQ</v>
      </c>
      <c r="M66" s="1623">
        <f>K66+K65</f>
        <v>-5.6217988072336238E-2</v>
      </c>
    </row>
    <row r="67" spans="1:13" s="166" customFormat="1" ht="16.5" hidden="1">
      <c r="A67" s="163"/>
      <c r="B67" s="136" t="s">
        <v>144</v>
      </c>
      <c r="C67" s="137">
        <f>+[57]SYNTHESE!C67</f>
        <v>0</v>
      </c>
      <c r="D67" s="137">
        <f>+[57]SYNTHESE!D67</f>
        <v>0</v>
      </c>
      <c r="E67" s="137">
        <f>+[57]SYNTHESE!E67</f>
        <v>0</v>
      </c>
      <c r="F67" s="137">
        <f>+[57]SYNTHESE!F67</f>
        <v>0</v>
      </c>
      <c r="G67" s="137">
        <f>+[57]SYNTHESE!G67</f>
        <v>0</v>
      </c>
      <c r="H67" s="137">
        <f>+[57]SYNTHESE!H67</f>
        <v>0</v>
      </c>
      <c r="I67" s="137">
        <f>+[57]SYNTHESE!I67</f>
        <v>0</v>
      </c>
      <c r="J67" s="137">
        <f>+[57]SYNTHESE!J67</f>
        <v>0</v>
      </c>
      <c r="K67" s="137">
        <f>+[57]SYNTHESE!K67</f>
        <v>-3.2724790020568356E-2</v>
      </c>
      <c r="L67" s="1620" t="str">
        <f>L68&amp;"opé"</f>
        <v>AIRopé</v>
      </c>
      <c r="M67" s="1623">
        <f>K67</f>
        <v>-3.2724790020568356E-2</v>
      </c>
    </row>
    <row r="68" spans="1:13" ht="16.5" hidden="1">
      <c r="A68" s="163"/>
      <c r="B68" s="138" t="s">
        <v>145</v>
      </c>
      <c r="C68" s="142">
        <f>+[57]SYNTHESE!C68</f>
        <v>0</v>
      </c>
      <c r="D68" s="142">
        <f>+[57]SYNTHESE!D68</f>
        <v>0</v>
      </c>
      <c r="E68" s="142">
        <f>+[57]SYNTHESE!E68</f>
        <v>0</v>
      </c>
      <c r="F68" s="142">
        <f>+[57]SYNTHESE!F68</f>
        <v>0</v>
      </c>
      <c r="G68" s="142">
        <f>+[57]SYNTHESE!G68</f>
        <v>0</v>
      </c>
      <c r="H68" s="142">
        <f>+[57]SYNTHESE!H68</f>
        <v>0</v>
      </c>
      <c r="I68" s="142">
        <f>+[57]SYNTHESE!I68</f>
        <v>0</v>
      </c>
      <c r="J68" s="142">
        <f>+[57]SYNTHESE!J68</f>
        <v>0</v>
      </c>
      <c r="K68" s="142">
        <f>+[57]SYNTHESE!K68</f>
        <v>-8.8942778092904587E-2</v>
      </c>
      <c r="L68" s="1623" t="str">
        <f>+A65</f>
        <v>AIR</v>
      </c>
      <c r="M68" s="1623">
        <f>K68</f>
        <v>-8.8942778092904587E-2</v>
      </c>
    </row>
    <row r="69" spans="1:13" ht="15.75" hidden="1">
      <c r="A69" s="162" t="s">
        <v>932</v>
      </c>
      <c r="B69" s="134" t="s">
        <v>143</v>
      </c>
      <c r="C69" s="135">
        <f>+[57]SYNTHESE!C69</f>
        <v>0</v>
      </c>
      <c r="D69" s="135">
        <f>+[57]SYNTHESE!D69</f>
        <v>0</v>
      </c>
      <c r="E69" s="135">
        <f>+[57]SYNTHESE!E69</f>
        <v>0</v>
      </c>
      <c r="F69" s="135">
        <f>+[57]SYNTHESE!F69</f>
        <v>0</v>
      </c>
      <c r="G69" s="135">
        <f>+[57]SYNTHESE!G69</f>
        <v>0</v>
      </c>
      <c r="H69" s="135">
        <f>+[57]SYNTHESE!H69</f>
        <v>0</v>
      </c>
      <c r="I69" s="135">
        <f>+[57]SYNTHESE!I69</f>
        <v>0</v>
      </c>
      <c r="J69" s="135">
        <f>+[57]SYNTHESE!J69</f>
        <v>0</v>
      </c>
      <c r="K69" s="135">
        <f>+[57]SYNTHESE!K69</f>
        <v>-3.4684106395824296E-2</v>
      </c>
      <c r="L69" s="1620"/>
    </row>
    <row r="70" spans="1:13" ht="15.75" hidden="1">
      <c r="A70" s="163"/>
      <c r="B70" s="136" t="s">
        <v>12</v>
      </c>
      <c r="C70" s="137">
        <f>+[57]SYNTHESE!C70</f>
        <v>0</v>
      </c>
      <c r="D70" s="137">
        <f>+[57]SYNTHESE!D70</f>
        <v>0</v>
      </c>
      <c r="E70" s="137">
        <f>+[57]SYNTHESE!E70</f>
        <v>0</v>
      </c>
      <c r="F70" s="137">
        <f>+[57]SYNTHESE!F70</f>
        <v>0</v>
      </c>
      <c r="G70" s="137">
        <f>+[57]SYNTHESE!G70</f>
        <v>0</v>
      </c>
      <c r="H70" s="137">
        <f>+[57]SYNTHESE!H70</f>
        <v>0</v>
      </c>
      <c r="I70" s="137">
        <f>+[57]SYNTHESE!I70</f>
        <v>0</v>
      </c>
      <c r="J70" s="137">
        <f>+[57]SYNTHESE!J70</f>
        <v>0</v>
      </c>
      <c r="K70" s="137">
        <f>+[57]SYNTHESE!K70</f>
        <v>-2.1533881676511941E-2</v>
      </c>
      <c r="L70" s="1620" t="str">
        <f>L72&amp;"HQ"</f>
        <v>SEAHQ</v>
      </c>
      <c r="M70" s="1623">
        <f>K70+K69</f>
        <v>-5.6217988072336238E-2</v>
      </c>
    </row>
    <row r="71" spans="1:13" ht="15.75" hidden="1">
      <c r="A71" s="163"/>
      <c r="B71" s="136" t="s">
        <v>144</v>
      </c>
      <c r="C71" s="137">
        <f>+[57]SYNTHESE!C71</f>
        <v>0</v>
      </c>
      <c r="D71" s="137">
        <f>+[57]SYNTHESE!D71</f>
        <v>0</v>
      </c>
      <c r="E71" s="137">
        <f>+[57]SYNTHESE!E71</f>
        <v>0</v>
      </c>
      <c r="F71" s="137">
        <f>+[57]SYNTHESE!F71</f>
        <v>0</v>
      </c>
      <c r="G71" s="137">
        <f>+[57]SYNTHESE!G71</f>
        <v>0</v>
      </c>
      <c r="H71" s="137">
        <f>+[57]SYNTHESE!H71</f>
        <v>0</v>
      </c>
      <c r="I71" s="137">
        <f>+[57]SYNTHESE!I71</f>
        <v>0</v>
      </c>
      <c r="J71" s="137">
        <f>+[57]SYNTHESE!J71</f>
        <v>0</v>
      </c>
      <c r="K71" s="137">
        <f>+[57]SYNTHESE!K71</f>
        <v>-3.2724790020568356E-2</v>
      </c>
      <c r="L71" s="1620" t="str">
        <f>L72&amp;"opé"</f>
        <v>SEAopé</v>
      </c>
      <c r="M71" s="1623">
        <f>K71</f>
        <v>-3.2724790020568356E-2</v>
      </c>
    </row>
    <row r="72" spans="1:13" ht="16.5" hidden="1">
      <c r="A72" s="163"/>
      <c r="B72" s="138" t="s">
        <v>145</v>
      </c>
      <c r="C72" s="142">
        <f>+[57]SYNTHESE!C72</f>
        <v>0</v>
      </c>
      <c r="D72" s="142">
        <f>+[57]SYNTHESE!D72</f>
        <v>0</v>
      </c>
      <c r="E72" s="142">
        <f>+[57]SYNTHESE!E72</f>
        <v>0</v>
      </c>
      <c r="F72" s="142">
        <f>+[57]SYNTHESE!F72</f>
        <v>0</v>
      </c>
      <c r="G72" s="142">
        <f>+[57]SYNTHESE!G72</f>
        <v>0</v>
      </c>
      <c r="H72" s="142">
        <f>+[57]SYNTHESE!H72</f>
        <v>0</v>
      </c>
      <c r="I72" s="142">
        <f>+[57]SYNTHESE!I72</f>
        <v>0</v>
      </c>
      <c r="J72" s="142">
        <f>+[57]SYNTHESE!J72</f>
        <v>0</v>
      </c>
      <c r="K72" s="142">
        <f>+[57]SYNTHESE!K72</f>
        <v>-8.8942778092904587E-2</v>
      </c>
      <c r="L72" s="1623" t="str">
        <f>+A69</f>
        <v>SEA</v>
      </c>
      <c r="M72" s="1623">
        <f>K72</f>
        <v>-8.8942778092904587E-2</v>
      </c>
    </row>
    <row r="73" spans="1:13" ht="15.75" hidden="1">
      <c r="A73" s="162" t="s">
        <v>933</v>
      </c>
      <c r="B73" s="134" t="s">
        <v>143</v>
      </c>
      <c r="C73" s="135">
        <f>+[57]SYNTHESE!C73</f>
        <v>0</v>
      </c>
      <c r="D73" s="135">
        <f>+[57]SYNTHESE!D73</f>
        <v>0</v>
      </c>
      <c r="E73" s="135">
        <f>+[57]SYNTHESE!E73</f>
        <v>0</v>
      </c>
      <c r="F73" s="135">
        <f>+[57]SYNTHESE!F73</f>
        <v>0</v>
      </c>
      <c r="G73" s="135">
        <f>+[57]SYNTHESE!G73</f>
        <v>0</v>
      </c>
      <c r="H73" s="135">
        <f>+[57]SYNTHESE!H73</f>
        <v>0</v>
      </c>
      <c r="I73" s="135">
        <f>+[57]SYNTHESE!I73</f>
        <v>0</v>
      </c>
      <c r="J73" s="135">
        <f>+[57]SYNTHESE!J73</f>
        <v>0</v>
      </c>
      <c r="K73" s="135">
        <f>+[57]SYNTHESE!K73</f>
        <v>-3.4684106395824296E-2</v>
      </c>
      <c r="L73" s="1620"/>
    </row>
    <row r="74" spans="1:13" ht="15.75" hidden="1">
      <c r="A74" s="163"/>
      <c r="B74" s="136" t="s">
        <v>12</v>
      </c>
      <c r="C74" s="137">
        <f>+[57]SYNTHESE!C74</f>
        <v>0</v>
      </c>
      <c r="D74" s="137">
        <f>+[57]SYNTHESE!D74</f>
        <v>0</v>
      </c>
      <c r="E74" s="137">
        <f>+[57]SYNTHESE!E74</f>
        <v>0</v>
      </c>
      <c r="F74" s="137">
        <f>+[57]SYNTHESE!F74</f>
        <v>0</v>
      </c>
      <c r="G74" s="137">
        <f>+[57]SYNTHESE!G74</f>
        <v>0</v>
      </c>
      <c r="H74" s="137">
        <f>+[57]SYNTHESE!H74</f>
        <v>0</v>
      </c>
      <c r="I74" s="137">
        <f>+[57]SYNTHESE!I74</f>
        <v>0</v>
      </c>
      <c r="J74" s="137">
        <f>+[57]SYNTHESE!J74</f>
        <v>0</v>
      </c>
      <c r="K74" s="137">
        <f>+[57]SYNTHESE!K74</f>
        <v>-2.1533881676511941E-2</v>
      </c>
      <c r="L74" s="1620" t="str">
        <f>L76&amp;"HQ"</f>
        <v>ROMHQ</v>
      </c>
      <c r="M74" s="1623">
        <f>K74+K73</f>
        <v>-5.6217988072336238E-2</v>
      </c>
    </row>
    <row r="75" spans="1:13" ht="15.75" hidden="1">
      <c r="A75" s="163"/>
      <c r="B75" s="136" t="s">
        <v>144</v>
      </c>
      <c r="C75" s="137">
        <f>+[57]SYNTHESE!C75</f>
        <v>0</v>
      </c>
      <c r="D75" s="137">
        <f>+[57]SYNTHESE!D75</f>
        <v>0</v>
      </c>
      <c r="E75" s="137">
        <f>+[57]SYNTHESE!E75</f>
        <v>0</v>
      </c>
      <c r="F75" s="137">
        <f>+[57]SYNTHESE!F75</f>
        <v>0</v>
      </c>
      <c r="G75" s="137">
        <f>+[57]SYNTHESE!G75</f>
        <v>0</v>
      </c>
      <c r="H75" s="137">
        <f>+[57]SYNTHESE!H75</f>
        <v>0</v>
      </c>
      <c r="I75" s="137">
        <f>+[57]SYNTHESE!I75</f>
        <v>0</v>
      </c>
      <c r="J75" s="137">
        <f>+[57]SYNTHESE!J75</f>
        <v>0</v>
      </c>
      <c r="K75" s="137">
        <f>+[57]SYNTHESE!K75</f>
        <v>-3.2724790020568356E-2</v>
      </c>
      <c r="L75" s="1620" t="str">
        <f>L76&amp;"opé"</f>
        <v>ROMopé</v>
      </c>
      <c r="M75" s="1623">
        <f>K75</f>
        <v>-3.2724790020568356E-2</v>
      </c>
    </row>
    <row r="76" spans="1:13" ht="16.5" hidden="1">
      <c r="A76" s="163"/>
      <c r="B76" s="138" t="s">
        <v>145</v>
      </c>
      <c r="C76" s="142">
        <f>+[57]SYNTHESE!C76</f>
        <v>0</v>
      </c>
      <c r="D76" s="142">
        <f>+[57]SYNTHESE!D76</f>
        <v>0</v>
      </c>
      <c r="E76" s="142">
        <f>+[57]SYNTHESE!E76</f>
        <v>0</v>
      </c>
      <c r="F76" s="142">
        <f>+[57]SYNTHESE!F76</f>
        <v>0</v>
      </c>
      <c r="G76" s="142">
        <f>+[57]SYNTHESE!G76</f>
        <v>0</v>
      </c>
      <c r="H76" s="142">
        <f>+[57]SYNTHESE!H76</f>
        <v>0</v>
      </c>
      <c r="I76" s="142">
        <f>+[57]SYNTHESE!I76</f>
        <v>0</v>
      </c>
      <c r="J76" s="142">
        <f>+[57]SYNTHESE!J76</f>
        <v>0</v>
      </c>
      <c r="K76" s="142">
        <f>+[57]SYNTHESE!K76</f>
        <v>-8.8942778092904587E-2</v>
      </c>
      <c r="L76" s="1623" t="str">
        <f>+A73</f>
        <v>ROM</v>
      </c>
      <c r="M76" s="1623">
        <f>K76</f>
        <v>-8.8942778092904587E-2</v>
      </c>
    </row>
    <row r="77" spans="1:13" ht="15.75" hidden="1">
      <c r="A77" s="157"/>
      <c r="C77" s="52">
        <f>+[57]SYNTHESE!C77</f>
        <v>0</v>
      </c>
      <c r="D77" s="52">
        <f>+[57]SYNTHESE!D77</f>
        <v>0</v>
      </c>
      <c r="E77" s="52">
        <f>+[57]SYNTHESE!E77</f>
        <v>0</v>
      </c>
      <c r="F77" s="52">
        <f>+[57]SYNTHESE!F77</f>
        <v>0</v>
      </c>
      <c r="G77" s="52">
        <f>+[57]SYNTHESE!G77</f>
        <v>0</v>
      </c>
      <c r="H77" s="52">
        <f>+[57]SYNTHESE!H77</f>
        <v>0</v>
      </c>
      <c r="I77" s="52">
        <f>+[57]SYNTHESE!I77</f>
        <v>0</v>
      </c>
      <c r="J77" s="52">
        <f>+[57]SYNTHESE!J77</f>
        <v>0</v>
      </c>
      <c r="K77" s="52">
        <f>+[57]SYNTHESE!K77</f>
        <v>0</v>
      </c>
      <c r="L77" s="1620"/>
    </row>
    <row r="78" spans="1:13" ht="15.75">
      <c r="A78" s="151"/>
      <c r="B78" s="134" t="s">
        <v>143</v>
      </c>
      <c r="C78" s="135">
        <f>+[57]SYNTHESE!C78</f>
        <v>0</v>
      </c>
      <c r="D78" s="135">
        <f>+[57]SYNTHESE!D78</f>
        <v>0</v>
      </c>
      <c r="E78" s="135">
        <f>+[57]SYNTHESE!E78</f>
        <v>0</v>
      </c>
      <c r="F78" s="135">
        <f>+[57]SYNTHESE!F78</f>
        <v>-1.7225232813759046E-2</v>
      </c>
      <c r="G78" s="135">
        <f>+[57]SYNTHESE!G78</f>
        <v>-2.1480108594860346E-2</v>
      </c>
      <c r="H78" s="135">
        <f>+[57]SYNTHESE!H78</f>
        <v>-2.3506881703153869E-2</v>
      </c>
      <c r="I78" s="135">
        <f>+[57]SYNTHESE!I78</f>
        <v>-2.0031855828910854E-2</v>
      </c>
      <c r="J78" s="135">
        <f>+[57]SYNTHESE!J78</f>
        <v>-1.9915688556705349E-2</v>
      </c>
      <c r="K78" s="135">
        <f>+[57]SYNTHESE!K78</f>
        <v>-2.2075374010325118E-2</v>
      </c>
      <c r="L78" s="1620"/>
    </row>
    <row r="79" spans="1:13" ht="15.75">
      <c r="A79" s="152" t="s">
        <v>934</v>
      </c>
      <c r="B79" s="136" t="s">
        <v>12</v>
      </c>
      <c r="C79" s="137">
        <f>+[57]SYNTHESE!C79</f>
        <v>0</v>
      </c>
      <c r="D79" s="137">
        <f>+[57]SYNTHESE!D79</f>
        <v>0</v>
      </c>
      <c r="E79" s="137">
        <f>+[57]SYNTHESE!E79</f>
        <v>0</v>
      </c>
      <c r="F79" s="137">
        <f>+[57]SYNTHESE!F79</f>
        <v>-2.9841978177585847E-2</v>
      </c>
      <c r="G79" s="137">
        <f>+[57]SYNTHESE!G79</f>
        <v>-3.1610213330158711E-2</v>
      </c>
      <c r="H79" s="137">
        <f>+[57]SYNTHESE!H79</f>
        <v>-3.1644263247019612E-2</v>
      </c>
      <c r="I79" s="137">
        <f>+[57]SYNTHESE!I79</f>
        <v>-2.5114513133870642E-2</v>
      </c>
      <c r="J79" s="137">
        <f>+[57]SYNTHESE!J79</f>
        <v>-2.3399148258717514E-2</v>
      </c>
      <c r="K79" s="137">
        <f>+[57]SYNTHESE!K79</f>
        <v>-2.2704932957110253E-2</v>
      </c>
      <c r="L79" s="1620" t="str">
        <f>L81&amp;"HQ"</f>
        <v>WRPHQ</v>
      </c>
      <c r="M79" s="1623">
        <f>K79+K78</f>
        <v>-4.4780306967435374E-2</v>
      </c>
    </row>
    <row r="80" spans="1:13" ht="15.75">
      <c r="A80" s="152"/>
      <c r="B80" s="136" t="s">
        <v>144</v>
      </c>
      <c r="C80" s="137">
        <f>+[57]SYNTHESE!C80</f>
        <v>0</v>
      </c>
      <c r="D80" s="137">
        <f>+[57]SYNTHESE!D80</f>
        <v>0</v>
      </c>
      <c r="E80" s="137">
        <f>+[57]SYNTHESE!E80</f>
        <v>0</v>
      </c>
      <c r="F80" s="137">
        <f>+[57]SYNTHESE!F80</f>
        <v>-4.9040597770072664E-2</v>
      </c>
      <c r="G80" s="137">
        <f>+[57]SYNTHESE!G80</f>
        <v>-4.8514086198301325E-2</v>
      </c>
      <c r="H80" s="137">
        <f>+[57]SYNTHESE!H80</f>
        <v>-4.1074150105510847E-2</v>
      </c>
      <c r="I80" s="137">
        <f>+[57]SYNTHESE!I80</f>
        <v>-4.2983102713581509E-2</v>
      </c>
      <c r="J80" s="137">
        <f>+[57]SYNTHESE!J80</f>
        <v>-4.0546384237214406E-2</v>
      </c>
      <c r="K80" s="137">
        <f>+[57]SYNTHESE!K80</f>
        <v>-3.9096532090425011E-2</v>
      </c>
      <c r="L80" s="1620" t="str">
        <f>L81&amp;"opé"</f>
        <v>WRPopé</v>
      </c>
      <c r="M80" s="1623">
        <f>K80</f>
        <v>-3.9096532090425011E-2</v>
      </c>
    </row>
    <row r="81" spans="1:13" ht="16.5">
      <c r="A81" s="153"/>
      <c r="B81" s="141" t="s">
        <v>145</v>
      </c>
      <c r="C81" s="142">
        <f>+[57]SYNTHESE!C81</f>
        <v>0</v>
      </c>
      <c r="D81" s="142">
        <f>+[57]SYNTHESE!D81</f>
        <v>0</v>
      </c>
      <c r="E81" s="142">
        <f>+[57]SYNTHESE!E81</f>
        <v>0</v>
      </c>
      <c r="F81" s="142">
        <f>+[57]SYNTHESE!F81</f>
        <v>-9.6107808761417543E-2</v>
      </c>
      <c r="G81" s="142">
        <f>+[57]SYNTHESE!G81</f>
        <v>-0.10160440812332039</v>
      </c>
      <c r="H81" s="142">
        <f>+[57]SYNTHESE!H81</f>
        <v>-9.6225295055684321E-2</v>
      </c>
      <c r="I81" s="142">
        <f>+[57]SYNTHESE!I81</f>
        <v>-8.8129471676362994E-2</v>
      </c>
      <c r="J81" s="142">
        <f>+[57]SYNTHESE!J81</f>
        <v>-8.3861221052637255E-2</v>
      </c>
      <c r="K81" s="142">
        <f>+[57]SYNTHESE!K81</f>
        <v>-8.3876839057860392E-2</v>
      </c>
      <c r="L81" s="1623" t="str">
        <f>+A79</f>
        <v>WRP</v>
      </c>
      <c r="M81" s="1623">
        <f>K81</f>
        <v>-8.3876839057860392E-2</v>
      </c>
    </row>
    <row r="82" spans="1:13" ht="15.75" hidden="1">
      <c r="A82" s="162" t="s">
        <v>1199</v>
      </c>
      <c r="B82" s="134" t="s">
        <v>143</v>
      </c>
      <c r="C82" s="135">
        <f>+[57]SYNTHESE!C82</f>
        <v>-1.9367055897822717E-2</v>
      </c>
      <c r="D82" s="135">
        <f>+[57]SYNTHESE!D82</f>
        <v>-2.1103095779541343E-2</v>
      </c>
      <c r="E82" s="135">
        <f>+[57]SYNTHESE!E82</f>
        <v>-2.306554964725669E-2</v>
      </c>
      <c r="F82" s="135">
        <f>+[57]SYNTHESE!F82</f>
        <v>-1.7688646935724139E-2</v>
      </c>
      <c r="G82" s="135">
        <f>+[57]SYNTHESE!G82</f>
        <v>-2.1934804223990311E-2</v>
      </c>
      <c r="H82" s="135">
        <f>+[57]SYNTHESE!H82</f>
        <v>-2.5198867894066043E-2</v>
      </c>
      <c r="I82" s="135">
        <f>+[57]SYNTHESE!I82</f>
        <v>-2.141094934318355E-2</v>
      </c>
      <c r="J82" s="135">
        <f>+[57]SYNTHESE!J82</f>
        <v>-2.0255396733631144E-2</v>
      </c>
      <c r="K82" s="135">
        <f>+[57]SYNTHESE!K82</f>
        <v>-2.2566754851168106E-2</v>
      </c>
      <c r="L82" s="1620"/>
    </row>
    <row r="83" spans="1:13" ht="15.75" hidden="1">
      <c r="A83" s="163"/>
      <c r="B83" s="136" t="s">
        <v>12</v>
      </c>
      <c r="C83" s="137">
        <f>+[57]SYNTHESE!C83</f>
        <v>-3.6311046652681048E-2</v>
      </c>
      <c r="D83" s="137">
        <f>+[57]SYNTHESE!D83</f>
        <v>-3.0895418585394002E-2</v>
      </c>
      <c r="E83" s="137">
        <f>+[57]SYNTHESE!E83</f>
        <v>-3.0049570025455247E-2</v>
      </c>
      <c r="F83" s="137">
        <f>+[57]SYNTHESE!F83</f>
        <v>-2.9305095980813597E-2</v>
      </c>
      <c r="G83" s="137">
        <f>+[57]SYNTHESE!G83</f>
        <v>-3.3890962490179824E-2</v>
      </c>
      <c r="H83" s="137">
        <f>+[57]SYNTHESE!H83</f>
        <v>-3.4805389366410061E-2</v>
      </c>
      <c r="I83" s="137">
        <f>+[57]SYNTHESE!I83</f>
        <v>-2.7622107838449823E-2</v>
      </c>
      <c r="J83" s="137">
        <f>+[57]SYNTHESE!J83</f>
        <v>-2.5870681016997767E-2</v>
      </c>
      <c r="K83" s="137">
        <f>+[57]SYNTHESE!K83</f>
        <v>-2.520479592348137E-2</v>
      </c>
      <c r="L83" s="1620" t="str">
        <f>L85&amp;"HQ"</f>
        <v>WHSHQ</v>
      </c>
      <c r="M83" s="1623">
        <f>K83+K82</f>
        <v>-4.7771550774649479E-2</v>
      </c>
    </row>
    <row r="84" spans="1:13" ht="15.75" hidden="1">
      <c r="A84" s="163"/>
      <c r="B84" s="136" t="s">
        <v>144</v>
      </c>
      <c r="C84" s="137">
        <f>+[57]SYNTHESE!C84</f>
        <v>-6.8688003690391991E-2</v>
      </c>
      <c r="D84" s="137">
        <f>+[57]SYNTHESE!D84</f>
        <v>-6.5918444369191254E-2</v>
      </c>
      <c r="E84" s="137">
        <f>+[57]SYNTHESE!E84</f>
        <v>-6.4228609339234119E-2</v>
      </c>
      <c r="F84" s="137">
        <f>+[57]SYNTHESE!F84</f>
        <v>-3.7227538225996178E-2</v>
      </c>
      <c r="G84" s="137">
        <f>+[57]SYNTHESE!G84</f>
        <v>-4.2675982190657498E-2</v>
      </c>
      <c r="H84" s="137">
        <f>+[57]SYNTHESE!H84</f>
        <v>-3.2475569585037042E-2</v>
      </c>
      <c r="I84" s="137">
        <f>+[57]SYNTHESE!I84</f>
        <v>-3.2941984070579244E-2</v>
      </c>
      <c r="J84" s="137">
        <f>+[57]SYNTHESE!J84</f>
        <v>-3.1900942562200253E-2</v>
      </c>
      <c r="K84" s="137">
        <f>+[57]SYNTHESE!K84</f>
        <v>-3.652630345786425E-2</v>
      </c>
      <c r="L84" s="1620" t="str">
        <f>L85&amp;"opé"</f>
        <v>WHSopé</v>
      </c>
      <c r="M84" s="1623">
        <f>K84</f>
        <v>-3.652630345786425E-2</v>
      </c>
    </row>
    <row r="85" spans="1:13" ht="16.5" hidden="1">
      <c r="A85" s="163"/>
      <c r="B85" s="138" t="s">
        <v>145</v>
      </c>
      <c r="C85" s="142">
        <f>+[57]SYNTHESE!C85</f>
        <v>-0.12436610624089575</v>
      </c>
      <c r="D85" s="142">
        <f>+[57]SYNTHESE!D85</f>
        <v>-0.1179169587341266</v>
      </c>
      <c r="E85" s="142">
        <f>+[57]SYNTHESE!E85</f>
        <v>-0.11734372901194606</v>
      </c>
      <c r="F85" s="142">
        <f>+[57]SYNTHESE!F85</f>
        <v>-8.422128114253391E-2</v>
      </c>
      <c r="G85" s="142">
        <f>+[57]SYNTHESE!G85</f>
        <v>-9.850174890482763E-2</v>
      </c>
      <c r="H85" s="142">
        <f>+[57]SYNTHESE!H85</f>
        <v>-9.2479826845513147E-2</v>
      </c>
      <c r="I85" s="142">
        <f>+[57]SYNTHESE!I85</f>
        <v>-8.1975041252212624E-2</v>
      </c>
      <c r="J85" s="142">
        <f>+[57]SYNTHESE!J85</f>
        <v>-7.8027020312829168E-2</v>
      </c>
      <c r="K85" s="142">
        <f>+[57]SYNTHESE!K85</f>
        <v>-8.4297854232513722E-2</v>
      </c>
      <c r="L85" s="1623" t="str">
        <f>+A82</f>
        <v>WHS</v>
      </c>
      <c r="M85" s="1623">
        <f>K85</f>
        <v>-8.4297854232513722E-2</v>
      </c>
    </row>
    <row r="86" spans="1:13" ht="15.75" hidden="1">
      <c r="A86" s="162"/>
      <c r="C86" s="52">
        <f>+[57]SYNTHESE!C86</f>
        <v>0</v>
      </c>
      <c r="D86" s="52">
        <f>+[57]SYNTHESE!D86</f>
        <v>0</v>
      </c>
      <c r="E86" s="52">
        <f>+[57]SYNTHESE!E86</f>
        <v>0</v>
      </c>
      <c r="F86" s="52">
        <f>+[57]SYNTHESE!F86</f>
        <v>0</v>
      </c>
      <c r="G86" s="52">
        <f>+[57]SYNTHESE!G86</f>
        <v>0</v>
      </c>
      <c r="H86" s="52">
        <f>+[57]SYNTHESE!H86</f>
        <v>0</v>
      </c>
      <c r="I86" s="52">
        <f>+[57]SYNTHESE!I86</f>
        <v>0</v>
      </c>
      <c r="J86" s="52">
        <f>+[57]SYNTHESE!J86</f>
        <v>0</v>
      </c>
      <c r="K86" s="52">
        <f>+[57]SYNTHESE!K86</f>
        <v>0</v>
      </c>
      <c r="L86" s="1620"/>
    </row>
    <row r="87" spans="1:13" ht="15.75" hidden="1">
      <c r="A87" s="163" t="s">
        <v>935</v>
      </c>
      <c r="B87" s="134" t="s">
        <v>143</v>
      </c>
      <c r="C87" s="135">
        <f>+[57]SYNTHESE!C87</f>
        <v>-1.8003182742498774E-2</v>
      </c>
      <c r="D87" s="135">
        <f>+[57]SYNTHESE!D87</f>
        <v>-1.8434457331215473E-2</v>
      </c>
      <c r="E87" s="135">
        <f>+[57]SYNTHESE!E87</f>
        <v>-1.6951891586783136E-2</v>
      </c>
      <c r="F87" s="135">
        <f>+[57]SYNTHESE!F87</f>
        <v>-1.622103005058927E-2</v>
      </c>
      <c r="G87" s="135">
        <f>+[57]SYNTHESE!G87</f>
        <v>-2.0564729033644497E-2</v>
      </c>
      <c r="H87" s="135">
        <f>+[57]SYNTHESE!H87</f>
        <v>-1.9922284775195316E-2</v>
      </c>
      <c r="I87" s="135">
        <f>+[57]SYNTHESE!I87</f>
        <v>-1.7234837759532457E-2</v>
      </c>
      <c r="J87" s="135">
        <f>+[57]SYNTHESE!J87</f>
        <v>-1.9135771068642605E-2</v>
      </c>
      <c r="K87" s="135">
        <f>+[57]SYNTHESE!K87</f>
        <v>-2.099257423532154E-2</v>
      </c>
      <c r="L87" s="1620"/>
    </row>
    <row r="88" spans="1:13" ht="15.75" hidden="1">
      <c r="A88" s="163"/>
      <c r="B88" s="136" t="s">
        <v>12</v>
      </c>
      <c r="C88" s="137">
        <f>+[57]SYNTHESE!C88</f>
        <v>-3.4050817680894137E-2</v>
      </c>
      <c r="D88" s="137">
        <f>+[57]SYNTHESE!D88</f>
        <v>-5.2736197110738993E-2</v>
      </c>
      <c r="E88" s="137">
        <f>+[57]SYNTHESE!E88</f>
        <v>-2.8507741906401533E-2</v>
      </c>
      <c r="F88" s="137">
        <f>+[57]SYNTHESE!F88</f>
        <v>-3.1005383779489248E-2</v>
      </c>
      <c r="G88" s="137">
        <f>+[57]SYNTHESE!G88</f>
        <v>-2.7018677736692937E-2</v>
      </c>
      <c r="H88" s="137">
        <f>+[57]SYNTHESE!H88</f>
        <v>-2.4947185553762755E-2</v>
      </c>
      <c r="I88" s="137">
        <f>+[57]SYNTHESE!I88</f>
        <v>-2.0028717553804781E-2</v>
      </c>
      <c r="J88" s="137">
        <f>+[57]SYNTHESE!J88</f>
        <v>-1.7724890906579124E-2</v>
      </c>
      <c r="K88" s="137">
        <f>+[57]SYNTHESE!K88</f>
        <v>-1.719627076978782E-2</v>
      </c>
      <c r="L88" s="1620" t="str">
        <f>L90&amp;"HQ"</f>
        <v>RPSHQ</v>
      </c>
      <c r="M88" s="1623">
        <f>K88+K87</f>
        <v>-3.8188845005109356E-2</v>
      </c>
    </row>
    <row r="89" spans="1:13" ht="15.75" hidden="1">
      <c r="A89" s="163"/>
      <c r="B89" s="136" t="s">
        <v>144</v>
      </c>
      <c r="C89" s="137">
        <f>+[57]SYNTHESE!C89</f>
        <v>-9.2379745975537567E-2</v>
      </c>
      <c r="D89" s="137">
        <f>+[57]SYNTHESE!D89</f>
        <v>-0.10156387588705039</v>
      </c>
      <c r="E89" s="137">
        <f>+[57]SYNTHESE!E89</f>
        <v>-8.5768494166058043E-2</v>
      </c>
      <c r="F89" s="137">
        <f>+[57]SYNTHESE!F89</f>
        <v>-7.4639099139316975E-2</v>
      </c>
      <c r="G89" s="137">
        <f>+[57]SYNTHESE!G89</f>
        <v>-6.0267181549305979E-2</v>
      </c>
      <c r="H89" s="137">
        <f>+[57]SYNTHESE!H89</f>
        <v>-5.929087402680825E-2</v>
      </c>
      <c r="I89" s="137">
        <f>+[57]SYNTHESE!I89</f>
        <v>-6.3348067083717929E-2</v>
      </c>
      <c r="J89" s="137">
        <f>+[57]SYNTHESE!J89</f>
        <v>-6.0394982570609386E-2</v>
      </c>
      <c r="K89" s="137">
        <f>+[57]SYNTHESE!K89</f>
        <v>-4.4760251050794224E-2</v>
      </c>
      <c r="L89" s="1620" t="str">
        <f>L90&amp;"opé"</f>
        <v>RPSopé</v>
      </c>
      <c r="M89" s="1623">
        <f>K89</f>
        <v>-4.4760251050794224E-2</v>
      </c>
    </row>
    <row r="90" spans="1:13" ht="16.5" hidden="1">
      <c r="A90" s="162"/>
      <c r="B90" s="138" t="s">
        <v>145</v>
      </c>
      <c r="C90" s="142">
        <f>+[57]SYNTHESE!C90</f>
        <v>-0.1444337463989305</v>
      </c>
      <c r="D90" s="142">
        <f>+[57]SYNTHESE!D90</f>
        <v>-0.17273453032900485</v>
      </c>
      <c r="E90" s="142">
        <f>+[57]SYNTHESE!E90</f>
        <v>-0.13122812765924272</v>
      </c>
      <c r="F90" s="142">
        <f>+[57]SYNTHESE!F90</f>
        <v>-0.12186551296939549</v>
      </c>
      <c r="G90" s="142">
        <f>+[57]SYNTHESE!G90</f>
        <v>-0.10785058831964341</v>
      </c>
      <c r="H90" s="142">
        <f>+[57]SYNTHESE!H90</f>
        <v>-0.10416034435576631</v>
      </c>
      <c r="I90" s="142">
        <f>+[57]SYNTHESE!I90</f>
        <v>-0.10061162239705518</v>
      </c>
      <c r="J90" s="142">
        <f>+[57]SYNTHESE!J90</f>
        <v>-9.7255644545831119E-2</v>
      </c>
      <c r="K90" s="142">
        <f>+[57]SYNTHESE!K90</f>
        <v>-8.2949096055903587E-2</v>
      </c>
      <c r="L90" s="1623" t="str">
        <f>+A87</f>
        <v>RPS</v>
      </c>
      <c r="M90" s="1623">
        <f>K90</f>
        <v>-8.2949096055903587E-2</v>
      </c>
    </row>
    <row r="91" spans="1:13" ht="15.75" hidden="1">
      <c r="A91" s="163"/>
      <c r="B91" s="134"/>
      <c r="C91" s="135">
        <f>+[57]SYNTHESE!C91</f>
        <v>0</v>
      </c>
      <c r="D91" s="135">
        <f>+[57]SYNTHESE!D91</f>
        <v>0</v>
      </c>
      <c r="E91" s="135">
        <f>+[57]SYNTHESE!E91</f>
        <v>0</v>
      </c>
      <c r="F91" s="135">
        <f>+[57]SYNTHESE!F91</f>
        <v>0</v>
      </c>
      <c r="G91" s="135">
        <f>+[57]SYNTHESE!G91</f>
        <v>0</v>
      </c>
      <c r="H91" s="135">
        <f>+[57]SYNTHESE!H91</f>
        <v>0</v>
      </c>
      <c r="I91" s="135">
        <f>+[57]SYNTHESE!I91</f>
        <v>0</v>
      </c>
      <c r="J91" s="135">
        <f>+[57]SYNTHESE!J91</f>
        <v>0</v>
      </c>
      <c r="K91" s="135">
        <f>+[57]SYNTHESE!K91</f>
        <v>0</v>
      </c>
      <c r="L91" s="1623"/>
      <c r="M91" s="1623"/>
    </row>
    <row r="92" spans="1:13" ht="15.75" hidden="1">
      <c r="A92" s="151"/>
      <c r="B92" s="134" t="s">
        <v>143</v>
      </c>
      <c r="C92" s="135">
        <f>+[57]SYNTHESE!C92</f>
        <v>-2.0532322665853749E-2</v>
      </c>
      <c r="D92" s="135">
        <f>+[57]SYNTHESE!D92</f>
        <v>-2.1274563517325835E-2</v>
      </c>
      <c r="E92" s="135">
        <f>+[57]SYNTHESE!E92</f>
        <v>-2.0809954444023504E-2</v>
      </c>
      <c r="F92" s="135">
        <f>+[57]SYNTHESE!F92</f>
        <v>-2.058291644372329E-2</v>
      </c>
      <c r="G92" s="135">
        <f>+[57]SYNTHESE!G92</f>
        <v>-2.4348082874399615E-2</v>
      </c>
      <c r="H92" s="135">
        <f>+[57]SYNTHESE!H92</f>
        <v>-2.5082480696109605E-2</v>
      </c>
      <c r="I92" s="135">
        <f>+[57]SYNTHESE!I92</f>
        <v>-2.2632229355862673E-2</v>
      </c>
      <c r="J92" s="135">
        <f>+[57]SYNTHESE!J92</f>
        <v>-2.795917141756139E-2</v>
      </c>
      <c r="K92" s="135">
        <f>+[57]SYNTHESE!K92</f>
        <v>-2.3082650057728912E-2</v>
      </c>
      <c r="L92" s="1620"/>
    </row>
    <row r="93" spans="1:13" ht="15.75" hidden="1">
      <c r="A93" s="152" t="s">
        <v>164</v>
      </c>
      <c r="B93" s="136" t="s">
        <v>12</v>
      </c>
      <c r="C93" s="137">
        <f>+[57]SYNTHESE!C93</f>
        <v>-2.403195111358777E-2</v>
      </c>
      <c r="D93" s="137">
        <f>+[57]SYNTHESE!D93</f>
        <v>-2.1724715338330928E-2</v>
      </c>
      <c r="E93" s="137">
        <f>+[57]SYNTHESE!E93</f>
        <v>-2.1080861183980604E-2</v>
      </c>
      <c r="F93" s="137">
        <f>+[57]SYNTHESE!F93</f>
        <v>-2.3443742196700826E-2</v>
      </c>
      <c r="G93" s="137">
        <f>+[57]SYNTHESE!G93</f>
        <v>-2.5593010397182481E-2</v>
      </c>
      <c r="H93" s="137">
        <f>+[57]SYNTHESE!H93</f>
        <v>-2.3635654591650422E-2</v>
      </c>
      <c r="I93" s="137">
        <f>+[57]SYNTHESE!I93</f>
        <v>-2.171501758912333E-2</v>
      </c>
      <c r="J93" s="137">
        <f>+[57]SYNTHESE!J93</f>
        <v>-2.4260115471121824E-2</v>
      </c>
      <c r="K93" s="137">
        <f>+[57]SYNTHESE!K93</f>
        <v>-2.0974506741619787E-2</v>
      </c>
      <c r="L93" s="1620" t="str">
        <f>L95&amp;"HQ"</f>
        <v>ACTIVITEHQ</v>
      </c>
      <c r="M93" s="1623">
        <f>K93+K92</f>
        <v>-4.4057156799348698E-2</v>
      </c>
    </row>
    <row r="94" spans="1:13" ht="15.75" hidden="1">
      <c r="A94" s="152"/>
      <c r="B94" s="136" t="s">
        <v>144</v>
      </c>
      <c r="C94" s="137">
        <f>+[57]SYNTHESE!C94</f>
        <v>-2.9447666383206755E-2</v>
      </c>
      <c r="D94" s="137">
        <f>+[57]SYNTHESE!D94</f>
        <v>-2.9914820032840961E-2</v>
      </c>
      <c r="E94" s="137">
        <f>+[57]SYNTHESE!E94</f>
        <v>-2.9381576738451754E-2</v>
      </c>
      <c r="F94" s="137">
        <f>+[57]SYNTHESE!F94</f>
        <v>-2.846604644537927E-2</v>
      </c>
      <c r="G94" s="137">
        <f>+[57]SYNTHESE!G94</f>
        <v>-3.5293637042780414E-2</v>
      </c>
      <c r="H94" s="137">
        <f>+[57]SYNTHESE!H94</f>
        <v>-2.8544833661877097E-2</v>
      </c>
      <c r="I94" s="137">
        <f>+[57]SYNTHESE!I94</f>
        <v>-2.7382537942859487E-2</v>
      </c>
      <c r="J94" s="137">
        <f>+[57]SYNTHESE!J94</f>
        <v>-2.9843463171644734E-2</v>
      </c>
      <c r="K94" s="137">
        <f>+[57]SYNTHESE!K94</f>
        <v>-3.0003247778416911E-2</v>
      </c>
      <c r="L94" s="1620" t="str">
        <f>L95&amp;"opé"</f>
        <v>ACTIVITEopé</v>
      </c>
      <c r="M94" s="1623">
        <f>K94</f>
        <v>-3.0003247778416911E-2</v>
      </c>
    </row>
    <row r="95" spans="1:13" ht="16.5" hidden="1">
      <c r="A95" s="153"/>
      <c r="B95" s="141" t="s">
        <v>145</v>
      </c>
      <c r="C95" s="142">
        <f>+[57]SYNTHESE!C95</f>
        <v>-7.4011940162648268E-2</v>
      </c>
      <c r="D95" s="142">
        <f>+[57]SYNTHESE!D95</f>
        <v>-7.291409888849773E-2</v>
      </c>
      <c r="E95" s="142">
        <f>+[57]SYNTHESE!E95</f>
        <v>-7.1272392366455856E-2</v>
      </c>
      <c r="F95" s="142">
        <f>+[57]SYNTHESE!F95</f>
        <v>-7.2492705085803383E-2</v>
      </c>
      <c r="G95" s="142">
        <f>+[57]SYNTHESE!G95</f>
        <v>-8.5234730314362503E-2</v>
      </c>
      <c r="H95" s="142">
        <f>+[57]SYNTHESE!H95</f>
        <v>-7.7262968949637134E-2</v>
      </c>
      <c r="I95" s="142">
        <f>+[57]SYNTHESE!I95</f>
        <v>-7.1729784887845496E-2</v>
      </c>
      <c r="J95" s="142">
        <f>+[57]SYNTHESE!J95</f>
        <v>-8.2062750060327955E-2</v>
      </c>
      <c r="K95" s="142">
        <f>+[57]SYNTHESE!K95</f>
        <v>-7.4060404577765609E-2</v>
      </c>
      <c r="L95" s="1623" t="str">
        <f>+A93</f>
        <v>ACTIVITE</v>
      </c>
      <c r="M95" s="1623">
        <f>K95</f>
        <v>-7.4060404577765609E-2</v>
      </c>
    </row>
  </sheetData>
  <phoneticPr fontId="0" type="noConversion"/>
  <printOptions horizontalCentered="1" verticalCentered="1"/>
  <pageMargins left="0.33" right="0.27" top="0.5" bottom="0.36" header="0.28000000000000003" footer="0.2"/>
  <pageSetup paperSize="9" scale="68"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rgb="FF00B050"/>
    <pageSetUpPr fitToPage="1"/>
  </sheetPr>
  <dimension ref="A1:V76"/>
  <sheetViews>
    <sheetView topLeftCell="B40" workbookViewId="0">
      <selection activeCell="F65" sqref="F65"/>
    </sheetView>
  </sheetViews>
  <sheetFormatPr baseColWidth="10" defaultColWidth="11.42578125" defaultRowHeight="12.75"/>
  <cols>
    <col min="1" max="1" width="12" style="17" hidden="1" customWidth="1"/>
    <col min="2" max="2" width="29.7109375" style="17" customWidth="1"/>
    <col min="3" max="3" width="6.5703125" style="17" customWidth="1"/>
    <col min="4" max="9" width="15" style="17" customWidth="1"/>
    <col min="10" max="10" width="38" style="17" customWidth="1"/>
    <col min="11" max="11" width="29.7109375" style="17" hidden="1" customWidth="1"/>
    <col min="12" max="12" width="6.5703125" style="17" hidden="1" customWidth="1"/>
    <col min="13" max="13" width="25.5703125" style="48" hidden="1" customWidth="1"/>
    <col min="14" max="19" width="11.42578125" style="17" hidden="1" customWidth="1"/>
    <col min="20" max="20" width="11.42578125" style="17" customWidth="1"/>
    <col min="21" max="21" width="82.140625" style="17" bestFit="1" customWidth="1"/>
    <col min="22" max="22" width="93.28515625" style="17" bestFit="1" customWidth="1"/>
    <col min="23" max="16384" width="11.42578125" style="17"/>
  </cols>
  <sheetData>
    <row r="1" spans="1:22" customFormat="1" ht="26.25">
      <c r="A1" s="621"/>
      <c r="B1" s="621"/>
      <c r="C1" s="621"/>
      <c r="D1" s="2393"/>
      <c r="E1" s="2394" t="str">
        <f>IF('Mode Opératoire'!$I$1="Français",+'Cpte exploitation ARG'!K1,'Cpte exploitation ARG'!M1)</f>
        <v>Compte d'Exploitation Total</v>
      </c>
      <c r="F1" s="2393"/>
      <c r="G1" s="621"/>
      <c r="H1" s="621"/>
      <c r="I1" s="621"/>
      <c r="J1" s="2464" t="s">
        <v>151</v>
      </c>
      <c r="K1" s="73" t="s">
        <v>190</v>
      </c>
      <c r="M1" s="73" t="s">
        <v>740</v>
      </c>
    </row>
    <row r="2" spans="1:22" customFormat="1" ht="16.5">
      <c r="A2" s="621"/>
      <c r="B2" s="621"/>
      <c r="C2" s="621"/>
      <c r="D2" s="621"/>
      <c r="E2" s="621"/>
      <c r="F2" s="621"/>
      <c r="G2" s="621"/>
      <c r="H2" s="621"/>
      <c r="I2" s="621"/>
      <c r="J2" s="2462" t="s">
        <v>151</v>
      </c>
      <c r="M2" s="46"/>
    </row>
    <row r="3" spans="1:22" customFormat="1" ht="16.5">
      <c r="A3" s="621"/>
      <c r="B3" s="621"/>
      <c r="C3" s="621"/>
      <c r="D3" s="621"/>
      <c r="E3" s="621"/>
      <c r="F3" s="621"/>
      <c r="G3" s="621"/>
      <c r="H3" s="621"/>
      <c r="I3" s="621"/>
      <c r="J3" s="2465" t="s">
        <v>152</v>
      </c>
      <c r="M3" s="46"/>
    </row>
    <row r="4" spans="1:22" ht="26.25">
      <c r="B4" s="78" t="str">
        <f>+'Synthèse projet'!A3</f>
        <v>Nom projet / Project Name :</v>
      </c>
      <c r="C4" s="953"/>
      <c r="D4" s="953" t="str">
        <f>'Cpte exploitation ARG'!E4</f>
        <v>xxxxxx</v>
      </c>
      <c r="E4" s="16"/>
      <c r="F4" s="16"/>
      <c r="G4" s="16"/>
      <c r="H4" s="16"/>
      <c r="I4" s="16"/>
      <c r="K4" s="1217"/>
      <c r="L4" s="834"/>
      <c r="M4" s="1218"/>
      <c r="U4" s="1706" t="s">
        <v>1375</v>
      </c>
      <c r="V4" s="1711" t="s">
        <v>989</v>
      </c>
    </row>
    <row r="5" spans="1:22" s="15" customFormat="1" ht="6" customHeight="1">
      <c r="B5" s="838"/>
      <c r="C5" s="838"/>
      <c r="D5" s="839"/>
      <c r="E5" s="839"/>
      <c r="F5" s="839"/>
      <c r="G5" s="839"/>
      <c r="H5" s="839"/>
      <c r="I5" s="839"/>
      <c r="K5" s="838"/>
      <c r="L5" s="838"/>
      <c r="M5" s="904"/>
      <c r="U5" s="1707"/>
      <c r="V5" s="1712"/>
    </row>
    <row r="6" spans="1:22" s="28" customFormat="1" ht="23.25">
      <c r="B6" s="146" t="str">
        <f>+'Synthèse projet'!A5</f>
        <v>Rédacteur / Writer  :</v>
      </c>
      <c r="C6" s="146"/>
      <c r="D6" s="146"/>
      <c r="E6" s="148" t="str">
        <f>'Cpte exploitation ARG'!E6</f>
        <v>xxxxx</v>
      </c>
      <c r="F6" s="924"/>
      <c r="G6" s="154" t="s">
        <v>98</v>
      </c>
      <c r="H6" s="149" t="s">
        <v>203</v>
      </c>
      <c r="J6" s="27"/>
      <c r="K6" s="842"/>
      <c r="L6" s="842"/>
      <c r="M6" s="1219"/>
      <c r="U6" s="1708" t="s">
        <v>1376</v>
      </c>
      <c r="V6" s="1713" t="s">
        <v>991</v>
      </c>
    </row>
    <row r="7" spans="1:22" s="29" customFormat="1" ht="15.75">
      <c r="B7" s="147" t="str">
        <f>+'Synthèse projet'!A6</f>
        <v>Version / Date :</v>
      </c>
      <c r="C7" s="147"/>
      <c r="D7" s="147"/>
      <c r="E7" s="921" t="str">
        <f>'Cpte exploitation ARG'!E7</f>
        <v>xxxxx</v>
      </c>
      <c r="F7" s="2392"/>
      <c r="G7" s="2392"/>
      <c r="H7" s="2392"/>
      <c r="I7" s="2392"/>
      <c r="J7" s="27"/>
      <c r="K7" s="1220"/>
      <c r="L7" s="1220"/>
      <c r="M7" s="1221"/>
      <c r="U7" s="1708"/>
      <c r="V7" s="1713"/>
    </row>
    <row r="8" spans="1:22" s="15" customFormat="1" ht="26.25" customHeight="1">
      <c r="B8" s="935"/>
      <c r="C8" s="935"/>
      <c r="D8" s="936"/>
      <c r="E8" s="937"/>
      <c r="F8" s="937"/>
      <c r="G8" s="937"/>
      <c r="H8" s="937"/>
      <c r="I8" s="937"/>
      <c r="K8" s="19"/>
      <c r="L8" s="19"/>
      <c r="M8" s="47"/>
      <c r="U8" s="1707"/>
      <c r="V8" s="1712"/>
    </row>
    <row r="9" spans="1:22" s="15" customFormat="1" ht="15">
      <c r="B9" s="935"/>
      <c r="C9" s="935"/>
      <c r="D9" s="902"/>
      <c r="E9" s="903"/>
      <c r="F9" s="902"/>
      <c r="G9" s="902"/>
      <c r="H9" s="902"/>
      <c r="I9" s="902"/>
      <c r="K9" s="19"/>
      <c r="L9" s="19"/>
      <c r="M9" s="904"/>
      <c r="U9" s="1707"/>
      <c r="V9" s="1712"/>
    </row>
    <row r="10" spans="1:22" s="15" customFormat="1" ht="15">
      <c r="B10" s="935"/>
      <c r="C10" s="935"/>
      <c r="D10" s="902"/>
      <c r="E10" s="902"/>
      <c r="F10" s="902"/>
      <c r="G10" s="902"/>
      <c r="H10" s="902"/>
      <c r="I10" s="902"/>
      <c r="K10" s="19"/>
      <c r="L10" s="19"/>
      <c r="M10" s="47"/>
      <c r="N10" s="174" t="s">
        <v>38</v>
      </c>
      <c r="O10" s="174" t="s">
        <v>39</v>
      </c>
      <c r="P10" s="174" t="s">
        <v>40</v>
      </c>
      <c r="Q10" s="174" t="s">
        <v>41</v>
      </c>
      <c r="R10" s="174" t="s">
        <v>42</v>
      </c>
      <c r="S10" s="177" t="s">
        <v>78</v>
      </c>
      <c r="T10" s="1753"/>
      <c r="U10" s="1707"/>
      <c r="V10" s="1712"/>
    </row>
    <row r="11" spans="1:22" ht="6" customHeight="1">
      <c r="B11" s="167"/>
      <c r="C11" s="170"/>
      <c r="D11" s="173"/>
      <c r="E11" s="173"/>
      <c r="F11" s="173"/>
      <c r="G11" s="173"/>
      <c r="H11" s="173"/>
      <c r="I11" s="176"/>
      <c r="K11" s="167"/>
      <c r="L11" s="170"/>
      <c r="U11" s="1708"/>
      <c r="V11" s="1713"/>
    </row>
    <row r="12" spans="1:22" s="20" customFormat="1">
      <c r="B12" s="2379" t="s">
        <v>1387</v>
      </c>
      <c r="C12" s="859"/>
      <c r="D12" s="174" t="str">
        <f>IF('Mode Opératoire'!$I$1="Français",+'Cpte exploitation ARG'!N10,'Cpte exploitation ARG'!N13)</f>
        <v>Année 1</v>
      </c>
      <c r="E12" s="174" t="str">
        <f>IF('Mode Opératoire'!$I$1="Français",+'Cpte exploitation ARG'!O10,'Cpte exploitation ARG'!O13)</f>
        <v>Année 2</v>
      </c>
      <c r="F12" s="174" t="str">
        <f>IF('Mode Opératoire'!$I$1="Français",+'Cpte exploitation ARG'!P10,'Cpte exploitation ARG'!P13)</f>
        <v>Année 3</v>
      </c>
      <c r="G12" s="174" t="str">
        <f>IF('Mode Opératoire'!$I$1="Français",+'Cpte exploitation ARG'!Q10,'Cpte exploitation ARG'!Q13)</f>
        <v>Année 4</v>
      </c>
      <c r="H12" s="174" t="str">
        <f>IF('Mode Opératoire'!$I$1="Français",+'Cpte exploitation ARG'!R10,'Cpte exploitation ARG'!R13)</f>
        <v>Année 5</v>
      </c>
      <c r="I12" s="174" t="str">
        <f>IF('Mode Opératoire'!$I$1="Français",+'Cpte exploitation ARG'!S10,'Cpte exploitation ARG'!S13)</f>
        <v>Année 6</v>
      </c>
      <c r="K12" s="168" t="s">
        <v>137</v>
      </c>
      <c r="L12" s="171"/>
      <c r="M12" s="168" t="s">
        <v>137</v>
      </c>
      <c r="U12" s="1708"/>
      <c r="V12" s="1713"/>
    </row>
    <row r="13" spans="1:22">
      <c r="B13" s="169"/>
      <c r="C13" s="172"/>
      <c r="D13" s="175">
        <f>+'Cpte exploitation ARG'!D13</f>
        <v>2014</v>
      </c>
      <c r="E13" s="175">
        <f>D13+1</f>
        <v>2015</v>
      </c>
      <c r="F13" s="175">
        <f>E13+1</f>
        <v>2016</v>
      </c>
      <c r="G13" s="175">
        <f>F13+1</f>
        <v>2017</v>
      </c>
      <c r="H13" s="175">
        <f>G13+1</f>
        <v>2018</v>
      </c>
      <c r="I13" s="178">
        <f>H13+1</f>
        <v>2019</v>
      </c>
      <c r="K13" s="169"/>
      <c r="L13" s="172"/>
      <c r="N13" s="174" t="s">
        <v>742</v>
      </c>
      <c r="O13" s="174" t="s">
        <v>747</v>
      </c>
      <c r="P13" s="174" t="s">
        <v>743</v>
      </c>
      <c r="Q13" s="174" t="s">
        <v>744</v>
      </c>
      <c r="R13" s="174" t="s">
        <v>745</v>
      </c>
      <c r="S13" s="177" t="s">
        <v>746</v>
      </c>
      <c r="T13" s="1753"/>
      <c r="U13" s="1708" t="s">
        <v>1377</v>
      </c>
      <c r="V13" s="1713" t="s">
        <v>974</v>
      </c>
    </row>
    <row r="14" spans="1:22">
      <c r="A14" s="17" t="str">
        <f>+$H$6</f>
        <v>OVS</v>
      </c>
      <c r="B14" s="2378" t="str">
        <f>IF('Mode Opératoire'!$I$1="Français",+'Cpte exploitation ARG'!K14,'Cpte exploitation ARG'!M14)</f>
        <v>Ventes PSA</v>
      </c>
      <c r="C14" s="862" t="s">
        <v>491</v>
      </c>
      <c r="D14" s="1894"/>
      <c r="E14" s="1894"/>
      <c r="F14" s="1894"/>
      <c r="G14" s="1894"/>
      <c r="H14" s="1894"/>
      <c r="I14" s="1894"/>
      <c r="K14" s="179" t="s">
        <v>17</v>
      </c>
      <c r="L14" s="182"/>
      <c r="M14" s="185" t="s">
        <v>79</v>
      </c>
      <c r="U14" s="1708"/>
      <c r="V14" s="1713"/>
    </row>
    <row r="15" spans="1:22">
      <c r="A15" s="17" t="str">
        <f t="shared" ref="A15:A65" si="0">+$H$6</f>
        <v>OVS</v>
      </c>
      <c r="B15" s="2379" t="str">
        <f>IF('Mode Opératoire'!$I$1="Français",+'Cpte exploitation ARG'!K15,'Cpte exploitation ARG'!M15)</f>
        <v>Ventes Hors Groupe</v>
      </c>
      <c r="C15" s="862" t="s">
        <v>491</v>
      </c>
      <c r="D15" s="1895"/>
      <c r="E15" s="1895"/>
      <c r="F15" s="1895"/>
      <c r="G15" s="1895"/>
      <c r="H15" s="1895"/>
      <c r="I15" s="1895"/>
      <c r="J15" s="451"/>
      <c r="K15" s="180" t="s">
        <v>19</v>
      </c>
      <c r="L15" s="183"/>
      <c r="M15" s="186" t="s">
        <v>80</v>
      </c>
      <c r="U15" s="1708"/>
      <c r="V15" s="1713"/>
    </row>
    <row r="16" spans="1:22">
      <c r="B16" s="2379" t="str">
        <f>IF('Mode Opératoire'!$I$1="Français",+'Cpte exploitation ARG'!K16,'Cpte exploitation ARG'!M16)</f>
        <v>Ventes GM</v>
      </c>
      <c r="C16" s="862" t="s">
        <v>491</v>
      </c>
      <c r="D16" s="1895"/>
      <c r="E16" s="1895"/>
      <c r="F16" s="1895"/>
      <c r="G16" s="1895"/>
      <c r="H16" s="1895"/>
      <c r="I16" s="1895"/>
      <c r="J16" s="451"/>
      <c r="K16" s="180" t="s">
        <v>948</v>
      </c>
      <c r="L16" s="183"/>
      <c r="M16" s="186" t="s">
        <v>949</v>
      </c>
      <c r="U16" s="1708"/>
      <c r="V16" s="1713"/>
    </row>
    <row r="17" spans="1:22">
      <c r="B17" s="2379" t="str">
        <f>IF('Mode Opératoire'!$I$1="Français",+'Cpte exploitation ARG'!K17,'Cpte exploitation ARG'!M17)</f>
        <v>Ventes RZD</v>
      </c>
      <c r="C17" s="862" t="s">
        <v>491</v>
      </c>
      <c r="D17" s="1895"/>
      <c r="E17" s="1895"/>
      <c r="F17" s="1895"/>
      <c r="G17" s="1895"/>
      <c r="H17" s="1895"/>
      <c r="I17" s="1895"/>
      <c r="J17" s="451"/>
      <c r="K17" s="180" t="s">
        <v>950</v>
      </c>
      <c r="L17" s="183"/>
      <c r="M17" s="186" t="s">
        <v>951</v>
      </c>
      <c r="U17" s="1708"/>
      <c r="V17" s="1713"/>
    </row>
    <row r="18" spans="1:22">
      <c r="A18" s="17" t="str">
        <f t="shared" si="0"/>
        <v>OVS</v>
      </c>
      <c r="B18" s="2379" t="str">
        <f>IF('Mode Opératoire'!$I$1="Français",+'Cpte exploitation ARG'!K18,'Cpte exploitation ARG'!M18)</f>
        <v>Ventes Gefco</v>
      </c>
      <c r="C18" s="862" t="s">
        <v>491</v>
      </c>
      <c r="D18" s="1895"/>
      <c r="E18" s="1895"/>
      <c r="F18" s="1895"/>
      <c r="G18" s="1895"/>
      <c r="H18" s="1895"/>
      <c r="I18" s="1895"/>
      <c r="J18" s="451"/>
      <c r="K18" s="180" t="s">
        <v>45</v>
      </c>
      <c r="L18" s="183"/>
      <c r="M18" s="186" t="s">
        <v>81</v>
      </c>
      <c r="U18" s="1708"/>
      <c r="V18" s="1713"/>
    </row>
    <row r="19" spans="1:22">
      <c r="A19" s="17" t="str">
        <f t="shared" si="0"/>
        <v>OVS</v>
      </c>
      <c r="B19" s="2380" t="str">
        <f>IF('Mode Opératoire'!$I$1="Français",+'Cpte exploitation ARG'!K19,'Cpte exploitation ARG'!M19)</f>
        <v>Total ventes externes</v>
      </c>
      <c r="C19" s="2381"/>
      <c r="D19" s="1062">
        <f t="shared" ref="D19:I19" si="1">SUM(D14:D18)</f>
        <v>0</v>
      </c>
      <c r="E19" s="1062">
        <f t="shared" si="1"/>
        <v>0</v>
      </c>
      <c r="F19" s="1062">
        <f t="shared" si="1"/>
        <v>0</v>
      </c>
      <c r="G19" s="1062">
        <f t="shared" si="1"/>
        <v>0</v>
      </c>
      <c r="H19" s="1062">
        <f t="shared" si="1"/>
        <v>0</v>
      </c>
      <c r="I19" s="1062">
        <f t="shared" si="1"/>
        <v>0</v>
      </c>
      <c r="K19" s="181" t="s">
        <v>149</v>
      </c>
      <c r="L19" s="184"/>
      <c r="M19" s="187" t="s">
        <v>150</v>
      </c>
      <c r="U19" s="1708"/>
      <c r="V19" s="1713"/>
    </row>
    <row r="20" spans="1:22">
      <c r="A20" s="17" t="str">
        <f t="shared" si="0"/>
        <v>OVS</v>
      </c>
      <c r="B20" s="2378" t="str">
        <f>IF('Mode Opératoire'!$I$1="Français",+'Cpte exploitation ARG'!K20,'Cpte exploitation ARG'!M20)</f>
        <v xml:space="preserve">Achats </v>
      </c>
      <c r="C20" s="2382" t="s">
        <v>491</v>
      </c>
      <c r="D20" s="1894"/>
      <c r="E20" s="1894"/>
      <c r="F20" s="1894"/>
      <c r="G20" s="1894"/>
      <c r="H20" s="1894"/>
      <c r="I20" s="1894"/>
      <c r="K20" s="179" t="s">
        <v>44</v>
      </c>
      <c r="L20" s="182"/>
      <c r="M20" s="188" t="s">
        <v>82</v>
      </c>
      <c r="U20" s="1708"/>
      <c r="V20" s="1713"/>
    </row>
    <row r="21" spans="1:22">
      <c r="A21" s="17" t="str">
        <f t="shared" si="0"/>
        <v>OVS</v>
      </c>
      <c r="B21" s="2380" t="str">
        <f>IF('Mode Opératoire'!$I$1="Français",+'Cpte exploitation ARG'!K21,'Cpte exploitation ARG'!M21)</f>
        <v xml:space="preserve">Total achats </v>
      </c>
      <c r="C21" s="2381"/>
      <c r="D21" s="1062">
        <f t="shared" ref="D21:I21" si="2">SUM(D20:D20)</f>
        <v>0</v>
      </c>
      <c r="E21" s="1062">
        <f t="shared" si="2"/>
        <v>0</v>
      </c>
      <c r="F21" s="1062">
        <f t="shared" si="2"/>
        <v>0</v>
      </c>
      <c r="G21" s="1062">
        <f t="shared" si="2"/>
        <v>0</v>
      </c>
      <c r="H21" s="1062">
        <f t="shared" si="2"/>
        <v>0</v>
      </c>
      <c r="I21" s="1062">
        <f t="shared" si="2"/>
        <v>0</v>
      </c>
      <c r="K21" s="181" t="s">
        <v>118</v>
      </c>
      <c r="L21" s="184"/>
      <c r="M21" s="189" t="s">
        <v>82</v>
      </c>
      <c r="U21" s="1708"/>
      <c r="V21" s="1713"/>
    </row>
    <row r="22" spans="1:22">
      <c r="A22" s="17" t="str">
        <f t="shared" si="0"/>
        <v>OVS</v>
      </c>
      <c r="B22" s="190" t="str">
        <f>IF('Mode Opératoire'!$I$1="Français",+'Cpte exploitation ARG'!K22,'Cpte exploitation ARG'!M22)</f>
        <v>Marge commerciale</v>
      </c>
      <c r="C22" s="198"/>
      <c r="D22" s="193">
        <f t="shared" ref="D22:I22" si="3">+D19+D21</f>
        <v>0</v>
      </c>
      <c r="E22" s="193">
        <f t="shared" si="3"/>
        <v>0</v>
      </c>
      <c r="F22" s="193">
        <f t="shared" si="3"/>
        <v>0</v>
      </c>
      <c r="G22" s="193">
        <f t="shared" si="3"/>
        <v>0</v>
      </c>
      <c r="H22" s="195">
        <f t="shared" si="3"/>
        <v>0</v>
      </c>
      <c r="I22" s="193">
        <f t="shared" si="3"/>
        <v>0</v>
      </c>
      <c r="K22" s="190" t="s">
        <v>21</v>
      </c>
      <c r="L22" s="198"/>
      <c r="M22" s="192" t="s">
        <v>83</v>
      </c>
      <c r="U22" s="1708"/>
      <c r="V22" s="1713"/>
    </row>
    <row r="23" spans="1:22" s="124" customFormat="1" ht="13.5">
      <c r="A23" s="17" t="str">
        <f t="shared" si="0"/>
        <v>OVS</v>
      </c>
      <c r="B23" s="200" t="str">
        <f>IF('Mode Opératoire'!$I$1="Français",+'Cpte exploitation ARG'!K23,'Cpte exploitation ARG'!M23)</f>
        <v>% des ventes</v>
      </c>
      <c r="C23" s="201"/>
      <c r="D23" s="197">
        <f t="shared" ref="D23:I23" si="4">IF(D$19&lt;&gt;0,D22/D$19,0)</f>
        <v>0</v>
      </c>
      <c r="E23" s="197">
        <f t="shared" si="4"/>
        <v>0</v>
      </c>
      <c r="F23" s="197">
        <f t="shared" si="4"/>
        <v>0</v>
      </c>
      <c r="G23" s="197">
        <f t="shared" si="4"/>
        <v>0</v>
      </c>
      <c r="H23" s="202">
        <f t="shared" si="4"/>
        <v>0</v>
      </c>
      <c r="I23" s="197">
        <f t="shared" si="4"/>
        <v>0</v>
      </c>
      <c r="K23" s="200" t="s">
        <v>68</v>
      </c>
      <c r="L23" s="201"/>
      <c r="M23" s="203" t="s">
        <v>84</v>
      </c>
      <c r="U23" s="1709"/>
      <c r="V23" s="1714"/>
    </row>
    <row r="24" spans="1:22">
      <c r="A24" s="17" t="str">
        <f t="shared" si="0"/>
        <v>OVS</v>
      </c>
      <c r="B24" s="2383" t="str">
        <f>IF('Mode Opératoire'!$I$1="Français",+'Cpte exploitation ARG'!K24,'Cpte exploitation ARG'!M24)</f>
        <v xml:space="preserve">Différence de change </v>
      </c>
      <c r="C24" s="2384" t="s">
        <v>491</v>
      </c>
      <c r="D24" s="1894"/>
      <c r="E24" s="1894"/>
      <c r="F24" s="1894"/>
      <c r="G24" s="1894"/>
      <c r="H24" s="1894"/>
      <c r="I24" s="1894"/>
      <c r="K24" s="204" t="s">
        <v>189</v>
      </c>
      <c r="L24" s="206"/>
      <c r="M24" s="205" t="s">
        <v>193</v>
      </c>
      <c r="U24" s="1708"/>
      <c r="V24" s="1713"/>
    </row>
    <row r="25" spans="1:22">
      <c r="A25" s="17" t="str">
        <f t="shared" si="0"/>
        <v>OVS</v>
      </c>
      <c r="B25" s="190" t="str">
        <f>IF('Mode Opératoire'!$I$1="Français",+'Cpte exploitation ARG'!K25,'Cpte exploitation ARG'!M25)</f>
        <v>Résultat brut Commercial</v>
      </c>
      <c r="C25" s="198"/>
      <c r="D25" s="193">
        <f t="shared" ref="D25:I25" si="5">+D22+D24</f>
        <v>0</v>
      </c>
      <c r="E25" s="195">
        <f t="shared" si="5"/>
        <v>0</v>
      </c>
      <c r="F25" s="193">
        <f t="shared" si="5"/>
        <v>0</v>
      </c>
      <c r="G25" s="193">
        <f t="shared" si="5"/>
        <v>0</v>
      </c>
      <c r="H25" s="193">
        <f t="shared" si="5"/>
        <v>0</v>
      </c>
      <c r="I25" s="193">
        <f t="shared" si="5"/>
        <v>0</v>
      </c>
      <c r="K25" s="190" t="s">
        <v>186</v>
      </c>
      <c r="L25" s="198"/>
      <c r="M25" s="218" t="s">
        <v>194</v>
      </c>
      <c r="U25" s="1708"/>
      <c r="V25" s="1713"/>
    </row>
    <row r="26" spans="1:22" s="124" customFormat="1" ht="13.5">
      <c r="A26" s="17" t="str">
        <f t="shared" si="0"/>
        <v>OVS</v>
      </c>
      <c r="B26" s="191" t="str">
        <f>IF('Mode Opératoire'!$I$1="Français",+'Cpte exploitation ARG'!K26,'Cpte exploitation ARG'!M26)</f>
        <v>% des ventes</v>
      </c>
      <c r="C26" s="199"/>
      <c r="D26" s="194">
        <f t="shared" ref="D26:I26" si="6">IF(D$19&lt;&gt;0,D25/D$19,0)</f>
        <v>0</v>
      </c>
      <c r="E26" s="196">
        <f t="shared" si="6"/>
        <v>0</v>
      </c>
      <c r="F26" s="194">
        <f t="shared" si="6"/>
        <v>0</v>
      </c>
      <c r="G26" s="194">
        <f t="shared" si="6"/>
        <v>0</v>
      </c>
      <c r="H26" s="194">
        <f t="shared" si="6"/>
        <v>0</v>
      </c>
      <c r="I26" s="194">
        <f t="shared" si="6"/>
        <v>0</v>
      </c>
      <c r="K26" s="191" t="s">
        <v>68</v>
      </c>
      <c r="L26" s="199"/>
      <c r="M26" s="236" t="s">
        <v>84</v>
      </c>
      <c r="U26" s="1709"/>
      <c r="V26" s="1714"/>
    </row>
    <row r="27" spans="1:22" ht="12.75" customHeight="1">
      <c r="A27" s="17" t="str">
        <f t="shared" si="0"/>
        <v>OVS</v>
      </c>
      <c r="B27" s="2379" t="str">
        <f>IF('Mode Opératoire'!$I$1="Français",+'Cpte exploitation ARG'!K27,'Cpte exploitation ARG'!M27)</f>
        <v>Salaires et Charges</v>
      </c>
      <c r="C27" s="2828" t="s">
        <v>547</v>
      </c>
      <c r="D27" s="1896"/>
      <c r="E27" s="1896"/>
      <c r="F27" s="1896"/>
      <c r="G27" s="1896"/>
      <c r="H27" s="1896"/>
      <c r="I27" s="1896"/>
      <c r="K27" s="208" t="s">
        <v>43</v>
      </c>
      <c r="L27" s="2825"/>
      <c r="M27" s="219" t="s">
        <v>85</v>
      </c>
      <c r="U27" s="1708"/>
      <c r="V27" s="1713"/>
    </row>
    <row r="28" spans="1:22">
      <c r="A28" s="17" t="str">
        <f t="shared" si="0"/>
        <v>OVS</v>
      </c>
      <c r="B28" s="2379" t="str">
        <f>IF('Mode Opératoire'!$I$1="Français",+'Cpte exploitation ARG'!K28,'Cpte exploitation ARG'!M28)</f>
        <v>Provisions pour primes</v>
      </c>
      <c r="C28" s="2829"/>
      <c r="D28" s="1896"/>
      <c r="E28" s="1896"/>
      <c r="F28" s="1896"/>
      <c r="G28" s="1896"/>
      <c r="H28" s="1896"/>
      <c r="I28" s="1896"/>
      <c r="K28" s="208" t="s">
        <v>480</v>
      </c>
      <c r="L28" s="2826"/>
      <c r="M28" s="219" t="s">
        <v>739</v>
      </c>
      <c r="U28" s="1708"/>
      <c r="V28" s="1713"/>
    </row>
    <row r="29" spans="1:22">
      <c r="A29" s="17" t="str">
        <f t="shared" si="0"/>
        <v>OVS</v>
      </c>
      <c r="B29" s="2379" t="str">
        <f>IF('Mode Opératoire'!$I$1="Français",+'Cpte exploitation ARG'!K29,'Cpte exploitation ARG'!M29)</f>
        <v>Frais d'embauche</v>
      </c>
      <c r="C29" s="2829"/>
      <c r="D29" s="1896"/>
      <c r="E29" s="1896"/>
      <c r="F29" s="1896"/>
      <c r="G29" s="1896"/>
      <c r="H29" s="1896"/>
      <c r="I29" s="1896"/>
      <c r="K29" s="208" t="s">
        <v>423</v>
      </c>
      <c r="L29" s="2826"/>
      <c r="M29" s="219" t="s">
        <v>227</v>
      </c>
      <c r="U29" s="1708"/>
      <c r="V29" s="1713"/>
    </row>
    <row r="30" spans="1:22">
      <c r="A30" s="17" t="str">
        <f t="shared" si="0"/>
        <v>OVS</v>
      </c>
      <c r="B30" s="2379" t="str">
        <f>IF('Mode Opératoire'!$I$1="Français",+'Cpte exploitation ARG'!K30,'Cpte exploitation ARG'!M30)</f>
        <v>Intérim</v>
      </c>
      <c r="C30" s="2829"/>
      <c r="D30" s="1896"/>
      <c r="E30" s="1896"/>
      <c r="F30" s="1896"/>
      <c r="G30" s="1896"/>
      <c r="H30" s="1896"/>
      <c r="I30" s="1896"/>
      <c r="K30" s="208" t="s">
        <v>76</v>
      </c>
      <c r="L30" s="2826"/>
      <c r="M30" s="219" t="s">
        <v>87</v>
      </c>
      <c r="U30" s="1708"/>
      <c r="V30" s="1713"/>
    </row>
    <row r="31" spans="1:22">
      <c r="A31" s="17" t="str">
        <f t="shared" si="0"/>
        <v>OVS</v>
      </c>
      <c r="B31" s="2379" t="str">
        <f>IF('Mode Opératoire'!$I$1="Français",+'Cpte exploitation ARG'!K31,'Cpte exploitation ARG'!M31)</f>
        <v xml:space="preserve">Formation </v>
      </c>
      <c r="C31" s="2829"/>
      <c r="D31" s="1896">
        <f t="shared" ref="D31:I31" si="7">(D27+D30)*1%</f>
        <v>0</v>
      </c>
      <c r="E31" s="1896">
        <f t="shared" si="7"/>
        <v>0</v>
      </c>
      <c r="F31" s="1896">
        <f t="shared" si="7"/>
        <v>0</v>
      </c>
      <c r="G31" s="1896">
        <f t="shared" si="7"/>
        <v>0</v>
      </c>
      <c r="H31" s="1896">
        <f t="shared" si="7"/>
        <v>0</v>
      </c>
      <c r="I31" s="1896">
        <f t="shared" si="7"/>
        <v>0</v>
      </c>
      <c r="K31" s="208" t="s">
        <v>86</v>
      </c>
      <c r="L31" s="2826"/>
      <c r="M31" s="219" t="s">
        <v>88</v>
      </c>
      <c r="U31" s="1708"/>
      <c r="V31" s="1713"/>
    </row>
    <row r="32" spans="1:22">
      <c r="A32" s="17" t="str">
        <f t="shared" si="0"/>
        <v>OVS</v>
      </c>
      <c r="B32" s="2379" t="str">
        <f>IF('Mode Opératoire'!$I$1="Français",+'Cpte exploitation ARG'!K32,'Cpte exploitation ARG'!M32)</f>
        <v>Cantine</v>
      </c>
      <c r="C32" s="2829"/>
      <c r="D32" s="1896"/>
      <c r="E32" s="1896"/>
      <c r="F32" s="1896"/>
      <c r="G32" s="1896"/>
      <c r="H32" s="1896"/>
      <c r="I32" s="1896"/>
      <c r="K32" s="208" t="s">
        <v>376</v>
      </c>
      <c r="L32" s="2826"/>
      <c r="M32" s="219" t="s">
        <v>376</v>
      </c>
      <c r="U32" s="1708"/>
      <c r="V32" s="1713"/>
    </row>
    <row r="33" spans="1:22">
      <c r="A33" s="17" t="str">
        <f t="shared" si="0"/>
        <v>OVS</v>
      </c>
      <c r="B33" s="2379" t="str">
        <f>IF('Mode Opératoire'!$I$1="Français",+'Cpte exploitation ARG'!K33,'Cpte exploitation ARG'!M33)</f>
        <v>Autres frais de personnel</v>
      </c>
      <c r="C33" s="2830"/>
      <c r="D33" s="1896"/>
      <c r="E33" s="1896"/>
      <c r="F33" s="1896"/>
      <c r="G33" s="1896"/>
      <c r="H33" s="1896"/>
      <c r="I33" s="1896"/>
      <c r="K33" s="208" t="s">
        <v>46</v>
      </c>
      <c r="L33" s="2827"/>
      <c r="M33" s="219" t="s">
        <v>103</v>
      </c>
      <c r="U33" s="1708"/>
      <c r="V33" s="1713"/>
    </row>
    <row r="34" spans="1:22">
      <c r="A34" s="17" t="str">
        <f t="shared" si="0"/>
        <v>OVS</v>
      </c>
      <c r="B34" s="233" t="str">
        <f>IF('Mode Opératoire'!$I$1="Français",+'Cpte exploitation ARG'!K34,'Cpte exploitation ARG'!M34)</f>
        <v>Frais de personnel</v>
      </c>
      <c r="C34" s="234"/>
      <c r="D34" s="1068">
        <f t="shared" ref="D34:I34" si="8">SUM(D27:D33)</f>
        <v>0</v>
      </c>
      <c r="E34" s="1069">
        <f t="shared" si="8"/>
        <v>0</v>
      </c>
      <c r="F34" s="1068">
        <f t="shared" si="8"/>
        <v>0</v>
      </c>
      <c r="G34" s="1068">
        <f t="shared" si="8"/>
        <v>0</v>
      </c>
      <c r="H34" s="1068">
        <f t="shared" si="8"/>
        <v>0</v>
      </c>
      <c r="I34" s="1068">
        <f t="shared" si="8"/>
        <v>0</v>
      </c>
      <c r="K34" s="233" t="s">
        <v>117</v>
      </c>
      <c r="L34" s="234"/>
      <c r="M34" s="235" t="s">
        <v>89</v>
      </c>
      <c r="U34" s="1708"/>
      <c r="V34" s="1713"/>
    </row>
    <row r="35" spans="1:22">
      <c r="A35" s="17" t="str">
        <f t="shared" si="0"/>
        <v>OVS</v>
      </c>
      <c r="B35" s="2379" t="str">
        <f>IF('Mode Opératoire'!$I$1="Français",+'Cpte exploitation ARG'!K35,'Cpte exploitation ARG'!M35)</f>
        <v>Amortissements d'exploitation</v>
      </c>
      <c r="C35" s="862" t="s">
        <v>491</v>
      </c>
      <c r="D35" s="1894"/>
      <c r="E35" s="1894"/>
      <c r="F35" s="1894"/>
      <c r="G35" s="1894"/>
      <c r="H35" s="1894"/>
      <c r="I35" s="1894"/>
      <c r="K35" s="208" t="s">
        <v>128</v>
      </c>
      <c r="L35" s="222"/>
      <c r="M35" s="219" t="s">
        <v>104</v>
      </c>
      <c r="U35" s="1708"/>
      <c r="V35" s="1713"/>
    </row>
    <row r="36" spans="1:22" s="23" customFormat="1">
      <c r="A36" s="17" t="str">
        <f t="shared" si="0"/>
        <v>OVS</v>
      </c>
      <c r="B36" s="2379" t="str">
        <f>IF('Mode Opératoire'!$I$1="Français",+'Cpte exploitation ARG'!K36,'Cpte exploitation ARG'!M36)</f>
        <v>Location d'engins</v>
      </c>
      <c r="C36" s="862" t="s">
        <v>491</v>
      </c>
      <c r="D36" s="1895"/>
      <c r="E36" s="1897"/>
      <c r="F36" s="1895"/>
      <c r="G36" s="1895"/>
      <c r="H36" s="1895"/>
      <c r="I36" s="1895"/>
      <c r="K36" s="208" t="s">
        <v>47</v>
      </c>
      <c r="L36" s="222"/>
      <c r="M36" s="219" t="s">
        <v>105</v>
      </c>
      <c r="U36" s="1710"/>
      <c r="V36" s="1715"/>
    </row>
    <row r="37" spans="1:22">
      <c r="A37" s="17" t="str">
        <f t="shared" si="0"/>
        <v>OVS</v>
      </c>
      <c r="B37" s="2379" t="str">
        <f>IF('Mode Opératoire'!$I$1="Français",+'Cpte exploitation ARG'!K37,'Cpte exploitation ARG'!M37)</f>
        <v>Achat de petits matériels</v>
      </c>
      <c r="C37" s="862" t="s">
        <v>491</v>
      </c>
      <c r="D37" s="1895"/>
      <c r="E37" s="1897"/>
      <c r="F37" s="1895"/>
      <c r="G37" s="1895"/>
      <c r="H37" s="1895"/>
      <c r="I37" s="1895"/>
      <c r="J37" s="35"/>
      <c r="K37" s="208" t="s">
        <v>48</v>
      </c>
      <c r="L37" s="222"/>
      <c r="M37" s="219" t="s">
        <v>106</v>
      </c>
      <c r="U37" s="1708"/>
      <c r="V37" s="1713"/>
    </row>
    <row r="38" spans="1:22">
      <c r="A38" s="17" t="str">
        <f t="shared" si="0"/>
        <v>OVS</v>
      </c>
      <c r="B38" s="2379" t="str">
        <f>IF('Mode Opératoire'!$I$1="Français",+'Cpte exploitation ARG'!K38,'Cpte exploitation ARG'!M38)</f>
        <v>Eau / EDF</v>
      </c>
      <c r="C38" s="862" t="s">
        <v>491</v>
      </c>
      <c r="D38" s="1895"/>
      <c r="E38" s="1897"/>
      <c r="F38" s="1897"/>
      <c r="G38" s="1897"/>
      <c r="H38" s="1897"/>
      <c r="I38" s="1897"/>
      <c r="J38" s="35"/>
      <c r="K38" s="208" t="s">
        <v>364</v>
      </c>
      <c r="L38" s="222"/>
      <c r="M38" s="219" t="s">
        <v>737</v>
      </c>
      <c r="U38" s="1708"/>
      <c r="V38" s="1713"/>
    </row>
    <row r="39" spans="1:22">
      <c r="A39" s="17" t="str">
        <f t="shared" si="0"/>
        <v>OVS</v>
      </c>
      <c r="B39" s="208" t="str">
        <f>IF('Mode Opératoire'!$I$1="Français",+'Cpte exploitation ARG'!K39,'Cpte exploitation ARG'!M39)</f>
        <v>Frais déplacement + frais annexes</v>
      </c>
      <c r="C39" s="827"/>
      <c r="D39" s="1896">
        <f>(VLOOKUP($A$27,'cost calculateur'!$E$44:$EA$65,86,FALSE)+VLOOKUP($A$27,'cost calculateur'!$E$44:$EA$65,92,FALSE)+VLOOKUP($A$27,'cost calculateur'!$E$44:$EA$65,110,FALSE))/1000</f>
        <v>0</v>
      </c>
      <c r="E39" s="1896">
        <f>(VLOOKUP($A$27,'cost calculateur'!$E$44:$EA$65,87,FALSE)+VLOOKUP($A$27,'cost calculateur'!$E$44:$EA$65,93,FALSE)+VLOOKUP($A$27,'cost calculateur'!$E$44:$EA$65,111,FALSE))/1000</f>
        <v>0</v>
      </c>
      <c r="F39" s="1896">
        <f>(VLOOKUP($A$27,'cost calculateur'!$E$44:$EA$65,88,FALSE)+VLOOKUP($A$27,'cost calculateur'!$E$44:$EA$65,94,FALSE)+VLOOKUP($A$27,'cost calculateur'!$E$44:$EA$65,112,FALSE))/1000</f>
        <v>0</v>
      </c>
      <c r="G39" s="1896">
        <f>(VLOOKUP($A$27,'cost calculateur'!$E$44:$EA$65,89,FALSE)+VLOOKUP($A$27,'cost calculateur'!$E$44:$EA$65,95,FALSE)+VLOOKUP($A$27,'cost calculateur'!$E$44:$EA$65,113,FALSE))/1000</f>
        <v>0</v>
      </c>
      <c r="H39" s="1896">
        <f>(VLOOKUP($A$27,'cost calculateur'!$E$44:$EA$65,90,FALSE)+VLOOKUP($A$27,'cost calculateur'!$E$44:$EA$65,96,FALSE)+VLOOKUP($A$27,'cost calculateur'!$E$44:$EA$65,114,FALSE))/1000</f>
        <v>0</v>
      </c>
      <c r="I39" s="1896">
        <f>(VLOOKUP($A$27,'cost calculateur'!$E$44:$EA$65,91,FALSE)+VLOOKUP($A$27,'cost calculateur'!$E$44:$EA$65,97,FALSE)+VLOOKUP($A$27,'cost calculateur'!$E$44:$EA$65,115,FALSE))/1000</f>
        <v>0</v>
      </c>
      <c r="J39" s="35"/>
      <c r="K39" s="208" t="s">
        <v>481</v>
      </c>
      <c r="L39" s="862"/>
      <c r="M39" s="1216" t="s">
        <v>738</v>
      </c>
      <c r="U39" s="1708"/>
      <c r="V39" s="1713"/>
    </row>
    <row r="40" spans="1:22">
      <c r="A40" s="17" t="str">
        <f t="shared" si="0"/>
        <v>OVS</v>
      </c>
      <c r="B40" s="2379" t="str">
        <f>IF('Mode Opératoire'!$I$1="Français",+'Cpte exploitation ARG'!K40,'Cpte exploitation ARG'!M40)</f>
        <v xml:space="preserve">Entretien et réparation </v>
      </c>
      <c r="C40" s="862" t="s">
        <v>491</v>
      </c>
      <c r="D40" s="1895"/>
      <c r="E40" s="1897"/>
      <c r="F40" s="1895"/>
      <c r="G40" s="1895"/>
      <c r="H40" s="1895"/>
      <c r="I40" s="1895"/>
      <c r="J40" s="35"/>
      <c r="K40" s="208" t="s">
        <v>49</v>
      </c>
      <c r="L40" s="222"/>
      <c r="M40" s="219" t="s">
        <v>107</v>
      </c>
      <c r="U40" s="1708"/>
      <c r="V40" s="1713"/>
    </row>
    <row r="41" spans="1:22">
      <c r="A41" s="17" t="str">
        <f t="shared" si="0"/>
        <v>OVS</v>
      </c>
      <c r="B41" s="2379" t="str">
        <f>IF('Mode Opératoire'!$I$1="Français",+'Cpte exploitation ARG'!K41,'Cpte exploitation ARG'!M41)</f>
        <v>Autres frais d'exploitation</v>
      </c>
      <c r="C41" s="862" t="s">
        <v>491</v>
      </c>
      <c r="D41" s="1898"/>
      <c r="E41" s="1897"/>
      <c r="F41" s="1895"/>
      <c r="G41" s="1895"/>
      <c r="H41" s="1895"/>
      <c r="I41" s="1895"/>
      <c r="K41" s="208" t="s">
        <v>50</v>
      </c>
      <c r="L41" s="222"/>
      <c r="M41" s="219" t="s">
        <v>108</v>
      </c>
      <c r="U41" s="1708"/>
      <c r="V41" s="1713"/>
    </row>
    <row r="42" spans="1:22">
      <c r="A42" s="17" t="str">
        <f t="shared" si="0"/>
        <v>OVS</v>
      </c>
      <c r="B42" s="2385" t="str">
        <f>IF('Mode Opératoire'!$I$1="Français",+'Cpte exploitation ARG'!K42,'Cpte exploitation ARG'!M42)</f>
        <v>Autres frais d'exploitation</v>
      </c>
      <c r="C42" s="2386"/>
      <c r="D42" s="1068">
        <f t="shared" ref="D42:I42" si="9">SUM(D35:D41)</f>
        <v>0</v>
      </c>
      <c r="E42" s="1069">
        <f t="shared" si="9"/>
        <v>0</v>
      </c>
      <c r="F42" s="1068">
        <f t="shared" si="9"/>
        <v>0</v>
      </c>
      <c r="G42" s="1068">
        <f t="shared" si="9"/>
        <v>0</v>
      </c>
      <c r="H42" s="1068">
        <f t="shared" si="9"/>
        <v>0</v>
      </c>
      <c r="I42" s="1068">
        <f t="shared" si="9"/>
        <v>0</v>
      </c>
      <c r="K42" s="233" t="s">
        <v>50</v>
      </c>
      <c r="L42" s="234"/>
      <c r="M42" s="235" t="s">
        <v>90</v>
      </c>
      <c r="U42" s="1708"/>
      <c r="V42" s="1713"/>
    </row>
    <row r="43" spans="1:22">
      <c r="A43" s="17" t="str">
        <f t="shared" si="0"/>
        <v>OVS</v>
      </c>
      <c r="B43" s="2379" t="str">
        <f>IF('Mode Opératoire'!$I$1="Français",+'Cpte exploitation ARG'!K43,'Cpte exploitation ARG'!M43)</f>
        <v>Amortissements agence</v>
      </c>
      <c r="C43" s="862" t="s">
        <v>491</v>
      </c>
      <c r="D43" s="1895"/>
      <c r="E43" s="1897"/>
      <c r="F43" s="1895"/>
      <c r="G43" s="1895"/>
      <c r="H43" s="1895"/>
      <c r="I43" s="1895"/>
      <c r="J43" s="35"/>
      <c r="K43" s="208" t="s">
        <v>129</v>
      </c>
      <c r="L43" s="222"/>
      <c r="M43" s="219" t="s">
        <v>109</v>
      </c>
      <c r="U43" s="1708"/>
      <c r="V43" s="1713"/>
    </row>
    <row r="44" spans="1:22">
      <c r="A44" s="17" t="str">
        <f t="shared" si="0"/>
        <v>OVS</v>
      </c>
      <c r="B44" s="2379" t="str">
        <f>IF('Mode Opératoire'!$I$1="Français",+'Cpte exploitation ARG'!K44,'Cpte exploitation ARG'!M44)</f>
        <v>Entretien Batiments</v>
      </c>
      <c r="C44" s="862" t="s">
        <v>491</v>
      </c>
      <c r="D44" s="1895"/>
      <c r="E44" s="1897"/>
      <c r="F44" s="1895"/>
      <c r="G44" s="1895"/>
      <c r="H44" s="1895"/>
      <c r="I44" s="1895"/>
      <c r="K44" s="208" t="s">
        <v>51</v>
      </c>
      <c r="L44" s="222"/>
      <c r="M44" s="219" t="s">
        <v>110</v>
      </c>
      <c r="U44" s="1708"/>
      <c r="V44" s="1713"/>
    </row>
    <row r="45" spans="1:22">
      <c r="A45" s="17" t="str">
        <f t="shared" si="0"/>
        <v>OVS</v>
      </c>
      <c r="B45" s="2379" t="str">
        <f>IF('Mode Opératoire'!$I$1="Français",+'Cpte exploitation ARG'!K45,'Cpte exploitation ARG'!M45)</f>
        <v>Loyer</v>
      </c>
      <c r="C45" s="862" t="s">
        <v>491</v>
      </c>
      <c r="D45" s="1895"/>
      <c r="E45" s="1897"/>
      <c r="F45" s="1895"/>
      <c r="G45" s="1895"/>
      <c r="H45" s="1895"/>
      <c r="I45" s="1895"/>
      <c r="K45" s="208" t="s">
        <v>23</v>
      </c>
      <c r="L45" s="222"/>
      <c r="M45" s="219" t="s">
        <v>111</v>
      </c>
      <c r="U45" s="1708"/>
      <c r="V45" s="1713"/>
    </row>
    <row r="46" spans="1:22">
      <c r="A46" s="17" t="str">
        <f t="shared" si="0"/>
        <v>OVS</v>
      </c>
      <c r="B46" s="2379" t="str">
        <f>IF('Mode Opératoire'!$I$1="Français",+'Cpte exploitation ARG'!K46,'Cpte exploitation ARG'!M46)</f>
        <v>Coût de transfert</v>
      </c>
      <c r="C46" s="862" t="s">
        <v>491</v>
      </c>
      <c r="D46" s="1895"/>
      <c r="E46" s="1897"/>
      <c r="F46" s="1895"/>
      <c r="G46" s="1895"/>
      <c r="H46" s="1895"/>
      <c r="I46" s="1895"/>
      <c r="K46" s="208" t="s">
        <v>652</v>
      </c>
      <c r="L46" s="222"/>
      <c r="M46" s="219" t="s">
        <v>735</v>
      </c>
      <c r="U46" s="1708"/>
      <c r="V46" s="1713"/>
    </row>
    <row r="47" spans="1:22">
      <c r="A47" s="17" t="str">
        <f t="shared" si="0"/>
        <v>OVS</v>
      </c>
      <c r="B47" s="2379" t="str">
        <f>IF('Mode Opératoire'!$I$1="Français",+'Cpte exploitation ARG'!K47,'Cpte exploitation ARG'!M47)</f>
        <v>Locations diverses (hors immobilière)</v>
      </c>
      <c r="C47" s="862" t="s">
        <v>491</v>
      </c>
      <c r="D47" s="1895"/>
      <c r="E47" s="1897"/>
      <c r="F47" s="1895"/>
      <c r="G47" s="1895"/>
      <c r="H47" s="1895"/>
      <c r="I47" s="1895"/>
      <c r="K47" s="208" t="s">
        <v>641</v>
      </c>
      <c r="L47" s="222"/>
      <c r="M47" s="219" t="s">
        <v>736</v>
      </c>
      <c r="U47" s="1708"/>
      <c r="V47" s="1713"/>
    </row>
    <row r="48" spans="1:22">
      <c r="A48" s="17" t="str">
        <f t="shared" si="0"/>
        <v>OVS</v>
      </c>
      <c r="B48" s="2379" t="str">
        <f>IF('Mode Opératoire'!$I$1="Français",+'Cpte exploitation ARG'!K48,'Cpte exploitation ARG'!M48)</f>
        <v>Honoraires</v>
      </c>
      <c r="C48" s="862" t="s">
        <v>491</v>
      </c>
      <c r="D48" s="1895"/>
      <c r="E48" s="1897"/>
      <c r="F48" s="1895"/>
      <c r="G48" s="1895"/>
      <c r="H48" s="1895"/>
      <c r="I48" s="1895"/>
      <c r="J48" s="1020" t="s">
        <v>1337</v>
      </c>
      <c r="K48" s="2478" t="s">
        <v>77</v>
      </c>
      <c r="L48" s="2479"/>
      <c r="M48" s="2480" t="s">
        <v>112</v>
      </c>
      <c r="N48" s="1020"/>
      <c r="O48" s="1020"/>
      <c r="P48" s="1020"/>
      <c r="Q48" s="1020"/>
      <c r="R48" s="1020"/>
      <c r="S48" s="1020"/>
      <c r="T48" s="1020" t="s">
        <v>1338</v>
      </c>
      <c r="U48" s="1020"/>
      <c r="V48" s="1020"/>
    </row>
    <row r="49" spans="1:22">
      <c r="A49" s="17" t="str">
        <f t="shared" si="0"/>
        <v>OVS</v>
      </c>
      <c r="B49" s="2379" t="str">
        <f>IF('Mode Opératoire'!$I$1="Français",+'Cpte exploitation ARG'!K49,'Cpte exploitation ARG'!M49)</f>
        <v>Autres frais de structure</v>
      </c>
      <c r="C49" s="862" t="s">
        <v>491</v>
      </c>
      <c r="D49" s="1895"/>
      <c r="E49" s="1897"/>
      <c r="F49" s="1895"/>
      <c r="G49" s="1895"/>
      <c r="H49" s="1895"/>
      <c r="I49" s="1895"/>
      <c r="J49" s="1020"/>
      <c r="K49" s="2478" t="s">
        <v>52</v>
      </c>
      <c r="L49" s="2479"/>
      <c r="M49" s="2480" t="s">
        <v>91</v>
      </c>
      <c r="N49" s="1020"/>
      <c r="O49" s="1020"/>
      <c r="P49" s="1020"/>
      <c r="Q49" s="1020"/>
      <c r="R49" s="1020"/>
      <c r="S49" s="1020"/>
      <c r="T49" s="1020" t="s">
        <v>1339</v>
      </c>
      <c r="U49" s="1020"/>
      <c r="V49" s="1020"/>
    </row>
    <row r="50" spans="1:22">
      <c r="A50" s="17" t="str">
        <f t="shared" si="0"/>
        <v>OVS</v>
      </c>
      <c r="B50" s="2385" t="str">
        <f>IF('Mode Opératoire'!$I$1="Français",+'Cpte exploitation ARG'!K50,'Cpte exploitation ARG'!M50)</f>
        <v>Frais d'agence</v>
      </c>
      <c r="C50" s="2386"/>
      <c r="D50" s="1063">
        <f t="shared" ref="D50:I50" si="10">SUM(D43:D49)</f>
        <v>0</v>
      </c>
      <c r="E50" s="1063">
        <f t="shared" si="10"/>
        <v>0</v>
      </c>
      <c r="F50" s="1063">
        <f t="shared" si="10"/>
        <v>0</v>
      </c>
      <c r="G50" s="1063">
        <f t="shared" si="10"/>
        <v>0</v>
      </c>
      <c r="H50" s="1063">
        <f t="shared" si="10"/>
        <v>0</v>
      </c>
      <c r="I50" s="1063">
        <f t="shared" si="10"/>
        <v>0</v>
      </c>
      <c r="K50" s="233" t="s">
        <v>119</v>
      </c>
      <c r="L50" s="234"/>
      <c r="M50" s="235" t="s">
        <v>92</v>
      </c>
      <c r="U50" s="1708"/>
      <c r="V50" s="1713"/>
    </row>
    <row r="51" spans="1:22">
      <c r="A51" s="17" t="str">
        <f t="shared" si="0"/>
        <v>OVS</v>
      </c>
      <c r="B51" s="209" t="str">
        <f>IF('Mode Opératoire'!$I$1="Français",+'Cpte exploitation ARG'!K51,'Cpte exploitation ARG'!M51)</f>
        <v>Dépréciation de créances douteuses</v>
      </c>
      <c r="C51" s="1075"/>
      <c r="D51" s="1074"/>
      <c r="E51" s="1074"/>
      <c r="F51" s="1074"/>
      <c r="G51" s="1074"/>
      <c r="H51" s="1074"/>
      <c r="I51" s="1074"/>
      <c r="K51" s="209" t="s">
        <v>188</v>
      </c>
      <c r="L51" s="223"/>
      <c r="M51" s="232" t="s">
        <v>198</v>
      </c>
      <c r="U51" s="1708"/>
      <c r="V51" s="1713"/>
    </row>
    <row r="52" spans="1:22">
      <c r="A52" s="17" t="str">
        <f t="shared" si="0"/>
        <v>OVS</v>
      </c>
      <c r="B52" s="2388" t="str">
        <f>IF('Mode Opératoire'!$I$1="Français",+'Cpte exploitation ARG'!K52,'Cpte exploitation ARG'!M52)</f>
        <v xml:space="preserve">Frais opérationnels </v>
      </c>
      <c r="C52" s="2389"/>
      <c r="D52" s="1072">
        <f>+D50+D42+D34+D51</f>
        <v>0</v>
      </c>
      <c r="E52" s="1072">
        <f t="shared" ref="E52:I52" si="11">+E50+E42+E34+E51</f>
        <v>0</v>
      </c>
      <c r="F52" s="1072">
        <f t="shared" si="11"/>
        <v>0</v>
      </c>
      <c r="G52" s="1072">
        <f t="shared" si="11"/>
        <v>0</v>
      </c>
      <c r="H52" s="1072">
        <f t="shared" si="11"/>
        <v>0</v>
      </c>
      <c r="I52" s="1072">
        <f t="shared" si="11"/>
        <v>0</v>
      </c>
      <c r="J52" s="451"/>
      <c r="K52" s="210" t="s">
        <v>135</v>
      </c>
      <c r="L52" s="211"/>
      <c r="M52" s="230" t="s">
        <v>93</v>
      </c>
      <c r="U52" s="1708"/>
      <c r="V52" s="1713"/>
    </row>
    <row r="53" spans="1:22">
      <c r="A53" s="17" t="str">
        <f t="shared" si="0"/>
        <v>OVS</v>
      </c>
      <c r="B53" s="2390" t="str">
        <f>IF('Mode Opératoire'!$I$1="Français",+'Cpte exploitation ARG'!K53,'Cpte exploitation ARG'!M53)</f>
        <v>% des ventes</v>
      </c>
      <c r="C53" s="2391"/>
      <c r="D53" s="1073">
        <f t="shared" ref="D53:I53" si="12">IF(D19&lt;&gt;0,D52/D$19,0)</f>
        <v>0</v>
      </c>
      <c r="E53" s="1073">
        <f t="shared" si="12"/>
        <v>0</v>
      </c>
      <c r="F53" s="1073">
        <f t="shared" si="12"/>
        <v>0</v>
      </c>
      <c r="G53" s="1073">
        <f t="shared" si="12"/>
        <v>0</v>
      </c>
      <c r="H53" s="1073">
        <f t="shared" si="12"/>
        <v>0</v>
      </c>
      <c r="I53" s="1073">
        <f t="shared" si="12"/>
        <v>0</v>
      </c>
      <c r="K53" s="212" t="s">
        <v>68</v>
      </c>
      <c r="L53" s="213"/>
      <c r="M53" s="231" t="s">
        <v>84</v>
      </c>
      <c r="U53" s="1708"/>
      <c r="V53" s="1713"/>
    </row>
    <row r="54" spans="1:22">
      <c r="A54" s="17" t="str">
        <f t="shared" si="0"/>
        <v>OVS</v>
      </c>
      <c r="B54" s="190" t="str">
        <f>IF('Mode Opératoire'!$I$1="Français",+'Cpte exploitation ARG'!K54,'Cpte exploitation ARG'!M54)</f>
        <v>Marge sur Coûts Directs</v>
      </c>
      <c r="C54" s="198"/>
      <c r="D54" s="226">
        <f>+D25+D52</f>
        <v>0</v>
      </c>
      <c r="E54" s="226">
        <f t="shared" ref="E54:I54" si="13">+E25+E52</f>
        <v>0</v>
      </c>
      <c r="F54" s="226">
        <f t="shared" si="13"/>
        <v>0</v>
      </c>
      <c r="G54" s="226">
        <f t="shared" si="13"/>
        <v>0</v>
      </c>
      <c r="H54" s="226">
        <f t="shared" si="13"/>
        <v>0</v>
      </c>
      <c r="I54" s="226">
        <f t="shared" si="13"/>
        <v>0</v>
      </c>
      <c r="K54" s="190" t="s">
        <v>953</v>
      </c>
      <c r="L54" s="198"/>
      <c r="M54" s="218" t="s">
        <v>954</v>
      </c>
      <c r="U54" s="1708"/>
      <c r="V54" s="1713"/>
    </row>
    <row r="55" spans="1:22">
      <c r="A55" s="17" t="str">
        <f t="shared" si="0"/>
        <v>OVS</v>
      </c>
      <c r="B55" s="214" t="str">
        <f>IF('Mode Opératoire'!$I$1="Français",+'Cpte exploitation ARG'!K55,'Cpte exploitation ARG'!M55)</f>
        <v>% des ventes</v>
      </c>
      <c r="C55" s="224"/>
      <c r="D55" s="221">
        <f t="shared" ref="D55:I55" si="14">IF(D$19&lt;&gt;0,D54/D$19,0)</f>
        <v>0</v>
      </c>
      <c r="E55" s="221">
        <f t="shared" si="14"/>
        <v>0</v>
      </c>
      <c r="F55" s="221">
        <f t="shared" si="14"/>
        <v>0</v>
      </c>
      <c r="G55" s="221">
        <f t="shared" si="14"/>
        <v>0</v>
      </c>
      <c r="H55" s="221">
        <f t="shared" si="14"/>
        <v>0</v>
      </c>
      <c r="I55" s="221">
        <f t="shared" si="14"/>
        <v>0</v>
      </c>
      <c r="K55" s="214" t="s">
        <v>68</v>
      </c>
      <c r="L55" s="224"/>
      <c r="M55" s="220" t="s">
        <v>84</v>
      </c>
      <c r="U55" s="1708"/>
      <c r="V55" s="1713"/>
    </row>
    <row r="56" spans="1:22">
      <c r="A56" s="17" t="str">
        <f>+$H$6&amp;"opé"</f>
        <v>OVSopé</v>
      </c>
      <c r="B56" s="215" t="str">
        <f>IF('Mode Opératoire'!$I$1="Français",+'Cpte exploitation ARG'!K56,'Cpte exploitation ARG'!M56)</f>
        <v>Frais de Siège opérationnel</v>
      </c>
      <c r="C56" s="1893">
        <f>VLOOKUP(A56,'Quote part frais'!L5:M95,2,FALSE)</f>
        <v>-3.2724790020568356E-2</v>
      </c>
      <c r="D56" s="1064">
        <f>ROUND($C$56*D19,0)</f>
        <v>0</v>
      </c>
      <c r="E56" s="1064">
        <f t="shared" ref="E56:I56" si="15">ROUND($C$56*E19,0)</f>
        <v>0</v>
      </c>
      <c r="F56" s="1064">
        <f t="shared" si="15"/>
        <v>0</v>
      </c>
      <c r="G56" s="1064">
        <f t="shared" si="15"/>
        <v>0</v>
      </c>
      <c r="H56" s="1064">
        <f t="shared" si="15"/>
        <v>0</v>
      </c>
      <c r="I56" s="1064">
        <f t="shared" si="15"/>
        <v>0</v>
      </c>
      <c r="K56" s="215" t="s">
        <v>955</v>
      </c>
      <c r="L56" s="237" t="str">
        <f>IF(SUM(M15:R15)=0,"-",AVERAGE((SUM(M56:R56)/SUM(M15:R15))))</f>
        <v>-</v>
      </c>
      <c r="M56" s="1697" t="s">
        <v>957</v>
      </c>
      <c r="U56" s="1708" t="s">
        <v>1378</v>
      </c>
      <c r="V56" s="1713" t="s">
        <v>992</v>
      </c>
    </row>
    <row r="57" spans="1:22">
      <c r="A57" s="17" t="str">
        <f t="shared" si="0"/>
        <v>OVS</v>
      </c>
      <c r="B57" s="216" t="str">
        <f>IF('Mode Opératoire'!$I$1="Français",+'Cpte exploitation ARG'!K57,'Cpte exploitation ARG'!M57)</f>
        <v>% des ventes</v>
      </c>
      <c r="C57" s="217"/>
      <c r="D57" s="1066">
        <f>IF(D19&lt;&gt;0,D56/D$19,0)</f>
        <v>0</v>
      </c>
      <c r="E57" s="1066">
        <f t="shared" ref="E57:I57" si="16">IF(E19&lt;&gt;0,E56/E$19,0)</f>
        <v>0</v>
      </c>
      <c r="F57" s="1066">
        <f t="shared" si="16"/>
        <v>0</v>
      </c>
      <c r="G57" s="1066">
        <f t="shared" si="16"/>
        <v>0</v>
      </c>
      <c r="H57" s="1066">
        <f t="shared" si="16"/>
        <v>0</v>
      </c>
      <c r="I57" s="1066">
        <f t="shared" si="16"/>
        <v>0</v>
      </c>
      <c r="K57" s="216" t="s">
        <v>68</v>
      </c>
      <c r="L57" s="217"/>
      <c r="M57" s="1697"/>
      <c r="U57" s="1708"/>
      <c r="V57" s="1713"/>
    </row>
    <row r="58" spans="1:22">
      <c r="A58" s="17" t="str">
        <f t="shared" si="0"/>
        <v>OVS</v>
      </c>
      <c r="B58" s="190" t="str">
        <f>IF('Mode Opératoire'!$I$1="Français",+'Cpte exploitation ARG'!K58,'Cpte exploitation ARG'!M58)</f>
        <v>Résultat d'activité</v>
      </c>
      <c r="C58" s="198"/>
      <c r="D58" s="226">
        <f>+D54+D56</f>
        <v>0</v>
      </c>
      <c r="E58" s="226">
        <f t="shared" ref="E58:I58" si="17">+E54+E56</f>
        <v>0</v>
      </c>
      <c r="F58" s="226">
        <f t="shared" si="17"/>
        <v>0</v>
      </c>
      <c r="G58" s="226">
        <f t="shared" si="17"/>
        <v>0</v>
      </c>
      <c r="H58" s="226">
        <f t="shared" si="17"/>
        <v>0</v>
      </c>
      <c r="I58" s="226">
        <f t="shared" si="17"/>
        <v>0</v>
      </c>
      <c r="K58" s="190" t="s">
        <v>187</v>
      </c>
      <c r="L58" s="198"/>
      <c r="M58" s="218" t="s">
        <v>195</v>
      </c>
      <c r="U58" s="1708"/>
      <c r="V58" s="1713"/>
    </row>
    <row r="59" spans="1:22">
      <c r="A59" s="17" t="str">
        <f t="shared" si="0"/>
        <v>OVS</v>
      </c>
      <c r="B59" s="214" t="str">
        <f>IF('Mode Opératoire'!$I$1="Français",+'Cpte exploitation ARG'!K59,'Cpte exploitation ARG'!M59)</f>
        <v>% des ventes</v>
      </c>
      <c r="C59" s="224"/>
      <c r="D59" s="221">
        <f t="shared" ref="D59:I59" si="18">IF(D$19&lt;&gt;0,D58/D$19,0)</f>
        <v>0</v>
      </c>
      <c r="E59" s="221">
        <f t="shared" si="18"/>
        <v>0</v>
      </c>
      <c r="F59" s="221">
        <f t="shared" si="18"/>
        <v>0</v>
      </c>
      <c r="G59" s="221">
        <f t="shared" si="18"/>
        <v>0</v>
      </c>
      <c r="H59" s="221">
        <f t="shared" si="18"/>
        <v>0</v>
      </c>
      <c r="I59" s="221">
        <f t="shared" si="18"/>
        <v>0</v>
      </c>
      <c r="K59" s="214" t="s">
        <v>68</v>
      </c>
      <c r="L59" s="224"/>
      <c r="M59" s="220" t="s">
        <v>84</v>
      </c>
      <c r="U59" s="1708"/>
      <c r="V59" s="1713"/>
    </row>
    <row r="60" spans="1:22" s="20" customFormat="1">
      <c r="A60" s="17" t="str">
        <f>+$H$6&amp;"HQ"</f>
        <v>OVSHQ</v>
      </c>
      <c r="B60" s="215" t="str">
        <f>IF('Mode Opératoire'!$I$1="Français",+'Cpte exploitation ARG'!K60,'Cpte exploitation ARG'!M60)</f>
        <v>Frais Groupe</v>
      </c>
      <c r="C60" s="237">
        <f>VLOOKUP(A60,'Quote part frais'!L6:M95,2,FALSE)</f>
        <v>-5.6217988072336238E-2</v>
      </c>
      <c r="D60" s="1064">
        <f>ROUND($C$60*D19,0)</f>
        <v>0</v>
      </c>
      <c r="E60" s="1064">
        <f t="shared" ref="E60:I60" si="19">ROUND($C$60*E19,0)</f>
        <v>0</v>
      </c>
      <c r="F60" s="1064">
        <f t="shared" si="19"/>
        <v>0</v>
      </c>
      <c r="G60" s="1064">
        <f t="shared" si="19"/>
        <v>0</v>
      </c>
      <c r="H60" s="1064">
        <f t="shared" si="19"/>
        <v>0</v>
      </c>
      <c r="I60" s="1064">
        <f t="shared" si="19"/>
        <v>0</v>
      </c>
      <c r="K60" s="215" t="s">
        <v>956</v>
      </c>
      <c r="L60" s="237" t="str">
        <f>IF(SUM(M19:R19)=0,"-",AVERAGE((SUM(M60:R60)/SUM(M19:R19))))</f>
        <v>-</v>
      </c>
      <c r="M60" s="228" t="s">
        <v>958</v>
      </c>
      <c r="U60" s="1708" t="s">
        <v>1379</v>
      </c>
      <c r="V60" s="1713" t="s">
        <v>993</v>
      </c>
    </row>
    <row r="61" spans="1:22" s="20" customFormat="1">
      <c r="A61" s="17" t="str">
        <f t="shared" si="0"/>
        <v>OVS</v>
      </c>
      <c r="B61" s="216" t="str">
        <f>IF('Mode Opératoire'!$I$1="Français",+'Cpte exploitation ARG'!K61,'Cpte exploitation ARG'!M61)</f>
        <v>% des ventes</v>
      </c>
      <c r="C61" s="217"/>
      <c r="D61" s="1066">
        <f t="shared" ref="D61:I61" si="20">IF(D19&lt;&gt;0,D60/D$19,0)</f>
        <v>0</v>
      </c>
      <c r="E61" s="1066">
        <f t="shared" si="20"/>
        <v>0</v>
      </c>
      <c r="F61" s="1066">
        <f t="shared" si="20"/>
        <v>0</v>
      </c>
      <c r="G61" s="1066">
        <f t="shared" si="20"/>
        <v>0</v>
      </c>
      <c r="H61" s="1066">
        <f t="shared" si="20"/>
        <v>0</v>
      </c>
      <c r="I61" s="1066">
        <f t="shared" si="20"/>
        <v>0</v>
      </c>
      <c r="K61" s="216" t="s">
        <v>68</v>
      </c>
      <c r="L61" s="217"/>
      <c r="M61" s="229" t="s">
        <v>84</v>
      </c>
      <c r="U61" s="1708"/>
      <c r="V61" s="1713"/>
    </row>
    <row r="62" spans="1:22" s="20" customFormat="1">
      <c r="A62" s="17" t="str">
        <f>+$H$6&amp;"HQ"</f>
        <v>OVSHQ</v>
      </c>
      <c r="B62" s="215" t="s">
        <v>1388</v>
      </c>
      <c r="C62" s="237"/>
      <c r="D62" s="1064">
        <f>-1.25%*SUM(D15:D18)-1.75%*D14</f>
        <v>0</v>
      </c>
      <c r="E62" s="1064">
        <f t="shared" ref="E62:I62" si="21">-1.25%*SUM(E15:E18)-1.75%*E14</f>
        <v>0</v>
      </c>
      <c r="F62" s="1064">
        <f t="shared" si="21"/>
        <v>0</v>
      </c>
      <c r="G62" s="1064">
        <f t="shared" si="21"/>
        <v>0</v>
      </c>
      <c r="H62" s="1064">
        <f t="shared" si="21"/>
        <v>0</v>
      </c>
      <c r="I62" s="1064">
        <f t="shared" si="21"/>
        <v>0</v>
      </c>
      <c r="K62" s="215" t="s">
        <v>956</v>
      </c>
      <c r="L62" s="237" t="str">
        <f>IF(SUM(M21:R21)=0,"-",AVERAGE((SUM(M62:R62)/SUM(M21:R21))))</f>
        <v>-</v>
      </c>
      <c r="M62" s="228" t="s">
        <v>958</v>
      </c>
      <c r="U62" s="1708" t="s">
        <v>1379</v>
      </c>
      <c r="V62" s="1713" t="s">
        <v>993</v>
      </c>
    </row>
    <row r="63" spans="1:22" s="20" customFormat="1">
      <c r="A63" s="17" t="str">
        <f t="shared" si="0"/>
        <v>OVS</v>
      </c>
      <c r="B63" s="216" t="str">
        <f>IF('Mode Opératoire'!$I$1="Français",+'Cpte exploitation ARG'!K63,'Cpte exploitation ARG'!M63)</f>
        <v>% des ventes</v>
      </c>
      <c r="C63" s="217"/>
      <c r="D63" s="1066">
        <f t="shared" ref="D63:I63" si="22">IF(D19&lt;&gt;0,D62/D$19,0)</f>
        <v>0</v>
      </c>
      <c r="E63" s="1066">
        <f t="shared" si="22"/>
        <v>0</v>
      </c>
      <c r="F63" s="1066">
        <f t="shared" si="22"/>
        <v>0</v>
      </c>
      <c r="G63" s="1066">
        <f t="shared" si="22"/>
        <v>0</v>
      </c>
      <c r="H63" s="1066">
        <f t="shared" si="22"/>
        <v>0</v>
      </c>
      <c r="I63" s="1066">
        <f t="shared" si="22"/>
        <v>0</v>
      </c>
      <c r="K63" s="216" t="s">
        <v>68</v>
      </c>
      <c r="L63" s="217"/>
      <c r="M63" s="229" t="s">
        <v>84</v>
      </c>
      <c r="U63" s="1708"/>
      <c r="V63" s="1713"/>
    </row>
    <row r="64" spans="1:22">
      <c r="A64" s="17" t="str">
        <f t="shared" si="0"/>
        <v>OVS</v>
      </c>
      <c r="B64" s="190" t="str">
        <f>IF('Mode Opératoire'!$I$1="Français",+'Cpte exploitation ARG'!K64,'Cpte exploitation ARG'!M64)</f>
        <v>Résultat Opérationnel Courant</v>
      </c>
      <c r="C64" s="198"/>
      <c r="D64" s="226">
        <f>+D58+D60+D62</f>
        <v>0</v>
      </c>
      <c r="E64" s="226">
        <f t="shared" ref="E64:I64" si="23">+E58+E60+E62</f>
        <v>0</v>
      </c>
      <c r="F64" s="226">
        <f t="shared" si="23"/>
        <v>0</v>
      </c>
      <c r="G64" s="226">
        <f t="shared" si="23"/>
        <v>0</v>
      </c>
      <c r="H64" s="226">
        <f t="shared" si="23"/>
        <v>0</v>
      </c>
      <c r="I64" s="226">
        <f t="shared" si="23"/>
        <v>0</v>
      </c>
      <c r="K64" s="190" t="s">
        <v>148</v>
      </c>
      <c r="L64" s="198"/>
      <c r="M64" s="218" t="s">
        <v>94</v>
      </c>
      <c r="U64" s="1708"/>
      <c r="V64" s="1713"/>
    </row>
    <row r="65" spans="1:22">
      <c r="A65" s="17" t="str">
        <f t="shared" si="0"/>
        <v>OVS</v>
      </c>
      <c r="B65" s="214" t="str">
        <f>IF('Mode Opératoire'!$I$1="Français",+'Cpte exploitation ARG'!K65,'Cpte exploitation ARG'!M65)</f>
        <v>% des ventes</v>
      </c>
      <c r="C65" s="224"/>
      <c r="D65" s="221">
        <f t="shared" ref="D65:I65" si="24">IF(D$19&lt;&gt;0,D64/D$19,0)</f>
        <v>0</v>
      </c>
      <c r="E65" s="221">
        <f t="shared" si="24"/>
        <v>0</v>
      </c>
      <c r="F65" s="221">
        <f t="shared" si="24"/>
        <v>0</v>
      </c>
      <c r="G65" s="221">
        <f t="shared" si="24"/>
        <v>0</v>
      </c>
      <c r="H65" s="221">
        <f t="shared" si="24"/>
        <v>0</v>
      </c>
      <c r="I65" s="221">
        <f t="shared" si="24"/>
        <v>0</v>
      </c>
      <c r="K65" s="214" t="s">
        <v>68</v>
      </c>
      <c r="L65" s="224"/>
      <c r="M65" s="220" t="s">
        <v>84</v>
      </c>
      <c r="U65" s="1708"/>
      <c r="V65" s="1713"/>
    </row>
    <row r="66" spans="1:22">
      <c r="B66" s="75"/>
      <c r="C66" s="75"/>
      <c r="D66" s="76"/>
      <c r="E66" s="76"/>
      <c r="F66" s="76"/>
      <c r="G66" s="76"/>
      <c r="H66" s="76"/>
      <c r="I66" s="76"/>
      <c r="K66" s="75"/>
      <c r="L66" s="75"/>
      <c r="M66" s="75"/>
      <c r="U66" s="1708"/>
      <c r="V66" s="1713"/>
    </row>
    <row r="67" spans="1:22">
      <c r="B67" s="830"/>
      <c r="C67" s="830"/>
      <c r="D67" s="892"/>
      <c r="E67" s="892"/>
      <c r="F67" s="892"/>
      <c r="G67" s="892"/>
      <c r="H67" s="892"/>
      <c r="I67" s="892"/>
      <c r="K67" s="21"/>
      <c r="L67" s="21"/>
      <c r="M67" s="21"/>
      <c r="U67" s="1708"/>
      <c r="V67" s="1713"/>
    </row>
    <row r="68" spans="1:22">
      <c r="B68" s="45" t="str">
        <f>IF('Mode Opératoire'!$I$1="Français",+'Cpte exploitation ARG'!K68,'Cpte exploitation ARG'!M68)</f>
        <v>Effectifs opérationnels fin d'année</v>
      </c>
      <c r="C68" s="140"/>
      <c r="D68" s="44"/>
      <c r="E68" s="44"/>
      <c r="F68" s="44"/>
      <c r="G68" s="44"/>
      <c r="H68" s="44"/>
      <c r="I68" s="44"/>
      <c r="K68" s="45" t="s">
        <v>121</v>
      </c>
      <c r="L68" s="140"/>
      <c r="M68" s="49"/>
      <c r="U68" s="1708"/>
      <c r="V68" s="1713"/>
    </row>
    <row r="69" spans="1:22">
      <c r="A69" s="17" t="str">
        <f>+$H$6</f>
        <v>OVS</v>
      </c>
      <c r="B69" s="2378" t="str">
        <f>IF('Mode Opératoire'!$I$1="Français",+'Cpte exploitation ARG'!K69,'Cpte exploitation ARG'!M69)</f>
        <v>Inscrits (ETP)</v>
      </c>
      <c r="C69" s="1076"/>
      <c r="D69" s="1899">
        <f>(VLOOKUP($A$27,'cost calculateur'!$E$44:$EA$65,12,FALSE))</f>
        <v>0</v>
      </c>
      <c r="E69" s="1899">
        <f>(VLOOKUP($A$27,'cost calculateur'!$E$44:$EA$65,13,FALSE))</f>
        <v>0</v>
      </c>
      <c r="F69" s="1899">
        <f>(VLOOKUP($A$27,'cost calculateur'!$E$44:$EA$65,14,FALSE))</f>
        <v>0</v>
      </c>
      <c r="G69" s="1899">
        <f>(VLOOKUP($A$27,'cost calculateur'!$E$44:$EA$65,15,FALSE))</f>
        <v>0</v>
      </c>
      <c r="H69" s="1899">
        <f>(VLOOKUP($A$27,'cost calculateur'!$E$44:$EA$65,16,FALSE))</f>
        <v>0</v>
      </c>
      <c r="I69" s="1900">
        <f>(VLOOKUP($A$27,'cost calculateur'!$E$44:$EA$65,16,FALSE))</f>
        <v>0</v>
      </c>
      <c r="J69" s="452"/>
      <c r="K69" s="207" t="s">
        <v>122</v>
      </c>
      <c r="L69" s="828"/>
      <c r="M69" s="245" t="s">
        <v>102</v>
      </c>
      <c r="U69" s="1708"/>
      <c r="V69" s="1713" t="s">
        <v>973</v>
      </c>
    </row>
    <row r="70" spans="1:22">
      <c r="A70" s="17" t="str">
        <f>+$H$6</f>
        <v>OVS</v>
      </c>
      <c r="B70" s="2395" t="str">
        <f>IF('Mode Opératoire'!$I$1="Français",+'Cpte exploitation ARG'!K70,'Cpte exploitation ARG'!M70)</f>
        <v xml:space="preserve"> Intérimaires</v>
      </c>
      <c r="C70" s="1077"/>
      <c r="D70" s="1901">
        <f>(VLOOKUP($A$27,'cost calculateur'!$E$68:$EA$90,12,FALSE))</f>
        <v>0</v>
      </c>
      <c r="E70" s="1901">
        <f>(VLOOKUP($A$27,'cost calculateur'!$E$68:$EA$90,13,FALSE))</f>
        <v>0</v>
      </c>
      <c r="F70" s="1901">
        <f>(VLOOKUP($A$27,'cost calculateur'!$E$68:$EA$90,14,FALSE))</f>
        <v>0</v>
      </c>
      <c r="G70" s="1901">
        <f>(VLOOKUP($A$27,'cost calculateur'!$E$68:$EA$90,15,FALSE))</f>
        <v>0</v>
      </c>
      <c r="H70" s="1901">
        <f>(VLOOKUP($A$27,'cost calculateur'!$E$68:$EA$90,16,FALSE))</f>
        <v>0</v>
      </c>
      <c r="I70" s="1902">
        <f>(VLOOKUP($A$27,'cost calculateur'!$E$68:$EA$90,16,FALSE))</f>
        <v>0</v>
      </c>
      <c r="K70" s="244" t="s">
        <v>53</v>
      </c>
      <c r="L70" s="829"/>
      <c r="M70" s="246" t="s">
        <v>95</v>
      </c>
      <c r="U70" s="1708" t="s">
        <v>1380</v>
      </c>
      <c r="V70" s="1713"/>
    </row>
    <row r="71" spans="1:22">
      <c r="B71" s="239" t="str">
        <f>IF('Mode Opératoire'!$I$1="Français",+'Cpte exploitation ARG'!K71,'Cpte exploitation ARG'!M71)</f>
        <v>Effectifs Opérationnels</v>
      </c>
      <c r="C71" s="240"/>
      <c r="D71" s="241">
        <f t="shared" ref="D71:I71" si="25">SUM(D69:D70)</f>
        <v>0</v>
      </c>
      <c r="E71" s="241">
        <f t="shared" si="25"/>
        <v>0</v>
      </c>
      <c r="F71" s="241">
        <f t="shared" si="25"/>
        <v>0</v>
      </c>
      <c r="G71" s="241">
        <f t="shared" si="25"/>
        <v>0</v>
      </c>
      <c r="H71" s="241">
        <f t="shared" si="25"/>
        <v>0</v>
      </c>
      <c r="I71" s="242">
        <f t="shared" si="25"/>
        <v>0</v>
      </c>
      <c r="K71" s="239" t="s">
        <v>120</v>
      </c>
      <c r="L71" s="240"/>
      <c r="M71" s="243" t="s">
        <v>96</v>
      </c>
      <c r="U71" s="1708"/>
      <c r="V71" s="1713"/>
    </row>
    <row r="72" spans="1:22">
      <c r="B72" s="17">
        <f>IF('Mode Opératoire'!$I$1="Français",+'Cpte exploitation ARG'!K72,'Cpte exploitation ARG'!M72)</f>
        <v>0</v>
      </c>
      <c r="U72" s="1708"/>
      <c r="V72" s="1713"/>
    </row>
    <row r="73" spans="1:22" ht="18" customHeight="1">
      <c r="B73" s="247" t="str">
        <f>IF('Mode Opératoire'!$I$1="Français",+'Cpte exploitation ARG'!K73,'Cpte exploitation ARG'!M73)</f>
        <v xml:space="preserve">cout moyen/effectifs </v>
      </c>
      <c r="C73" s="248"/>
      <c r="D73" s="249" t="str">
        <f>IF(D71=0,"-",D34/D71)</f>
        <v>-</v>
      </c>
      <c r="E73" s="249" t="str">
        <f t="shared" ref="E73:I73" si="26">IF(E71=0,"-",E34/E71)</f>
        <v>-</v>
      </c>
      <c r="F73" s="249" t="str">
        <f t="shared" si="26"/>
        <v>-</v>
      </c>
      <c r="G73" s="249" t="str">
        <f t="shared" si="26"/>
        <v>-</v>
      </c>
      <c r="H73" s="249" t="str">
        <f t="shared" si="26"/>
        <v>-</v>
      </c>
      <c r="I73" s="250" t="str">
        <f t="shared" si="26"/>
        <v>-</v>
      </c>
      <c r="K73" s="247" t="s">
        <v>839</v>
      </c>
      <c r="L73" s="248"/>
      <c r="M73" s="1579" t="s">
        <v>840</v>
      </c>
      <c r="U73" s="1708"/>
      <c r="V73" s="1713"/>
    </row>
    <row r="74" spans="1:22" ht="18" customHeight="1">
      <c r="B74" s="251" t="str">
        <f>IF('Mode Opératoire'!$I$1="Français",+'Cpte exploitation ARG'!K74,'Cpte exploitation ARG'!M74)</f>
        <v>RAC/effectifs</v>
      </c>
      <c r="C74" s="252"/>
      <c r="D74" s="253" t="str">
        <f>IF(D71=0,"-",D58/D71)</f>
        <v>-</v>
      </c>
      <c r="E74" s="253" t="str">
        <f t="shared" ref="E74:I74" si="27">IF(E71=0,"-",E58/E71)</f>
        <v>-</v>
      </c>
      <c r="F74" s="253" t="str">
        <f t="shared" si="27"/>
        <v>-</v>
      </c>
      <c r="G74" s="253" t="str">
        <f t="shared" si="27"/>
        <v>-</v>
      </c>
      <c r="H74" s="253" t="str">
        <f t="shared" si="27"/>
        <v>-</v>
      </c>
      <c r="I74" s="253" t="str">
        <f t="shared" si="27"/>
        <v>-</v>
      </c>
      <c r="K74" s="251" t="s">
        <v>959</v>
      </c>
      <c r="L74" s="252"/>
      <c r="M74" s="1580" t="s">
        <v>961</v>
      </c>
      <c r="U74" s="1708"/>
      <c r="V74" s="1713"/>
    </row>
    <row r="75" spans="1:22" ht="18" customHeight="1">
      <c r="B75" s="251" t="str">
        <f>IF('Mode Opératoire'!$I$1="Français",+'Cpte exploitation ARG'!K75,'Cpte exploitation ARG'!M75)</f>
        <v>MCO/effectifs</v>
      </c>
      <c r="C75" s="1698"/>
      <c r="D75" s="253" t="str">
        <f>IF(D71=0,"-",D22/D71)</f>
        <v>-</v>
      </c>
      <c r="E75" s="1699" t="str">
        <f t="shared" ref="E75:I75" si="28">IF(E71=0,"-",E22/E71)</f>
        <v>-</v>
      </c>
      <c r="F75" s="1699" t="str">
        <f t="shared" si="28"/>
        <v>-</v>
      </c>
      <c r="G75" s="1699" t="str">
        <f t="shared" si="28"/>
        <v>-</v>
      </c>
      <c r="H75" s="1699" t="str">
        <f t="shared" si="28"/>
        <v>-</v>
      </c>
      <c r="I75" s="1699" t="str">
        <f t="shared" si="28"/>
        <v>-</v>
      </c>
      <c r="K75" s="251" t="s">
        <v>960</v>
      </c>
      <c r="L75" s="1698"/>
      <c r="M75" s="1700" t="s">
        <v>962</v>
      </c>
      <c r="U75" s="1708"/>
      <c r="V75" s="1713"/>
    </row>
    <row r="76" spans="1:22" ht="18" customHeight="1">
      <c r="B76" s="254" t="str">
        <f>IF('Mode Opératoire'!$I$1="Français",+'Cpte exploitation ARG'!K76,'Cpte exploitation ARG'!M76)</f>
        <v>Total Frais Indirect</v>
      </c>
      <c r="C76" s="255"/>
      <c r="D76" s="256" t="str">
        <f>IF(D71=0,"-",(D56+D60)/D71)</f>
        <v>-</v>
      </c>
      <c r="E76" s="256" t="str">
        <f t="shared" ref="E76:I76" si="29">IF(E71=0,"-",(E56+E60)/E71)</f>
        <v>-</v>
      </c>
      <c r="F76" s="256" t="str">
        <f t="shared" si="29"/>
        <v>-</v>
      </c>
      <c r="G76" s="256" t="str">
        <f t="shared" si="29"/>
        <v>-</v>
      </c>
      <c r="H76" s="256" t="str">
        <f t="shared" si="29"/>
        <v>-</v>
      </c>
      <c r="I76" s="256" t="str">
        <f t="shared" si="29"/>
        <v>-</v>
      </c>
      <c r="K76" s="254" t="s">
        <v>963</v>
      </c>
      <c r="L76" s="255"/>
      <c r="M76" s="1581" t="s">
        <v>964</v>
      </c>
      <c r="U76" s="1708"/>
      <c r="V76" s="1713"/>
    </row>
  </sheetData>
  <mergeCells count="2">
    <mergeCell ref="C27:C33"/>
    <mergeCell ref="L27:L33"/>
  </mergeCells>
  <conditionalFormatting sqref="H6">
    <cfRule type="cellIs" dxfId="101" priority="11" operator="equal">
      <formula>"XXXXX"</formula>
    </cfRule>
  </conditionalFormatting>
  <conditionalFormatting sqref="D14:I18 D20:I20 D35:I38 D40:I41 D43:I49 D24:I24">
    <cfRule type="cellIs" dxfId="100" priority="9" operator="equal">
      <formula>0</formula>
    </cfRule>
  </conditionalFormatting>
  <conditionalFormatting sqref="D27:I33 D39:I39">
    <cfRule type="cellIs" dxfId="99" priority="8" operator="equal">
      <formula>#N/A</formula>
    </cfRule>
  </conditionalFormatting>
  <conditionalFormatting sqref="D31">
    <cfRule type="cellIs" dxfId="98" priority="6" operator="equal">
      <formula>#N/A</formula>
    </cfRule>
  </conditionalFormatting>
  <conditionalFormatting sqref="E31">
    <cfRule type="cellIs" dxfId="97" priority="5" operator="equal">
      <formula>#N/A</formula>
    </cfRule>
  </conditionalFormatting>
  <conditionalFormatting sqref="F31">
    <cfRule type="cellIs" dxfId="96" priority="4" operator="equal">
      <formula>#N/A</formula>
    </cfRule>
  </conditionalFormatting>
  <conditionalFormatting sqref="G31">
    <cfRule type="cellIs" dxfId="95" priority="3" operator="equal">
      <formula>#N/A</formula>
    </cfRule>
  </conditionalFormatting>
  <conditionalFormatting sqref="H31">
    <cfRule type="cellIs" dxfId="94" priority="2" operator="equal">
      <formula>#N/A</formula>
    </cfRule>
  </conditionalFormatting>
  <conditionalFormatting sqref="I31">
    <cfRule type="cellIs" dxfId="93" priority="1" operator="equal">
      <formula>#N/A</formula>
    </cfRule>
  </conditionalFormatting>
  <dataValidations count="1">
    <dataValidation type="list" showInputMessage="1" showErrorMessage="1" sqref="H6">
      <formula1>"XXXXX,ACTIVITE,FVL,CTP,DIV,GMO,Hors FVL,OVL,LOT,MSG,MOY,OVS,AIR,SEA,ROM,WRP,WHS,RPS"</formula1>
    </dataValidation>
  </dataValidations>
  <pageMargins left="0.45" right="0.26" top="0.51" bottom="0.82" header="0.27" footer="0.4921259845"/>
  <pageSetup paperSize="9" scale="71" orientation="portrait" r:id="rId1"/>
  <headerFooter alignWithMargins="0">
    <oddFooter>&amp;R6/9</oddFooter>
  </headerFooter>
  <drawing r:id="rId2"/>
  <legacyDrawing r:id="rId3"/>
</worksheet>
</file>

<file path=xl/worksheets/sheet40.xml><?xml version="1.0" encoding="utf-8"?>
<worksheet xmlns="http://schemas.openxmlformats.org/spreadsheetml/2006/main" xmlns:r="http://schemas.openxmlformats.org/officeDocument/2006/relationships">
  <sheetPr codeName="Feuil16">
    <tabColor rgb="FFFF0000"/>
  </sheetPr>
  <dimension ref="A1:IV93"/>
  <sheetViews>
    <sheetView topLeftCell="A67" workbookViewId="0">
      <selection activeCell="I28" sqref="I28"/>
    </sheetView>
  </sheetViews>
  <sheetFormatPr baseColWidth="10" defaultColWidth="0" defaultRowHeight="12.75"/>
  <cols>
    <col min="1" max="1" width="1" style="708" customWidth="1"/>
    <col min="2" max="2" width="8.42578125" style="708" bestFit="1" customWidth="1"/>
    <col min="3" max="3" width="15" style="708" customWidth="1"/>
    <col min="4" max="4" width="14.85546875" style="708" customWidth="1"/>
    <col min="5" max="5" width="12.28515625" style="708" bestFit="1" customWidth="1"/>
    <col min="6" max="6" width="15.140625" style="709" customWidth="1"/>
    <col min="7" max="7" width="13.85546875" style="709" customWidth="1"/>
    <col min="8" max="9" width="12.28515625" style="709" customWidth="1"/>
    <col min="10" max="10" width="12.85546875" style="709" bestFit="1" customWidth="1"/>
    <col min="11" max="11" width="11.7109375" style="708" customWidth="1"/>
    <col min="12" max="15" width="11" style="708" bestFit="1" customWidth="1"/>
    <col min="16" max="18" width="9.140625" style="708" customWidth="1"/>
    <col min="19" max="20" width="9.140625" style="708" customWidth="1" collapsed="1"/>
    <col min="21" max="21" width="4" style="708" customWidth="1"/>
    <col min="22" max="22" width="9.140625" style="708" customWidth="1"/>
    <col min="23" max="23" width="7.85546875" style="708" bestFit="1" customWidth="1"/>
    <col min="24" max="24" width="7.5703125" style="708" bestFit="1" customWidth="1"/>
    <col min="25" max="26" width="9.140625" style="708" customWidth="1"/>
    <col min="27" max="27" width="2.140625" style="708" customWidth="1"/>
    <col min="28" max="28" width="9.140625" style="708" customWidth="1"/>
    <col min="29" max="29" width="9.28515625" style="708" customWidth="1"/>
    <col min="30" max="32" width="8" style="708" bestFit="1" customWidth="1"/>
    <col min="33" max="33" width="1.7109375" style="708" customWidth="1"/>
    <col min="34" max="34" width="9.140625" style="708" customWidth="1"/>
    <col min="35" max="35" width="9.28515625" style="708" customWidth="1"/>
    <col min="36" max="38" width="8" style="708" bestFit="1" customWidth="1"/>
    <col min="39" max="39" width="1.7109375" style="708" customWidth="1"/>
    <col min="40" max="40" width="13.28515625" style="709" bestFit="1" customWidth="1"/>
    <col min="41" max="41" width="9.140625" style="708" customWidth="1"/>
    <col min="42" max="42" width="9.28515625" style="708" customWidth="1"/>
    <col min="43" max="45" width="8" style="708" bestFit="1" customWidth="1"/>
    <col min="46" max="46" width="1.5703125" style="708" customWidth="1"/>
    <col min="47" max="47" width="9.140625" style="708" customWidth="1"/>
    <col min="48" max="48" width="9.28515625" style="708" customWidth="1"/>
    <col min="49" max="51" width="8" style="708" bestFit="1" customWidth="1"/>
    <col min="52" max="52" width="1.42578125" style="708" customWidth="1"/>
    <col min="53" max="53" width="9.140625" style="708" customWidth="1"/>
    <col min="54" max="54" width="9.28515625" style="708" customWidth="1"/>
    <col min="55" max="57" width="8" style="708" bestFit="1" customWidth="1"/>
    <col min="58" max="58" width="1.28515625" style="708" customWidth="1"/>
    <col min="59" max="59" width="9.140625" style="708" customWidth="1"/>
    <col min="60" max="60" width="9.28515625" style="708" customWidth="1"/>
    <col min="61" max="63" width="8" style="708" bestFit="1" customWidth="1"/>
    <col min="64" max="64" width="1.28515625" style="708" customWidth="1"/>
    <col min="65" max="65" width="9.140625" style="708" customWidth="1"/>
    <col min="66" max="66" width="9.28515625" style="708" customWidth="1"/>
    <col min="67" max="69" width="8" style="708" bestFit="1" customWidth="1"/>
    <col min="70" max="70" width="1.28515625" style="708" customWidth="1"/>
    <col min="71" max="71" width="9.140625" style="708" customWidth="1"/>
    <col min="72" max="72" width="9.28515625" style="708" customWidth="1"/>
    <col min="73" max="75" width="8" style="708" bestFit="1" customWidth="1"/>
    <col min="76" max="76" width="1.28515625" style="708" customWidth="1"/>
    <col min="77" max="77" width="9.140625" style="708" customWidth="1"/>
    <col min="78" max="78" width="9.28515625" style="708" customWidth="1"/>
    <col min="79" max="81" width="8" style="708" bestFit="1" customWidth="1"/>
    <col min="82" max="82" width="9.140625" style="708" customWidth="1"/>
    <col min="83" max="83" width="14.5703125" style="708" customWidth="1"/>
    <col min="84" max="84" width="10.28515625" style="708" bestFit="1" customWidth="1"/>
    <col min="85" max="85" width="12.28515625" style="712" bestFit="1" customWidth="1"/>
    <col min="86" max="86" width="10.5703125" style="708" bestFit="1" customWidth="1"/>
    <col min="87" max="87" width="13.42578125" style="708" bestFit="1" customWidth="1"/>
    <col min="88" max="88" width="16.140625" style="708" bestFit="1" customWidth="1"/>
    <col min="89" max="89" width="18.5703125" style="708" bestFit="1" customWidth="1"/>
    <col min="90" max="94" width="8.7109375" style="708" customWidth="1"/>
    <col min="95" max="95" width="4" style="708" customWidth="1"/>
    <col min="96" max="100" width="8.7109375" style="708" customWidth="1"/>
    <col min="101" max="101" width="3.28515625" style="708" customWidth="1"/>
    <col min="102" max="106" width="8.7109375" style="708" customWidth="1"/>
    <col min="107" max="110" width="9.140625" style="708" customWidth="1"/>
    <col min="111" max="111" width="11.28515625" style="708" bestFit="1" customWidth="1"/>
    <col min="112" max="112" width="12" style="708" bestFit="1" customWidth="1"/>
    <col min="113" max="113" width="12" style="708" customWidth="1"/>
    <col min="114" max="121" width="9.140625" style="708" customWidth="1"/>
    <col min="122" max="123" width="13" style="708" customWidth="1"/>
    <col min="124" max="124" width="14" style="708" bestFit="1" customWidth="1"/>
    <col min="125" max="125" width="12" style="708" bestFit="1" customWidth="1"/>
    <col min="126" max="223" width="9.140625" style="708" customWidth="1"/>
    <col min="224" max="224" width="23.140625" style="708" bestFit="1" customWidth="1"/>
    <col min="225" max="225" width="9.5703125" style="708" bestFit="1" customWidth="1"/>
    <col min="226" max="226" width="12" style="708" customWidth="1"/>
    <col min="227" max="230" width="11" style="708" bestFit="1" customWidth="1"/>
    <col min="231" max="234" width="0" style="708" hidden="1" customWidth="1"/>
    <col min="235" max="235" width="9.140625" style="708" customWidth="1"/>
    <col min="236" max="247" width="0" style="708" hidden="1" customWidth="1"/>
    <col min="248" max="252" width="9.140625" style="708" customWidth="1"/>
    <col min="253" max="253" width="18.5703125" style="708" customWidth="1"/>
    <col min="254" max="16384" width="0" style="708" hidden="1"/>
  </cols>
  <sheetData>
    <row r="1" spans="1:256">
      <c r="K1" s="780" t="s">
        <v>391</v>
      </c>
    </row>
    <row r="2" spans="1:256">
      <c r="K2" s="780" t="s">
        <v>365</v>
      </c>
      <c r="AN2" s="781" t="str">
        <f>IF(Info="FR",AP2,AO2)</f>
        <v>Standard</v>
      </c>
      <c r="AO2" s="780" t="s">
        <v>392</v>
      </c>
      <c r="AP2" s="780" t="s">
        <v>393</v>
      </c>
      <c r="BA2" s="780" t="str">
        <f>IF(Info="FR",BC2,BB2)</f>
        <v>mensuel</v>
      </c>
      <c r="BB2" s="780" t="s">
        <v>370</v>
      </c>
      <c r="BC2" s="782" t="s">
        <v>394</v>
      </c>
      <c r="CE2" s="780" t="s">
        <v>395</v>
      </c>
      <c r="DQ2" s="780" t="s">
        <v>396</v>
      </c>
      <c r="DR2" s="780"/>
      <c r="DS2" s="780"/>
    </row>
    <row r="3" spans="1:256" ht="13.5" thickBot="1">
      <c r="B3" s="783" t="s">
        <v>397</v>
      </c>
      <c r="K3" s="710" t="str">
        <f>IF(Info="FR",K1,K2)</f>
        <v>Hypothèses augmentation de salaire (%)</v>
      </c>
      <c r="L3" s="711">
        <f>+$L$13</f>
        <v>2015</v>
      </c>
      <c r="M3" s="711">
        <f>+$M$13</f>
        <v>2016</v>
      </c>
      <c r="N3" s="711">
        <f>+$N$13</f>
        <v>2017</v>
      </c>
      <c r="O3" s="711">
        <f>+$O$13</f>
        <v>2018</v>
      </c>
      <c r="AN3" s="781" t="str">
        <f>IF(Info="FR",AP3,AO3)</f>
        <v>Performance</v>
      </c>
      <c r="AO3" s="780" t="s">
        <v>398</v>
      </c>
      <c r="AP3" s="780" t="s">
        <v>399</v>
      </c>
      <c r="BA3" s="780" t="str">
        <f>IF(Info="FR",BC3,BB3)</f>
        <v>annuel</v>
      </c>
      <c r="BB3" s="780" t="s">
        <v>400</v>
      </c>
      <c r="BC3" s="782" t="s">
        <v>401</v>
      </c>
      <c r="CE3" s="780" t="s">
        <v>367</v>
      </c>
      <c r="DQ3" s="780" t="s">
        <v>402</v>
      </c>
      <c r="DR3" s="780"/>
      <c r="DS3" s="780"/>
    </row>
    <row r="4" spans="1:256" ht="13.5" thickBot="1">
      <c r="B4" s="784" t="s">
        <v>856</v>
      </c>
      <c r="C4" s="780" t="str">
        <f>IF(Info="FR",E4,D4)</f>
        <v>Inscrits</v>
      </c>
      <c r="D4" s="780" t="s">
        <v>389</v>
      </c>
      <c r="E4" s="782" t="s">
        <v>403</v>
      </c>
      <c r="G4" s="781"/>
      <c r="H4" s="781" t="s">
        <v>404</v>
      </c>
      <c r="I4" s="781"/>
      <c r="J4" s="781" t="s">
        <v>366</v>
      </c>
      <c r="K4" s="713" t="str">
        <f>IF(Info="FR",H4,J4)</f>
        <v>Marché</v>
      </c>
      <c r="L4" s="714">
        <v>0.1</v>
      </c>
      <c r="M4" s="714">
        <v>0.1</v>
      </c>
      <c r="N4" s="714">
        <v>0.1</v>
      </c>
      <c r="O4" s="715">
        <v>0.1</v>
      </c>
      <c r="AJ4" s="780" t="s">
        <v>405</v>
      </c>
      <c r="AN4" s="781" t="str">
        <f>IF(Info="FR",AP4,AO4)</f>
        <v>Commerce</v>
      </c>
      <c r="AO4" s="780" t="s">
        <v>406</v>
      </c>
      <c r="AP4" s="780" t="s">
        <v>407</v>
      </c>
      <c r="AW4" s="780" t="s">
        <v>408</v>
      </c>
      <c r="CE4" s="716" t="str">
        <f>IF(Info="FR",CE2,CE3)</f>
        <v>Autres coûts liés au personnel</v>
      </c>
      <c r="DQ4" s="716" t="str">
        <f>IF(Info="FR",DQ2,DQ3)</f>
        <v>Honoraires lies au domaine RH</v>
      </c>
      <c r="DR4" s="716"/>
      <c r="DS4" s="716"/>
    </row>
    <row r="5" spans="1:256">
      <c r="C5" s="780" t="str">
        <f>IF(Info="FR",E5,D5)</f>
        <v>Intérimaires</v>
      </c>
      <c r="D5" s="780" t="s">
        <v>409</v>
      </c>
      <c r="E5" s="782" t="s">
        <v>410</v>
      </c>
      <c r="G5" s="781"/>
      <c r="H5" s="781" t="s">
        <v>368</v>
      </c>
      <c r="I5" s="781"/>
      <c r="J5" s="781" t="s">
        <v>368</v>
      </c>
      <c r="K5" s="717" t="str">
        <f>IF(Info="FR",H5,J5)</f>
        <v>Inflation</v>
      </c>
      <c r="L5" s="718">
        <v>0.05</v>
      </c>
      <c r="M5" s="718">
        <v>0.05</v>
      </c>
      <c r="N5" s="718">
        <v>0.05</v>
      </c>
      <c r="O5" s="719">
        <v>0.05</v>
      </c>
      <c r="W5" s="720"/>
      <c r="X5" s="720"/>
      <c r="Y5" s="720"/>
      <c r="Z5" s="720"/>
      <c r="AJ5" s="780" t="s">
        <v>411</v>
      </c>
      <c r="AN5" s="781" t="str">
        <f>IF(Info="FR",AP5,AO5)</f>
        <v>Affretement</v>
      </c>
      <c r="AO5" s="780" t="s">
        <v>412</v>
      </c>
      <c r="AP5" s="780" t="s">
        <v>413</v>
      </c>
      <c r="AW5" s="780" t="s">
        <v>414</v>
      </c>
      <c r="BC5" s="785" t="s">
        <v>415</v>
      </c>
      <c r="BD5" s="786"/>
      <c r="BE5" s="786"/>
      <c r="BF5" s="786"/>
      <c r="BG5" s="786"/>
      <c r="BH5" s="786"/>
      <c r="BI5" s="785" t="s">
        <v>415</v>
      </c>
      <c r="BJ5" s="786"/>
      <c r="BK5" s="786"/>
      <c r="BL5" s="786"/>
      <c r="BM5" s="786"/>
      <c r="BN5" s="786"/>
      <c r="BO5" s="785" t="s">
        <v>415</v>
      </c>
      <c r="BP5" s="786"/>
      <c r="BQ5" s="786"/>
      <c r="BR5" s="786"/>
      <c r="BS5" s="786"/>
      <c r="BT5" s="786"/>
      <c r="BU5" s="785" t="s">
        <v>415</v>
      </c>
      <c r="BV5" s="786"/>
      <c r="BW5" s="786"/>
      <c r="BX5" s="786"/>
      <c r="BY5" s="786"/>
      <c r="BZ5" s="786"/>
      <c r="CA5" s="785" t="s">
        <v>415</v>
      </c>
      <c r="CL5" s="711"/>
    </row>
    <row r="6" spans="1:256">
      <c r="B6" s="728"/>
      <c r="C6" s="728"/>
      <c r="D6" s="728"/>
      <c r="E6" s="728"/>
      <c r="F6" s="781"/>
      <c r="G6" s="781"/>
      <c r="H6" s="781" t="s">
        <v>0</v>
      </c>
      <c r="I6" s="781"/>
      <c r="J6" s="781" t="s">
        <v>228</v>
      </c>
      <c r="K6" s="721" t="str">
        <f>IF(Info="FR",H6,J6)</f>
        <v>Autres</v>
      </c>
      <c r="L6" s="722">
        <v>0.2</v>
      </c>
      <c r="M6" s="722">
        <v>0.2</v>
      </c>
      <c r="N6" s="722">
        <v>0.2</v>
      </c>
      <c r="O6" s="723">
        <v>0.2</v>
      </c>
      <c r="W6" s="720"/>
      <c r="X6" s="720"/>
      <c r="Y6" s="720"/>
      <c r="Z6" s="720"/>
      <c r="AH6" s="708" t="s">
        <v>369</v>
      </c>
      <c r="AI6" s="724">
        <v>1</v>
      </c>
      <c r="AJ6" s="708" t="str">
        <f>AI6&amp;IF(Info="FR",AJ4,AJ5)</f>
        <v>1 mois de salaire</v>
      </c>
      <c r="AN6" s="781" t="str">
        <f>IF(Info="FR",AP6,AO6)</f>
        <v>Manager</v>
      </c>
      <c r="AO6" s="780" t="s">
        <v>416</v>
      </c>
      <c r="AP6" s="780" t="s">
        <v>416</v>
      </c>
      <c r="AU6" s="708" t="s">
        <v>369</v>
      </c>
      <c r="AV6" s="725">
        <v>0.02</v>
      </c>
      <c r="AW6" s="708" t="str">
        <f>AV6*100 &amp;IF(Info="FR",AW4,AW5)</f>
        <v>2% Salaire annual</v>
      </c>
      <c r="BA6" s="708" t="s">
        <v>369</v>
      </c>
      <c r="BB6" s="726"/>
      <c r="BC6" s="727" t="s">
        <v>394</v>
      </c>
      <c r="BG6" s="708" t="s">
        <v>369</v>
      </c>
      <c r="BH6" s="726"/>
      <c r="BI6" s="727" t="s">
        <v>394</v>
      </c>
      <c r="BM6" s="708" t="s">
        <v>369</v>
      </c>
      <c r="BN6" s="726"/>
      <c r="BO6" s="727" t="s">
        <v>394</v>
      </c>
      <c r="BS6" s="708" t="s">
        <v>369</v>
      </c>
      <c r="BT6" s="726"/>
      <c r="BU6" s="727" t="s">
        <v>401</v>
      </c>
      <c r="BY6" s="708" t="s">
        <v>369</v>
      </c>
      <c r="BZ6" s="726"/>
      <c r="CA6" s="727"/>
      <c r="CL6" s="787"/>
      <c r="DT6" s="788" t="str">
        <f>IF(Info="FR",DV6,DU6)</f>
        <v>Forfait</v>
      </c>
      <c r="DU6" s="789" t="s">
        <v>417</v>
      </c>
      <c r="DV6" s="789" t="s">
        <v>417</v>
      </c>
    </row>
    <row r="7" spans="1:256">
      <c r="B7" s="728"/>
      <c r="C7" s="728"/>
      <c r="D7" s="728"/>
      <c r="E7" s="728"/>
      <c r="F7" s="781"/>
      <c r="G7" s="781"/>
      <c r="H7" s="781"/>
      <c r="I7" s="781"/>
      <c r="J7" s="781"/>
      <c r="K7" s="775"/>
      <c r="L7" s="776"/>
      <c r="M7" s="776"/>
      <c r="N7" s="776"/>
      <c r="O7" s="776"/>
      <c r="W7" s="720"/>
      <c r="X7" s="720"/>
      <c r="Y7" s="720"/>
      <c r="Z7" s="720"/>
      <c r="AI7" s="790"/>
      <c r="AP7" s="790"/>
      <c r="AV7" s="791"/>
      <c r="BA7" s="780" t="s">
        <v>418</v>
      </c>
      <c r="BH7" s="792"/>
      <c r="BI7" s="793"/>
      <c r="BN7" s="792"/>
      <c r="BO7" s="793"/>
      <c r="BT7" s="792"/>
      <c r="BU7" s="793"/>
      <c r="BZ7" s="792"/>
      <c r="CA7" s="793"/>
      <c r="CL7" s="780" t="s">
        <v>418</v>
      </c>
      <c r="DJ7" s="780" t="s">
        <v>418</v>
      </c>
      <c r="DT7" s="788" t="str">
        <f>IF(Info="FR",DV7,DU7)</f>
        <v>Régie</v>
      </c>
      <c r="DU7" s="789" t="s">
        <v>419</v>
      </c>
      <c r="DV7" s="789" t="s">
        <v>419</v>
      </c>
    </row>
    <row r="8" spans="1:256">
      <c r="B8" s="728"/>
      <c r="C8" s="728"/>
      <c r="D8" s="728"/>
      <c r="E8" s="728"/>
      <c r="F8" s="781"/>
      <c r="G8" s="781"/>
      <c r="H8" s="781"/>
      <c r="I8" s="781"/>
      <c r="J8" s="781"/>
      <c r="K8" s="775"/>
      <c r="L8" s="776"/>
      <c r="M8" s="776"/>
      <c r="N8" s="776"/>
      <c r="O8" s="776"/>
      <c r="W8" s="720"/>
      <c r="X8" s="720"/>
      <c r="Y8" s="720"/>
      <c r="Z8" s="720"/>
      <c r="AI8" s="790"/>
      <c r="AP8" s="790"/>
      <c r="AV8" s="791"/>
      <c r="BA8" s="780" t="s">
        <v>420</v>
      </c>
      <c r="BB8" s="711">
        <f>+$CM$13</f>
        <v>2015</v>
      </c>
      <c r="BC8" s="711">
        <f>+$CN$13</f>
        <v>2016</v>
      </c>
      <c r="BD8" s="711">
        <f>+$CO$13</f>
        <v>2017</v>
      </c>
      <c r="BE8" s="711">
        <f>+$CP$13</f>
        <v>2018</v>
      </c>
      <c r="BH8" s="711">
        <f>+$CM$13</f>
        <v>2015</v>
      </c>
      <c r="BI8" s="711">
        <f>+$CN$13</f>
        <v>2016</v>
      </c>
      <c r="BJ8" s="711">
        <f>+$CO$13</f>
        <v>2017</v>
      </c>
      <c r="BK8" s="711">
        <f>+$CP$13</f>
        <v>2018</v>
      </c>
      <c r="BN8" s="711">
        <f>+$CM$13</f>
        <v>2015</v>
      </c>
      <c r="BO8" s="711">
        <f>+$CN$13</f>
        <v>2016</v>
      </c>
      <c r="BP8" s="711">
        <f>+$CO$13</f>
        <v>2017</v>
      </c>
      <c r="BQ8" s="711">
        <f>+$CP$13</f>
        <v>2018</v>
      </c>
      <c r="BT8" s="711">
        <f>+$CM$13</f>
        <v>2015</v>
      </c>
      <c r="BU8" s="711">
        <f>+$CN$13</f>
        <v>2016</v>
      </c>
      <c r="BV8" s="711">
        <f>+$CO$13</f>
        <v>2017</v>
      </c>
      <c r="BW8" s="711">
        <f>+$CP$13</f>
        <v>2018</v>
      </c>
      <c r="BZ8" s="711">
        <f>+$CM$13</f>
        <v>2015</v>
      </c>
      <c r="CA8" s="711">
        <f>+$CN$13</f>
        <v>2016</v>
      </c>
      <c r="CB8" s="711">
        <f>+$CO$13</f>
        <v>2017</v>
      </c>
      <c r="CC8" s="711">
        <f>+$CP$13</f>
        <v>2018</v>
      </c>
      <c r="CL8" s="780" t="s">
        <v>420</v>
      </c>
      <c r="CM8" s="711">
        <f>+$CM$13</f>
        <v>2015</v>
      </c>
      <c r="CN8" s="711">
        <f>+$CN$13</f>
        <v>2016</v>
      </c>
      <c r="CO8" s="711">
        <f>+$CO$13</f>
        <v>2017</v>
      </c>
      <c r="CP8" s="711">
        <f>+$CP$13</f>
        <v>2018</v>
      </c>
      <c r="CR8" s="711"/>
      <c r="CS8" s="711">
        <f>+$CM$13</f>
        <v>2015</v>
      </c>
      <c r="CT8" s="711">
        <f>+$CN$13</f>
        <v>2016</v>
      </c>
      <c r="CU8" s="711">
        <f>+$CO$13</f>
        <v>2017</v>
      </c>
      <c r="CV8" s="711">
        <f>+$CP$13</f>
        <v>2018</v>
      </c>
      <c r="CX8" s="711"/>
      <c r="CY8" s="711">
        <f>+$CM$13</f>
        <v>2015</v>
      </c>
      <c r="CZ8" s="711">
        <f>+$CN$13</f>
        <v>2016</v>
      </c>
      <c r="DA8" s="711">
        <f>+$CO$13</f>
        <v>2017</v>
      </c>
      <c r="DB8" s="711">
        <f>+$CP$13</f>
        <v>2018</v>
      </c>
      <c r="DD8" s="765"/>
      <c r="DJ8" s="780" t="s">
        <v>420</v>
      </c>
      <c r="DK8" s="711">
        <f>+$CM$13</f>
        <v>2015</v>
      </c>
      <c r="DL8" s="711">
        <f>+$CN$13</f>
        <v>2016</v>
      </c>
      <c r="DM8" s="711">
        <f>+$CO$13</f>
        <v>2017</v>
      </c>
      <c r="DN8" s="711">
        <f>+$CP$13</f>
        <v>2018</v>
      </c>
      <c r="DW8" s="780" t="s">
        <v>420</v>
      </c>
      <c r="DX8" s="711">
        <f>+$CM$13</f>
        <v>2015</v>
      </c>
      <c r="DY8" s="711">
        <f>+$CN$13</f>
        <v>2016</v>
      </c>
      <c r="DZ8" s="711">
        <f>+$CO$13</f>
        <v>2017</v>
      </c>
      <c r="EA8" s="711">
        <f>+$CP$13</f>
        <v>2018</v>
      </c>
    </row>
    <row r="9" spans="1:256">
      <c r="B9" s="728"/>
      <c r="C9" s="728"/>
      <c r="D9" s="728"/>
      <c r="E9" s="728"/>
      <c r="F9" s="781"/>
      <c r="G9" s="781"/>
      <c r="H9" s="781"/>
      <c r="I9" s="781"/>
      <c r="J9" s="781"/>
      <c r="K9" s="775"/>
      <c r="L9" s="776"/>
      <c r="M9" s="776"/>
      <c r="N9" s="776"/>
      <c r="O9" s="794" t="str">
        <f>+O91</f>
        <v/>
      </c>
      <c r="W9" s="720"/>
      <c r="X9" s="720"/>
      <c r="Y9" s="720"/>
      <c r="Z9" s="720"/>
      <c r="AI9" s="790"/>
      <c r="AP9" s="790"/>
      <c r="AV9" s="791"/>
      <c r="BA9" s="710" t="str">
        <f>IF(Info="FR",BA7,BA8)</f>
        <v>Hypothèses augmentation (%)</v>
      </c>
      <c r="BB9" s="795"/>
      <c r="BC9" s="796"/>
      <c r="BD9" s="796"/>
      <c r="BE9" s="797"/>
      <c r="BH9" s="795"/>
      <c r="BI9" s="796"/>
      <c r="BJ9" s="796"/>
      <c r="BK9" s="797"/>
      <c r="BN9" s="795">
        <v>0.01</v>
      </c>
      <c r="BO9" s="796">
        <v>0.01</v>
      </c>
      <c r="BP9" s="796">
        <v>0.01</v>
      </c>
      <c r="BQ9" s="797">
        <v>0.01</v>
      </c>
      <c r="BT9" s="795">
        <v>0.01</v>
      </c>
      <c r="BU9" s="796">
        <v>0.01</v>
      </c>
      <c r="BV9" s="796">
        <v>0.01</v>
      </c>
      <c r="BW9" s="797">
        <v>0.01</v>
      </c>
      <c r="BZ9" s="795"/>
      <c r="CA9" s="796"/>
      <c r="CB9" s="796"/>
      <c r="CC9" s="797"/>
      <c r="CL9" s="710" t="str">
        <f>IF(Info="FR",CL7,CL8)</f>
        <v>Hypothèses augmentation (%)</v>
      </c>
      <c r="CM9" s="795"/>
      <c r="CN9" s="796"/>
      <c r="CO9" s="796"/>
      <c r="CP9" s="797"/>
      <c r="CR9" s="787"/>
      <c r="CS9" s="795"/>
      <c r="CT9" s="796"/>
      <c r="CU9" s="796"/>
      <c r="CV9" s="797"/>
      <c r="CW9" s="787"/>
      <c r="CX9" s="787"/>
      <c r="CY9" s="795">
        <v>0.01</v>
      </c>
      <c r="CZ9" s="796">
        <v>0.01</v>
      </c>
      <c r="DA9" s="796">
        <v>0.01</v>
      </c>
      <c r="DB9" s="797">
        <v>0.01</v>
      </c>
      <c r="DI9" s="787"/>
      <c r="DJ9" s="710" t="str">
        <f>IF(Info="FR",DJ7,DJ8)</f>
        <v>Hypothèses augmentation (%)</v>
      </c>
      <c r="DK9" s="795">
        <v>0.01</v>
      </c>
      <c r="DL9" s="796">
        <v>0.01</v>
      </c>
      <c r="DM9" s="796">
        <v>0.01</v>
      </c>
      <c r="DN9" s="797">
        <v>0.01</v>
      </c>
      <c r="DW9" s="710">
        <f>IF(Info="FR",DW7,DW8)</f>
        <v>0</v>
      </c>
      <c r="DX9" s="795">
        <v>0.01</v>
      </c>
      <c r="DY9" s="796">
        <v>0.01</v>
      </c>
      <c r="DZ9" s="796">
        <v>0.01</v>
      </c>
      <c r="EA9" s="797">
        <v>0.01</v>
      </c>
    </row>
    <row r="10" spans="1:256">
      <c r="B10" s="728"/>
      <c r="C10" s="728"/>
      <c r="D10" s="728"/>
      <c r="E10" s="728"/>
      <c r="F10" s="781"/>
      <c r="G10" s="781"/>
      <c r="H10" s="781"/>
      <c r="I10" s="781"/>
      <c r="J10" s="728"/>
      <c r="K10" s="798" t="s">
        <v>421</v>
      </c>
      <c r="L10" s="799"/>
      <c r="M10" s="799"/>
      <c r="N10" s="799"/>
      <c r="O10" s="799"/>
      <c r="P10" s="780" t="s">
        <v>422</v>
      </c>
      <c r="V10" s="780" t="s">
        <v>43</v>
      </c>
      <c r="W10" s="720"/>
      <c r="X10" s="720"/>
      <c r="Y10" s="720"/>
      <c r="Z10" s="720"/>
      <c r="AB10" s="780" t="s">
        <v>409</v>
      </c>
      <c r="AH10" s="780" t="s">
        <v>423</v>
      </c>
      <c r="AI10" s="800"/>
      <c r="AN10" s="781"/>
      <c r="AO10" s="780" t="s">
        <v>424</v>
      </c>
      <c r="AP10" s="790"/>
      <c r="AU10" s="780" t="s">
        <v>425</v>
      </c>
      <c r="AV10" s="791"/>
      <c r="BA10" s="780" t="s">
        <v>376</v>
      </c>
      <c r="BB10" s="792"/>
      <c r="BG10" s="780" t="s">
        <v>426</v>
      </c>
      <c r="BH10" s="792"/>
      <c r="BM10" s="780" t="s">
        <v>0</v>
      </c>
      <c r="BN10" s="792"/>
      <c r="BS10" s="780" t="s">
        <v>0</v>
      </c>
      <c r="BT10" s="792"/>
      <c r="BY10" s="780" t="s">
        <v>0</v>
      </c>
      <c r="BZ10" s="792"/>
      <c r="CG10" s="728"/>
      <c r="CL10" s="780" t="s">
        <v>427</v>
      </c>
      <c r="CM10" s="780"/>
      <c r="CN10" s="780"/>
      <c r="CR10" s="801" t="s">
        <v>230</v>
      </c>
      <c r="CX10" s="780" t="s">
        <v>428</v>
      </c>
      <c r="DD10" s="780"/>
      <c r="DE10" s="780"/>
      <c r="DF10" s="780"/>
      <c r="DG10" s="780"/>
      <c r="DH10" s="780"/>
      <c r="DI10" s="780"/>
      <c r="DJ10" s="780" t="s">
        <v>429</v>
      </c>
      <c r="DQ10" s="780"/>
      <c r="DR10" s="780"/>
      <c r="DS10" s="780"/>
      <c r="DT10" s="780"/>
      <c r="DU10" s="780"/>
      <c r="DV10" s="780"/>
      <c r="DW10" s="780" t="s">
        <v>430</v>
      </c>
    </row>
    <row r="11" spans="1:256" ht="16.5">
      <c r="A11" s="728"/>
      <c r="B11" s="728"/>
      <c r="C11" s="801" t="s">
        <v>431</v>
      </c>
      <c r="D11" s="801" t="s">
        <v>432</v>
      </c>
      <c r="E11" s="801"/>
      <c r="F11" s="802"/>
      <c r="G11" s="802" t="s">
        <v>433</v>
      </c>
      <c r="H11" s="802" t="s">
        <v>434</v>
      </c>
      <c r="I11" s="802" t="s">
        <v>435</v>
      </c>
      <c r="J11" s="802" t="s">
        <v>436</v>
      </c>
      <c r="K11" s="803" t="s">
        <v>371</v>
      </c>
      <c r="L11" s="729"/>
      <c r="M11" s="729"/>
      <c r="N11" s="729"/>
      <c r="O11" s="804"/>
      <c r="P11" s="801" t="s">
        <v>372</v>
      </c>
      <c r="Q11" s="728"/>
      <c r="R11" s="728"/>
      <c r="S11" s="728"/>
      <c r="T11" s="728"/>
      <c r="U11" s="728"/>
      <c r="V11" s="801" t="s">
        <v>373</v>
      </c>
      <c r="W11" s="730"/>
      <c r="X11" s="730"/>
      <c r="Y11" s="730"/>
      <c r="Z11" s="730"/>
      <c r="AA11" s="728"/>
      <c r="AB11" s="801" t="s">
        <v>374</v>
      </c>
      <c r="AC11" s="728"/>
      <c r="AD11" s="728"/>
      <c r="AE11" s="728"/>
      <c r="AF11" s="728"/>
      <c r="AG11" s="728"/>
      <c r="AH11" s="801" t="s">
        <v>227</v>
      </c>
      <c r="AI11" s="731"/>
      <c r="AJ11" s="728"/>
      <c r="AK11" s="728"/>
      <c r="AL11" s="728"/>
      <c r="AM11" s="728"/>
      <c r="AN11" s="802" t="s">
        <v>437</v>
      </c>
      <c r="AO11" s="801" t="s">
        <v>438</v>
      </c>
      <c r="AP11" s="731"/>
      <c r="AQ11" s="728"/>
      <c r="AR11" s="728"/>
      <c r="AS11" s="728"/>
      <c r="AT11" s="728"/>
      <c r="AU11" s="801" t="s">
        <v>375</v>
      </c>
      <c r="AV11" s="732"/>
      <c r="AW11" s="728"/>
      <c r="AX11" s="728"/>
      <c r="AY11" s="728"/>
      <c r="AZ11" s="728"/>
      <c r="BA11" s="801" t="s">
        <v>376</v>
      </c>
      <c r="BB11" s="733"/>
      <c r="BC11" s="734"/>
      <c r="BD11" s="728"/>
      <c r="BE11" s="728"/>
      <c r="BF11" s="728"/>
      <c r="BG11" s="801" t="s">
        <v>377</v>
      </c>
      <c r="BH11" s="733"/>
      <c r="BJ11" s="728"/>
      <c r="BK11" s="728"/>
      <c r="BL11" s="728"/>
      <c r="BM11" s="801" t="s">
        <v>228</v>
      </c>
      <c r="BN11" s="733"/>
      <c r="BP11" s="728"/>
      <c r="BQ11" s="728"/>
      <c r="BR11" s="728"/>
      <c r="BS11" s="801" t="s">
        <v>228</v>
      </c>
      <c r="BT11" s="733"/>
      <c r="BV11" s="728"/>
      <c r="BW11" s="728"/>
      <c r="BX11" s="728"/>
      <c r="BY11" s="801" t="s">
        <v>228</v>
      </c>
      <c r="BZ11" s="733"/>
      <c r="CB11" s="728"/>
      <c r="CC11" s="728"/>
      <c r="CD11" s="728"/>
      <c r="CE11" s="801" t="s">
        <v>439</v>
      </c>
      <c r="CF11" s="802" t="s">
        <v>434</v>
      </c>
      <c r="CG11" s="805" t="s">
        <v>440</v>
      </c>
      <c r="CH11" s="801" t="s">
        <v>441</v>
      </c>
      <c r="CI11" s="801" t="str">
        <f>"Loyer "&amp;"("&amp;CG15&amp;")"</f>
        <v>Loyer (monthly)</v>
      </c>
      <c r="CJ11" s="801" t="str">
        <f>"Gasoline "&amp;"("&amp;CG15&amp;")"</f>
        <v>Gasoline (monthly)</v>
      </c>
      <c r="CK11" s="802" t="str">
        <f>"Tel.portable "&amp;"("&amp;CG15&amp;")"</f>
        <v>Tel.portable (monthly)</v>
      </c>
      <c r="CL11" s="801" t="s">
        <v>378</v>
      </c>
      <c r="CM11" s="801"/>
      <c r="CN11" s="801"/>
      <c r="CO11" s="728"/>
      <c r="CP11" s="728"/>
      <c r="CQ11" s="728"/>
      <c r="CR11" s="801" t="s">
        <v>230</v>
      </c>
      <c r="CS11" s="728"/>
      <c r="CT11" s="728"/>
      <c r="CU11" s="728"/>
      <c r="CV11" s="728"/>
      <c r="CW11" s="728"/>
      <c r="CX11" s="801" t="s">
        <v>379</v>
      </c>
      <c r="CY11" s="728"/>
      <c r="CZ11" s="728"/>
      <c r="DA11" s="728"/>
      <c r="DB11" s="728"/>
      <c r="DC11" s="728"/>
      <c r="DD11" s="801" t="s">
        <v>435</v>
      </c>
      <c r="DE11" s="780" t="s">
        <v>442</v>
      </c>
      <c r="DF11" s="801" t="s">
        <v>443</v>
      </c>
      <c r="DG11" s="801" t="s">
        <v>444</v>
      </c>
      <c r="DH11" s="802" t="s">
        <v>0</v>
      </c>
      <c r="DI11" s="802" t="s">
        <v>445</v>
      </c>
      <c r="DJ11" s="801" t="s">
        <v>446</v>
      </c>
      <c r="DK11" s="728"/>
      <c r="DL11" s="728"/>
      <c r="DM11" s="728"/>
      <c r="DN11" s="728"/>
      <c r="DO11" s="728"/>
      <c r="DP11" s="728"/>
      <c r="DQ11" s="780" t="s">
        <v>447</v>
      </c>
      <c r="DR11" s="780" t="s">
        <v>448</v>
      </c>
      <c r="DS11" s="801" t="s">
        <v>432</v>
      </c>
      <c r="DT11" s="801" t="s">
        <v>449</v>
      </c>
      <c r="DU11" s="801" t="s">
        <v>450</v>
      </c>
      <c r="DV11" s="802" t="s">
        <v>451</v>
      </c>
      <c r="DW11" s="801" t="s">
        <v>452</v>
      </c>
      <c r="DX11" s="728"/>
      <c r="DY11" s="728"/>
      <c r="DZ11" s="728"/>
      <c r="EA11" s="728"/>
      <c r="EB11" s="728"/>
      <c r="EC11" s="728"/>
      <c r="ED11" s="728"/>
      <c r="EE11" s="728"/>
      <c r="EF11" s="728"/>
      <c r="EG11" s="728"/>
      <c r="EH11" s="728"/>
      <c r="EI11" s="728"/>
      <c r="EJ11" s="728"/>
      <c r="EK11" s="728"/>
      <c r="EL11" s="728"/>
      <c r="EM11" s="728"/>
      <c r="EN11" s="728"/>
      <c r="EO11" s="728"/>
      <c r="EP11" s="728"/>
      <c r="EQ11" s="728"/>
      <c r="ER11" s="728"/>
      <c r="ES11" s="728"/>
      <c r="ET11" s="728"/>
      <c r="EU11" s="728"/>
      <c r="EV11" s="728"/>
      <c r="EW11" s="728"/>
      <c r="EX11" s="728"/>
      <c r="EY11" s="728"/>
      <c r="EZ11" s="728"/>
      <c r="FA11" s="728"/>
      <c r="FB11" s="728"/>
      <c r="FC11" s="728"/>
      <c r="FD11" s="728"/>
      <c r="FE11" s="728"/>
      <c r="FF11" s="728"/>
      <c r="FG11" s="728"/>
      <c r="FH11" s="728"/>
      <c r="FI11" s="728"/>
      <c r="FJ11" s="728"/>
      <c r="FK11" s="728"/>
      <c r="FL11" s="728"/>
      <c r="FM11" s="728"/>
      <c r="FN11" s="728"/>
      <c r="FO11" s="728"/>
      <c r="FP11" s="728"/>
      <c r="FQ11" s="728"/>
      <c r="FR11" s="728"/>
      <c r="FS11" s="728"/>
      <c r="FT11" s="728"/>
      <c r="FU11" s="728"/>
      <c r="FV11" s="728"/>
      <c r="FW11" s="728"/>
      <c r="FX11" s="728"/>
      <c r="FY11" s="728"/>
      <c r="FZ11" s="728"/>
      <c r="GA11" s="728"/>
      <c r="GB11" s="728"/>
      <c r="GC11" s="728"/>
      <c r="GD11" s="728"/>
      <c r="GE11" s="728"/>
      <c r="GF11" s="728"/>
      <c r="GG11" s="728"/>
      <c r="GH11" s="728"/>
      <c r="GI11" s="728"/>
      <c r="GJ11" s="728"/>
      <c r="GK11" s="728"/>
      <c r="GL11" s="728"/>
      <c r="GM11" s="728"/>
      <c r="GN11" s="728"/>
      <c r="GO11" s="728"/>
      <c r="GP11" s="728"/>
      <c r="GQ11" s="728"/>
      <c r="GR11" s="728"/>
      <c r="GS11" s="728"/>
      <c r="GT11" s="728"/>
      <c r="GU11" s="728"/>
      <c r="GV11" s="728"/>
      <c r="GW11" s="728"/>
      <c r="GX11" s="728"/>
      <c r="GY11" s="728"/>
      <c r="GZ11" s="728"/>
      <c r="HA11" s="728"/>
      <c r="HB11" s="728"/>
      <c r="HC11" s="728"/>
      <c r="HD11" s="728"/>
      <c r="HE11" s="728"/>
      <c r="HF11" s="728"/>
      <c r="HG11" s="728"/>
      <c r="HH11" s="728"/>
      <c r="HI11" s="728"/>
      <c r="HJ11" s="728"/>
      <c r="HK11" s="728"/>
      <c r="HL11" s="728"/>
      <c r="HM11" s="728"/>
      <c r="HN11" s="728"/>
      <c r="HO11" s="728"/>
      <c r="HP11" s="728"/>
      <c r="HQ11" s="728"/>
      <c r="HR11" s="728"/>
      <c r="HS11" s="728"/>
      <c r="HT11" s="728"/>
      <c r="HU11" s="728"/>
      <c r="HV11" s="728"/>
      <c r="HW11" s="728"/>
      <c r="HX11" s="728"/>
      <c r="HY11" s="728"/>
      <c r="HZ11" s="728"/>
      <c r="IA11" s="728"/>
      <c r="IB11" s="728"/>
      <c r="IC11" s="728"/>
      <c r="ID11" s="728"/>
      <c r="IE11" s="728"/>
      <c r="IF11" s="728"/>
      <c r="IG11" s="728"/>
      <c r="IH11" s="728"/>
      <c r="II11" s="728"/>
      <c r="IJ11" s="728"/>
      <c r="IK11" s="728"/>
      <c r="IL11" s="728"/>
      <c r="IM11" s="728"/>
      <c r="IN11" s="728"/>
      <c r="IO11" s="728"/>
      <c r="IP11" s="728"/>
      <c r="IQ11" s="728"/>
      <c r="IR11" s="728"/>
      <c r="IS11" s="728"/>
      <c r="IT11" s="728"/>
      <c r="IU11" s="728"/>
      <c r="IV11" s="728"/>
    </row>
    <row r="12" spans="1:256">
      <c r="C12" s="780" t="s">
        <v>381</v>
      </c>
      <c r="D12" s="780" t="s">
        <v>453</v>
      </c>
      <c r="E12" s="780"/>
      <c r="F12" s="781"/>
      <c r="G12" s="781" t="s">
        <v>234</v>
      </c>
      <c r="H12" s="781" t="s">
        <v>229</v>
      </c>
      <c r="I12" s="781" t="s">
        <v>454</v>
      </c>
      <c r="J12" s="781" t="s">
        <v>455</v>
      </c>
      <c r="K12" s="3170" t="str">
        <f>IF(Info="FR",K10,K11)</f>
        <v>Le salaire mensuel brut incluant les charges</v>
      </c>
      <c r="L12" s="3171"/>
      <c r="M12" s="3171"/>
      <c r="N12" s="3171"/>
      <c r="O12" s="3172"/>
      <c r="P12" s="735" t="str">
        <f>IF(Info="FR",P10,P11)</f>
        <v>Effectif (moyenne annuelle)</v>
      </c>
      <c r="V12" s="735" t="str">
        <f>IF(Info="FR",V10,V11)</f>
        <v>Salaires et Charges</v>
      </c>
      <c r="AB12" s="735" t="str">
        <f>IF(Info="FR",AB10,AB11)</f>
        <v>Interim</v>
      </c>
      <c r="AH12" s="735" t="str">
        <f>IF(Info="FR",AH10,AH11)</f>
        <v>Frais d'embauche</v>
      </c>
      <c r="AN12" s="802" t="s">
        <v>456</v>
      </c>
      <c r="AO12" s="735" t="str">
        <f>IF(Info="FR",AO10,AO11)</f>
        <v>Prov. pour Primes</v>
      </c>
      <c r="AU12" s="735" t="str">
        <f>IF(Info="FR",AU10,AU11)</f>
        <v>Formation</v>
      </c>
      <c r="BA12" s="735" t="str">
        <f>IF(Info="FR",BA10,BA11)</f>
        <v>Cantine</v>
      </c>
      <c r="BG12" s="735" t="str">
        <f>IF(Info="FR",BG10,BG11)</f>
        <v>Divers Frais de Perso.</v>
      </c>
      <c r="BM12" s="735" t="str">
        <f>IF(Info="FR",BM10,BM11)</f>
        <v>Autres</v>
      </c>
      <c r="BS12" s="735" t="str">
        <f>IF(Info="FR",BS10,BS11)</f>
        <v>Autres</v>
      </c>
      <c r="BY12" s="735" t="str">
        <f>IF(Info="FR",BY10,BY11)</f>
        <v>Autres</v>
      </c>
      <c r="CE12" s="801" t="s">
        <v>234</v>
      </c>
      <c r="CF12" s="801" t="s">
        <v>382</v>
      </c>
      <c r="CG12" s="805" t="s">
        <v>457</v>
      </c>
      <c r="CH12" s="780" t="s">
        <v>441</v>
      </c>
      <c r="CI12" s="801" t="str">
        <f>"Rent "&amp;"("&amp;CG15&amp;")"</f>
        <v>Rent (monthly)</v>
      </c>
      <c r="CJ12" s="801" t="str">
        <f>"Gasoline "&amp;"("&amp;CG15&amp;")"</f>
        <v>Gasoline (monthly)</v>
      </c>
      <c r="CK12" s="801" t="str">
        <f>"Mobile ph "&amp;"("&amp;CG15&amp;")"</f>
        <v>Mobile ph (monthly)</v>
      </c>
      <c r="CL12" s="736" t="str">
        <f>IF(Info="FR",CL10,CL11)</f>
        <v>Loyer de Voitures</v>
      </c>
      <c r="CR12" s="736" t="str">
        <f>IF(Info="FR",CR10,CR11)</f>
        <v>Gasoline</v>
      </c>
      <c r="CX12" s="736" t="str">
        <f>IF(Info="FR",CX10,CX11)</f>
        <v>Cout telecom portable</v>
      </c>
      <c r="DD12" s="801" t="s">
        <v>454</v>
      </c>
      <c r="DE12" s="780" t="s">
        <v>458</v>
      </c>
      <c r="DF12" s="801" t="s">
        <v>443</v>
      </c>
      <c r="DG12" s="801" t="s">
        <v>459</v>
      </c>
      <c r="DH12" s="802" t="s">
        <v>228</v>
      </c>
      <c r="DI12" s="802" t="s">
        <v>460</v>
      </c>
      <c r="DJ12" s="736" t="str">
        <f>IF(Info="FR",DJ10,DJ11)</f>
        <v>Frais de Deplacement</v>
      </c>
      <c r="DQ12" s="780" t="s">
        <v>461</v>
      </c>
      <c r="DR12" s="780" t="s">
        <v>462</v>
      </c>
      <c r="DS12" s="780" t="s">
        <v>463</v>
      </c>
      <c r="DT12" s="801" t="s">
        <v>443</v>
      </c>
      <c r="DU12" s="801" t="s">
        <v>464</v>
      </c>
      <c r="DV12" s="802" t="s">
        <v>465</v>
      </c>
      <c r="DW12" s="736" t="str">
        <f>IF(Info="FR",DW10,DW11)</f>
        <v>Honoraries</v>
      </c>
    </row>
    <row r="13" spans="1:256">
      <c r="B13" s="443" t="s">
        <v>380</v>
      </c>
      <c r="C13" s="444" t="str">
        <f>IF(Info="FR",C11,C12)</f>
        <v>Inscrits/Intérimaires</v>
      </c>
      <c r="D13" s="444" t="str">
        <f>IF(Info="FR",D11,D12)</f>
        <v>Prévu au budget :</v>
      </c>
      <c r="E13" s="444" t="s">
        <v>233</v>
      </c>
      <c r="F13" s="444"/>
      <c r="G13" s="444" t="str">
        <f>IF(Info="FR",G11,G12)</f>
        <v>Voiture de Service</v>
      </c>
      <c r="H13" s="444" t="str">
        <f>IF(Info="FR",H11,H12)</f>
        <v xml:space="preserve">Tel. Portable </v>
      </c>
      <c r="I13" s="444" t="str">
        <f>IF(Info="FR",I11,I12)</f>
        <v>Deplacement</v>
      </c>
      <c r="J13" s="444" t="str">
        <f>IF(Info="FR",J11,J12)</f>
        <v>indicateur-Salaire</v>
      </c>
      <c r="K13" s="445">
        <f>+'Cpte exploitation 1+2+3'!D13</f>
        <v>2014</v>
      </c>
      <c r="L13" s="445">
        <f>+'Cpte exploitation 1+2+3'!E13</f>
        <v>2015</v>
      </c>
      <c r="M13" s="445">
        <f>+'Cpte exploitation 1+2+3'!F13</f>
        <v>2016</v>
      </c>
      <c r="N13" s="445">
        <f>+'Cpte exploitation 1+2+3'!G13</f>
        <v>2017</v>
      </c>
      <c r="O13" s="445">
        <f>+'Cpte exploitation 1+2+3'!H13</f>
        <v>2018</v>
      </c>
      <c r="P13" s="445">
        <f>+'Cpte exploitation 1+2+3'!D13</f>
        <v>2014</v>
      </c>
      <c r="Q13" s="445">
        <f>+'Cpte exploitation 1+2+3'!E13</f>
        <v>2015</v>
      </c>
      <c r="R13" s="445">
        <f>+'Cpte exploitation 1+2+3'!F13</f>
        <v>2016</v>
      </c>
      <c r="S13" s="445">
        <f>+'Cpte exploitation 1+2+3'!G13</f>
        <v>2017</v>
      </c>
      <c r="T13" s="445">
        <f>+'Cpte exploitation 1+2+3'!H13</f>
        <v>2018</v>
      </c>
      <c r="V13" s="445">
        <f>+'Cpte exploitation 1+2+3'!D13</f>
        <v>2014</v>
      </c>
      <c r="W13" s="445">
        <f>+'Cpte exploitation 1+2+3'!E13</f>
        <v>2015</v>
      </c>
      <c r="X13" s="445">
        <f>+'Cpte exploitation 1+2+3'!F13</f>
        <v>2016</v>
      </c>
      <c r="Y13" s="445">
        <f>+'Cpte exploitation 1+2+3'!G13</f>
        <v>2017</v>
      </c>
      <c r="Z13" s="445">
        <f>+'Cpte exploitation 1+2+3'!H13</f>
        <v>2018</v>
      </c>
      <c r="AB13" s="445">
        <f>+'Cpte exploitation 1+2+3'!D13</f>
        <v>2014</v>
      </c>
      <c r="AC13" s="445">
        <f>+'Cpte exploitation 1+2+3'!E13</f>
        <v>2015</v>
      </c>
      <c r="AD13" s="445">
        <f>+'Cpte exploitation 1+2+3'!F13</f>
        <v>2016</v>
      </c>
      <c r="AE13" s="445">
        <f>+'Cpte exploitation 1+2+3'!G13</f>
        <v>2017</v>
      </c>
      <c r="AF13" s="445">
        <f>+'Cpte exploitation 1+2+3'!H13</f>
        <v>2018</v>
      </c>
      <c r="AH13" s="445">
        <f>+'Cpte exploitation 1+2+3'!D13</f>
        <v>2014</v>
      </c>
      <c r="AI13" s="445">
        <f>+'Cpte exploitation 1+2+3'!E13</f>
        <v>2015</v>
      </c>
      <c r="AJ13" s="445">
        <f>+'Cpte exploitation 1+2+3'!F13</f>
        <v>2016</v>
      </c>
      <c r="AK13" s="445">
        <f>+'Cpte exploitation 1+2+3'!G13</f>
        <v>2017</v>
      </c>
      <c r="AL13" s="445">
        <f>+'Cpte exploitation 1+2+3'!H13</f>
        <v>2018</v>
      </c>
      <c r="AN13" s="806" t="str">
        <f>IF(Info="FR",AN11,AN12)</f>
        <v>Type de bonus</v>
      </c>
      <c r="AO13" s="445">
        <f>+'Cpte exploitation 1+2+3'!D13</f>
        <v>2014</v>
      </c>
      <c r="AP13" s="445">
        <f>+'Cpte exploitation 1+2+3'!E13</f>
        <v>2015</v>
      </c>
      <c r="AQ13" s="445">
        <f>+'Cpte exploitation 1+2+3'!F13</f>
        <v>2016</v>
      </c>
      <c r="AR13" s="445">
        <f>+'Cpte exploitation 1+2+3'!G13</f>
        <v>2017</v>
      </c>
      <c r="AS13" s="445">
        <f>+'Cpte exploitation 1+2+3'!H13</f>
        <v>2018</v>
      </c>
      <c r="AU13" s="445">
        <f>+'Cpte exploitation 1+2+3'!D13</f>
        <v>2014</v>
      </c>
      <c r="AV13" s="445">
        <f>+'Cpte exploitation 1+2+3'!E13</f>
        <v>2015</v>
      </c>
      <c r="AW13" s="445">
        <f>+'Cpte exploitation 1+2+3'!F13</f>
        <v>2016</v>
      </c>
      <c r="AX13" s="445">
        <f>+'Cpte exploitation 1+2+3'!G13</f>
        <v>2017</v>
      </c>
      <c r="AY13" s="445">
        <f>+'Cpte exploitation 1+2+3'!H13</f>
        <v>2018</v>
      </c>
      <c r="BA13" s="445">
        <f>+'Cpte exploitation 1+2+3'!D13</f>
        <v>2014</v>
      </c>
      <c r="BB13" s="445">
        <f>+'Cpte exploitation 1+2+3'!E13</f>
        <v>2015</v>
      </c>
      <c r="BC13" s="445">
        <f>+'Cpte exploitation 1+2+3'!F13</f>
        <v>2016</v>
      </c>
      <c r="BD13" s="445">
        <f>+'Cpte exploitation 1+2+3'!G13</f>
        <v>2017</v>
      </c>
      <c r="BE13" s="445">
        <f>+'Cpte exploitation 1+2+3'!H13</f>
        <v>2018</v>
      </c>
      <c r="BG13" s="445">
        <f>+'Cpte exploitation 1+2+3'!D13</f>
        <v>2014</v>
      </c>
      <c r="BH13" s="445">
        <f>+'Cpte exploitation 1+2+3'!E13</f>
        <v>2015</v>
      </c>
      <c r="BI13" s="445">
        <f>+'Cpte exploitation 1+2+3'!F13</f>
        <v>2016</v>
      </c>
      <c r="BJ13" s="445">
        <f>+'Cpte exploitation 1+2+3'!G13</f>
        <v>2017</v>
      </c>
      <c r="BK13" s="445">
        <f>+'Cpte exploitation 1+2+3'!H13</f>
        <v>2018</v>
      </c>
      <c r="BM13" s="445">
        <f>+'Cpte exploitation 1+2+3'!D13</f>
        <v>2014</v>
      </c>
      <c r="BN13" s="445">
        <f>+'Cpte exploitation 1+2+3'!E13</f>
        <v>2015</v>
      </c>
      <c r="BO13" s="445">
        <f>+'Cpte exploitation 1+2+3'!F13</f>
        <v>2016</v>
      </c>
      <c r="BP13" s="445">
        <f>+'Cpte exploitation 1+2+3'!G13</f>
        <v>2017</v>
      </c>
      <c r="BQ13" s="445">
        <f>+'Cpte exploitation 1+2+3'!H13</f>
        <v>2018</v>
      </c>
      <c r="BS13" s="445">
        <f>+'Cpte exploitation 1+2+3'!D13</f>
        <v>2014</v>
      </c>
      <c r="BT13" s="445">
        <f>+'Cpte exploitation 1+2+3'!E13</f>
        <v>2015</v>
      </c>
      <c r="BU13" s="445">
        <f>+'Cpte exploitation 1+2+3'!F13</f>
        <v>2016</v>
      </c>
      <c r="BV13" s="445">
        <f>+'Cpte exploitation 1+2+3'!G13</f>
        <v>2017</v>
      </c>
      <c r="BW13" s="445">
        <f>+'Cpte exploitation 1+2+3'!H13</f>
        <v>2018</v>
      </c>
      <c r="BY13" s="445">
        <f>+'Cpte exploitation 1+2+3'!D13</f>
        <v>2014</v>
      </c>
      <c r="BZ13" s="445">
        <f>+'Cpte exploitation 1+2+3'!E13</f>
        <v>2015</v>
      </c>
      <c r="CA13" s="445">
        <f>+'Cpte exploitation 1+2+3'!F13</f>
        <v>2016</v>
      </c>
      <c r="CB13" s="445">
        <f>+'Cpte exploitation 1+2+3'!G13</f>
        <v>2017</v>
      </c>
      <c r="CC13" s="445">
        <f>+'Cpte exploitation 1+2+3'!H13</f>
        <v>2018</v>
      </c>
      <c r="CE13" s="737" t="str">
        <f>IF(Info="FR",CE11,CE12)</f>
        <v>Voitures de service</v>
      </c>
      <c r="CF13" s="737" t="str">
        <f t="shared" ref="CF13:CK13" si="0">IF(Info="FR",CF11,CF12)</f>
        <v xml:space="preserve">Tel. Portable </v>
      </c>
      <c r="CG13" s="738" t="str">
        <f t="shared" si="0"/>
        <v>Indicateur -period</v>
      </c>
      <c r="CH13" s="737" t="str">
        <f t="shared" si="0"/>
        <v>Model</v>
      </c>
      <c r="CI13" s="737" t="str">
        <f t="shared" si="0"/>
        <v>Loyer (monthly)</v>
      </c>
      <c r="CJ13" s="737" t="str">
        <f t="shared" si="0"/>
        <v>Gasoline (monthly)</v>
      </c>
      <c r="CK13" s="739" t="str">
        <f t="shared" si="0"/>
        <v>Tel.portable (monthly)</v>
      </c>
      <c r="CL13" s="445">
        <f>+'Cpte exploitation 1+2+3'!D13</f>
        <v>2014</v>
      </c>
      <c r="CM13" s="445">
        <f>+'Cpte exploitation 1+2+3'!E13</f>
        <v>2015</v>
      </c>
      <c r="CN13" s="445">
        <f>+'Cpte exploitation 1+2+3'!F13</f>
        <v>2016</v>
      </c>
      <c r="CO13" s="445">
        <f>+'Cpte exploitation 1+2+3'!G13</f>
        <v>2017</v>
      </c>
      <c r="CP13" s="445">
        <f>+'Cpte exploitation 1+2+3'!H13</f>
        <v>2018</v>
      </c>
      <c r="CR13" s="445">
        <f>+'Cpte exploitation 1+2+3'!D13</f>
        <v>2014</v>
      </c>
      <c r="CS13" s="445">
        <f>+'Cpte exploitation 1+2+3'!E13</f>
        <v>2015</v>
      </c>
      <c r="CT13" s="445">
        <f>+'Cpte exploitation 1+2+3'!F13</f>
        <v>2016</v>
      </c>
      <c r="CU13" s="445">
        <f>+'Cpte exploitation 1+2+3'!G13</f>
        <v>2017</v>
      </c>
      <c r="CV13" s="445">
        <f>+'Cpte exploitation 1+2+3'!H13</f>
        <v>2018</v>
      </c>
      <c r="CX13" s="445">
        <f>+'Cpte exploitation 1+2+3'!D13</f>
        <v>2014</v>
      </c>
      <c r="CY13" s="445">
        <f>+'Cpte exploitation 1+2+3'!E13</f>
        <v>2015</v>
      </c>
      <c r="CZ13" s="445">
        <f>+'Cpte exploitation 1+2+3'!F13</f>
        <v>2016</v>
      </c>
      <c r="DA13" s="445">
        <f>+'Cpte exploitation 1+2+3'!G13</f>
        <v>2017</v>
      </c>
      <c r="DB13" s="445">
        <f>+'Cpte exploitation 1+2+3'!H13</f>
        <v>2018</v>
      </c>
      <c r="DD13" s="737" t="str">
        <f t="shared" ref="DD13:DI13" si="1">IF(Info="FR",DD11,DD12)</f>
        <v>Deplacement</v>
      </c>
      <c r="DE13" s="737" t="str">
        <f t="shared" si="1"/>
        <v>Frequence</v>
      </c>
      <c r="DF13" s="737" t="str">
        <f t="shared" si="1"/>
        <v>Transport</v>
      </c>
      <c r="DG13" s="737" t="str">
        <f t="shared" si="1"/>
        <v>Frais d'Hotel</v>
      </c>
      <c r="DH13" s="739" t="str">
        <f t="shared" si="1"/>
        <v>Autres</v>
      </c>
      <c r="DI13" s="739" t="str">
        <f t="shared" si="1"/>
        <v>Toute</v>
      </c>
      <c r="DJ13" s="445">
        <f>+'Cpte exploitation 1+2+3'!D13</f>
        <v>2014</v>
      </c>
      <c r="DK13" s="445">
        <f>+'Cpte exploitation 1+2+3'!E13</f>
        <v>2015</v>
      </c>
      <c r="DL13" s="445">
        <f>+'Cpte exploitation 1+2+3'!F13</f>
        <v>2016</v>
      </c>
      <c r="DM13" s="445">
        <f>+'Cpte exploitation 1+2+3'!G13</f>
        <v>2017</v>
      </c>
      <c r="DN13" s="445">
        <f>+'Cpte exploitation 1+2+3'!H13</f>
        <v>2018</v>
      </c>
      <c r="DQ13" s="737" t="str">
        <f t="shared" ref="DQ13:DV13" si="2">IF(Info="FR",DQ11,DQ12)</f>
        <v>Organisme</v>
      </c>
      <c r="DR13" s="737" t="str">
        <f t="shared" si="2"/>
        <v>Type de Service</v>
      </c>
      <c r="DS13" s="444" t="str">
        <f>IF(Info="FR",DS11,DS12)</f>
        <v>Prévu au budget :</v>
      </c>
      <c r="DT13" s="737" t="str">
        <f t="shared" si="2"/>
        <v>Forfait ou régie:</v>
      </c>
      <c r="DU13" s="737" t="str">
        <f t="shared" si="2"/>
        <v>Nbre de jours</v>
      </c>
      <c r="DV13" s="739" t="str">
        <f t="shared" si="2"/>
        <v xml:space="preserve">Prix unitaire </v>
      </c>
      <c r="DW13" s="445">
        <f>+'Cpte exploitation 1+2+3'!D13</f>
        <v>2014</v>
      </c>
      <c r="DX13" s="445">
        <f>+'Cpte exploitation 1+2+3'!E13</f>
        <v>2015</v>
      </c>
      <c r="DY13" s="445">
        <f>+'Cpte exploitation 1+2+3'!F13</f>
        <v>2016</v>
      </c>
      <c r="DZ13" s="445">
        <f>+'Cpte exploitation 1+2+3'!G13</f>
        <v>2017</v>
      </c>
      <c r="EA13" s="445">
        <f>+'Cpte exploitation 1+2+3'!H13</f>
        <v>2018</v>
      </c>
    </row>
    <row r="14" spans="1:256">
      <c r="B14" s="446"/>
      <c r="C14" s="450" t="s">
        <v>383</v>
      </c>
      <c r="D14" s="450" t="s">
        <v>383</v>
      </c>
      <c r="E14" s="450" t="s">
        <v>383</v>
      </c>
      <c r="F14" s="807" t="s">
        <v>384</v>
      </c>
      <c r="G14" s="740" t="s">
        <v>383</v>
      </c>
      <c r="H14" s="740" t="s">
        <v>383</v>
      </c>
      <c r="I14" s="450" t="s">
        <v>383</v>
      </c>
      <c r="J14" s="450" t="s">
        <v>383</v>
      </c>
      <c r="K14" s="741" t="s">
        <v>466</v>
      </c>
      <c r="L14" s="741" t="s">
        <v>385</v>
      </c>
      <c r="M14" s="741" t="s">
        <v>386</v>
      </c>
      <c r="N14" s="741" t="s">
        <v>387</v>
      </c>
      <c r="O14" s="741" t="s">
        <v>388</v>
      </c>
      <c r="P14" s="742">
        <f>SUM(P15:P39)</f>
        <v>0</v>
      </c>
      <c r="Q14" s="742">
        <f>SUM(Q15:Q39)</f>
        <v>0</v>
      </c>
      <c r="R14" s="742">
        <f>SUM(R15:R39)</f>
        <v>0</v>
      </c>
      <c r="S14" s="742">
        <f>SUM(S15:S39)</f>
        <v>0</v>
      </c>
      <c r="T14" s="742">
        <f>SUM(T15:T39)</f>
        <v>0</v>
      </c>
      <c r="V14" s="447">
        <f>SUM(V15:V39)</f>
        <v>0</v>
      </c>
      <c r="W14" s="447">
        <f>SUM(W15:W39)</f>
        <v>0</v>
      </c>
      <c r="X14" s="447">
        <f>SUM(X15:X39)</f>
        <v>0</v>
      </c>
      <c r="Y14" s="447">
        <f>SUM(Y15:Y39)</f>
        <v>0</v>
      </c>
      <c r="Z14" s="447">
        <f>SUM(Z15:Z39)</f>
        <v>0</v>
      </c>
      <c r="AB14" s="447">
        <f>SUM(AB15:AB39)</f>
        <v>0</v>
      </c>
      <c r="AC14" s="447">
        <f>SUM(AC15:AC39)</f>
        <v>0</v>
      </c>
      <c r="AD14" s="447">
        <f>SUM(AD15:AD39)</f>
        <v>0</v>
      </c>
      <c r="AE14" s="447">
        <f>SUM(AE15:AE39)</f>
        <v>0</v>
      </c>
      <c r="AF14" s="447">
        <f>SUM(AF15:AF39)</f>
        <v>0</v>
      </c>
      <c r="AH14" s="447">
        <f>SUM(AH15:AH39)</f>
        <v>0</v>
      </c>
      <c r="AI14" s="447">
        <f>SUM(AI15:AI39)</f>
        <v>0</v>
      </c>
      <c r="AJ14" s="447">
        <f>SUM(AJ15:AJ39)</f>
        <v>0</v>
      </c>
      <c r="AK14" s="447">
        <f>SUM(AK15:AK39)</f>
        <v>0</v>
      </c>
      <c r="AL14" s="447">
        <f>SUM(AL15:AL39)</f>
        <v>0</v>
      </c>
      <c r="AN14" s="808" t="s">
        <v>383</v>
      </c>
      <c r="AO14" s="742">
        <f>SUM(AO15:AO39)</f>
        <v>0</v>
      </c>
      <c r="AP14" s="742">
        <f>SUM(AP15:AP39)</f>
        <v>0</v>
      </c>
      <c r="AQ14" s="742">
        <f>SUM(AQ15:AQ39)</f>
        <v>0</v>
      </c>
      <c r="AR14" s="742">
        <f>SUM(AR15:AR39)</f>
        <v>0</v>
      </c>
      <c r="AS14" s="742">
        <f>SUM(AS15:AS39)</f>
        <v>0</v>
      </c>
      <c r="AU14" s="447">
        <f>SUM(AU15:AU39)</f>
        <v>0</v>
      </c>
      <c r="AV14" s="447">
        <f>SUM(AV15:AV39)</f>
        <v>0</v>
      </c>
      <c r="AW14" s="447">
        <f>SUM(AW15:AW39)</f>
        <v>0</v>
      </c>
      <c r="AX14" s="447">
        <f>SUM(AX15:AX39)</f>
        <v>0</v>
      </c>
      <c r="AY14" s="447">
        <f>SUM(AY15:AY39)</f>
        <v>0</v>
      </c>
      <c r="BA14" s="447">
        <f>SUM(BA15:BA39)</f>
        <v>0</v>
      </c>
      <c r="BB14" s="447">
        <f>SUM(BB15:BB39)</f>
        <v>0</v>
      </c>
      <c r="BC14" s="447">
        <f>SUM(BC15:BC39)</f>
        <v>0</v>
      </c>
      <c r="BD14" s="447">
        <f>SUM(BD15:BD39)</f>
        <v>0</v>
      </c>
      <c r="BE14" s="447">
        <f>SUM(BE15:BE39)</f>
        <v>0</v>
      </c>
      <c r="BG14" s="447">
        <f>SUM(BG15:BG39)</f>
        <v>0</v>
      </c>
      <c r="BH14" s="447">
        <f>SUM(BH15:BH39)</f>
        <v>0</v>
      </c>
      <c r="BI14" s="447">
        <f>SUM(BI15:BI39)</f>
        <v>0</v>
      </c>
      <c r="BJ14" s="447">
        <f>SUM(BJ15:BJ39)</f>
        <v>0</v>
      </c>
      <c r="BK14" s="447">
        <f>SUM(BK15:BK39)</f>
        <v>0</v>
      </c>
      <c r="BM14" s="447">
        <f>SUM(BM15:BM39)</f>
        <v>0</v>
      </c>
      <c r="BN14" s="447">
        <f>SUM(BN15:BN39)</f>
        <v>0</v>
      </c>
      <c r="BO14" s="447">
        <f>SUM(BO15:BO39)</f>
        <v>0</v>
      </c>
      <c r="BP14" s="447">
        <f>SUM(BP15:BP39)</f>
        <v>0</v>
      </c>
      <c r="BQ14" s="447">
        <f>SUM(BQ15:BQ39)</f>
        <v>0</v>
      </c>
      <c r="BS14" s="447">
        <f>SUM(BS15:BS39)</f>
        <v>0</v>
      </c>
      <c r="BT14" s="447">
        <f>SUM(BT15:BT39)</f>
        <v>0</v>
      </c>
      <c r="BU14" s="447">
        <f>SUM(BU15:BU39)</f>
        <v>0</v>
      </c>
      <c r="BV14" s="447">
        <f>SUM(BV15:BV39)</f>
        <v>0</v>
      </c>
      <c r="BW14" s="447">
        <f>SUM(BW15:BW39)</f>
        <v>0</v>
      </c>
      <c r="BY14" s="447">
        <f>SUM(BY15:BY39)</f>
        <v>0</v>
      </c>
      <c r="BZ14" s="447">
        <f>SUM(BZ15:BZ39)</f>
        <v>0</v>
      </c>
      <c r="CA14" s="447">
        <f>SUM(CA15:CA39)</f>
        <v>0</v>
      </c>
      <c r="CB14" s="447">
        <f>SUM(CB15:CB39)</f>
        <v>0</v>
      </c>
      <c r="CC14" s="447">
        <f>SUM(CC15:CC39)</f>
        <v>0</v>
      </c>
      <c r="CE14" s="743"/>
      <c r="CF14" s="743"/>
      <c r="CG14" s="743" t="s">
        <v>383</v>
      </c>
      <c r="CH14" s="741"/>
      <c r="CI14" s="743" t="s">
        <v>467</v>
      </c>
      <c r="CJ14" s="743" t="s">
        <v>467</v>
      </c>
      <c r="CK14" s="743" t="s">
        <v>467</v>
      </c>
      <c r="CL14" s="447">
        <f>SUM(CL15:CL39)</f>
        <v>0</v>
      </c>
      <c r="CM14" s="447">
        <f>SUM(CM15:CM39)</f>
        <v>0</v>
      </c>
      <c r="CN14" s="447">
        <f>SUM(CN15:CN39)</f>
        <v>0</v>
      </c>
      <c r="CO14" s="447">
        <f>SUM(CO15:CO39)</f>
        <v>0</v>
      </c>
      <c r="CP14" s="447">
        <f>SUM(CP15:CP39)</f>
        <v>0</v>
      </c>
      <c r="CR14" s="447">
        <f>SUM(CR15:CR39)</f>
        <v>0</v>
      </c>
      <c r="CS14" s="447">
        <f>SUM(CS15:CS39)</f>
        <v>0</v>
      </c>
      <c r="CT14" s="447">
        <f>SUM(CT15:CT39)</f>
        <v>0</v>
      </c>
      <c r="CU14" s="447">
        <f>SUM(CU15:CU39)</f>
        <v>0</v>
      </c>
      <c r="CV14" s="447">
        <f>SUM(CV15:CV39)</f>
        <v>0</v>
      </c>
      <c r="CX14" s="447">
        <f>SUM(CX15:CX39)</f>
        <v>0</v>
      </c>
      <c r="CY14" s="447">
        <f>SUM(CY15:CY39)</f>
        <v>0</v>
      </c>
      <c r="CZ14" s="447">
        <f>SUM(CZ15:CZ39)</f>
        <v>0</v>
      </c>
      <c r="DA14" s="447">
        <f>SUM(DA15:DA39)</f>
        <v>0</v>
      </c>
      <c r="DB14" s="447">
        <f>SUM(DB15:DB39)</f>
        <v>0</v>
      </c>
      <c r="DD14" s="743"/>
      <c r="DE14" s="741" t="s">
        <v>468</v>
      </c>
      <c r="DF14" s="741" t="s">
        <v>469</v>
      </c>
      <c r="DG14" s="741" t="s">
        <v>469</v>
      </c>
      <c r="DH14" s="741" t="s">
        <v>469</v>
      </c>
      <c r="DI14" s="741" t="s">
        <v>469</v>
      </c>
      <c r="DJ14" s="447">
        <f>SUM(DJ15:DJ39)</f>
        <v>0</v>
      </c>
      <c r="DK14" s="447">
        <f>SUM(DK15:DK39)</f>
        <v>0</v>
      </c>
      <c r="DL14" s="447">
        <f>SUM(DL15:DL39)</f>
        <v>0</v>
      </c>
      <c r="DM14" s="447">
        <f>SUM(DM15:DM39)</f>
        <v>0</v>
      </c>
      <c r="DN14" s="447">
        <f>SUM(DN15:DN39)</f>
        <v>0</v>
      </c>
      <c r="DQ14" s="809"/>
      <c r="DR14" s="810"/>
      <c r="DS14" s="450" t="s">
        <v>383</v>
      </c>
      <c r="DT14" s="450" t="s">
        <v>383</v>
      </c>
      <c r="DU14" s="741"/>
      <c r="DV14" s="741"/>
      <c r="DW14" s="447">
        <f>SUM(DW15:DW39)</f>
        <v>5000</v>
      </c>
      <c r="DX14" s="447">
        <f>SUM(DX15:DX39)</f>
        <v>5050</v>
      </c>
      <c r="DY14" s="447">
        <f>SUM(DY15:DY39)</f>
        <v>5100.5</v>
      </c>
      <c r="DZ14" s="447">
        <f>SUM(DZ15:DZ39)</f>
        <v>5151.5050000000001</v>
      </c>
      <c r="EA14" s="447">
        <f>SUM(EA15:EA39)</f>
        <v>5203.0200500000001</v>
      </c>
    </row>
    <row r="15" spans="1:256">
      <c r="B15" s="811" t="s">
        <v>470</v>
      </c>
      <c r="C15" s="744" t="s">
        <v>403</v>
      </c>
      <c r="D15" s="745" t="s">
        <v>390</v>
      </c>
      <c r="E15" s="745" t="s">
        <v>161</v>
      </c>
      <c r="F15" s="1609" t="str">
        <f>E15&amp;C15</f>
        <v>CTPInscrits</v>
      </c>
      <c r="G15" s="745" t="s">
        <v>390</v>
      </c>
      <c r="H15" s="745" t="s">
        <v>390</v>
      </c>
      <c r="I15" s="745" t="s">
        <v>472</v>
      </c>
      <c r="J15" s="745" t="s">
        <v>404</v>
      </c>
      <c r="K15" s="745"/>
      <c r="L15" s="746">
        <f>IFERROR(K15*(1+VLOOKUP($J15,$K$4:$O$6,2,0)),0)</f>
        <v>0</v>
      </c>
      <c r="M15" s="746">
        <f>IFERROR(L15*(1+VLOOKUP($J15,$K$4:$O$6,3,0)),0)</f>
        <v>0</v>
      </c>
      <c r="N15" s="746">
        <f>IFERROR(M15*(1+VLOOKUP($J15,$K$4:$O$6,4,0)),0)</f>
        <v>0</v>
      </c>
      <c r="O15" s="746">
        <f>IFERROR(N15*(1+VLOOKUP($J15,$K$4:$O$6,5,0)),0)</f>
        <v>0</v>
      </c>
      <c r="P15" s="812"/>
      <c r="Q15" s="747"/>
      <c r="R15" s="747"/>
      <c r="S15" s="747"/>
      <c r="T15" s="747"/>
      <c r="V15" s="748">
        <f t="shared" ref="V15:V39" si="3">IF($C15=Headcount,P15*K15,0)*12</f>
        <v>0</v>
      </c>
      <c r="W15" s="748">
        <f t="shared" ref="W15:W39" si="4">IF($C15=Headcount,Q15*L15,0)*12</f>
        <v>0</v>
      </c>
      <c r="X15" s="748">
        <f t="shared" ref="X15:X39" si="5">IF($C15=Headcount,R15*M15,0)*12</f>
        <v>0</v>
      </c>
      <c r="Y15" s="748">
        <f t="shared" ref="Y15:Y39" si="6">IF($C15=Headcount,S15*N15,0)*12</f>
        <v>0</v>
      </c>
      <c r="Z15" s="748">
        <f t="shared" ref="Z15:Z39" si="7">IF($C15=Headcount,T15*O15,0)*12</f>
        <v>0</v>
      </c>
      <c r="AB15" s="748">
        <f t="shared" ref="AB15:AB39" si="8">IF($C15=interim,+P15*K15,0)*12</f>
        <v>0</v>
      </c>
      <c r="AC15" s="748">
        <f t="shared" ref="AC15:AC39" si="9">IF($C15=interim,+Q15*L15,0)*12</f>
        <v>0</v>
      </c>
      <c r="AD15" s="748">
        <f t="shared" ref="AD15:AD39" si="10">IF($C15=interim,+R15*M15,0)*12</f>
        <v>0</v>
      </c>
      <c r="AE15" s="748">
        <f t="shared" ref="AE15:AE39" si="11">IF($C15=interim,+S15*N15,0)*12</f>
        <v>0</v>
      </c>
      <c r="AF15" s="748">
        <f t="shared" ref="AF15:AF39" si="12">IF($C15=interim,+T15*O15,0)*12</f>
        <v>0</v>
      </c>
      <c r="AH15" s="751">
        <f>IF(P15&lt;&gt;0,$AI$6*K15,0)</f>
        <v>0</v>
      </c>
      <c r="AI15" s="751">
        <f>IF(P15&lt;&gt;0,0,IF(Q15&lt;&gt;0,$AI$6*L15,0))</f>
        <v>0</v>
      </c>
      <c r="AJ15" s="751">
        <f>IF(P15&lt;&gt;0,0,IF(Q15&lt;&gt;0,0,IF(R15&lt;&gt;0,$AI$6*M15,0)))</f>
        <v>0</v>
      </c>
      <c r="AK15" s="751">
        <f>IF(P15&lt;&gt;0,0,IF(Q15&lt;&gt;0,0,IF(R15&lt;&gt;0,0,IF(S15&lt;&gt;0,$AI$6*N15,0))))</f>
        <v>0</v>
      </c>
      <c r="AL15" s="751">
        <f>IF(P15&lt;&gt;0,0,IF(Q15&lt;&gt;0,0,IF(R15&lt;&gt;0,0,IF(S15&lt;&gt;0,0,IF(T15&lt;&gt;0,$AI$6*O15,0)))))</f>
        <v>0</v>
      </c>
      <c r="AN15" s="745" t="s">
        <v>393</v>
      </c>
      <c r="AO15" s="747"/>
      <c r="AP15" s="747"/>
      <c r="AQ15" s="747"/>
      <c r="AR15" s="747"/>
      <c r="AS15" s="747"/>
      <c r="AU15" s="748">
        <f t="shared" ref="AU15:AU39" si="13">+K15*$P15*12*$AV$6</f>
        <v>0</v>
      </c>
      <c r="AV15" s="748">
        <f t="shared" ref="AV15:AV39" si="14">+L15*$Q15*12*$AV$6</f>
        <v>0</v>
      </c>
      <c r="AW15" s="748">
        <f t="shared" ref="AW15:AW39" si="15">+M15*$R15*12*$AV$6</f>
        <v>0</v>
      </c>
      <c r="AX15" s="748">
        <f t="shared" ref="AX15:AX39" si="16">+N15*$S15*12*$AV$6</f>
        <v>0</v>
      </c>
      <c r="AY15" s="748">
        <f t="shared" ref="AY15:AY39" si="17">+O15*$T15*12*$AV$6</f>
        <v>0</v>
      </c>
      <c r="BA15" s="748">
        <f>+$P15*(IF(OR(BC$6="monthly",BC$6="mensuel"),12,1)*BB$6)</f>
        <v>0</v>
      </c>
      <c r="BB15" s="748">
        <f>+$Q15*(IF(OR(BC$6="monthly",BC$6="mensuel"),12,1)*BB$6)*(1+BB$9)</f>
        <v>0</v>
      </c>
      <c r="BC15" s="748">
        <f>+$R15*(IF(OR(BC$6="monthly",BC$6="mensuel"),12,1)*BB$6)*(1+BB$9)*(1+BC$9)</f>
        <v>0</v>
      </c>
      <c r="BD15" s="748">
        <f>+$S15*(IF(OR(BC$6="monthly",BC$6="mensuel"),12,1)*BB$6)*(1+BB$9)*(1+BC$9)*(1+BD$9)</f>
        <v>0</v>
      </c>
      <c r="BE15" s="748">
        <f>+$T15*(IF(OR(BC$6="monthly",BC$6="mensuel"),12,1)*BB$6)*(1+BB$9)*(1+BC$9)*(1+BD$9)*(1+BE$9)</f>
        <v>0</v>
      </c>
      <c r="BG15" s="748">
        <f>+$P15*(IF(OR(BI$6="monthly",BI$6="mensuel"),12,1)*BH$6)</f>
        <v>0</v>
      </c>
      <c r="BH15" s="748">
        <f>+$Q15*(IF(OR(BI$6="monthly",BI$6="mensuel"),12,1)*BH$6)*(1+BH$9)</f>
        <v>0</v>
      </c>
      <c r="BI15" s="748">
        <f>+$R15*(IF(OR(BI$6="monthly",BI$6="mensuel"),12,1)*BH$6)*(1+BH$9)*(1+BI$9)</f>
        <v>0</v>
      </c>
      <c r="BJ15" s="748">
        <f>+$S15*(IF(OR(BI$6="monthly",BI$6="mensuel"),12,1)*BH$6)*(1+BH$9)*(1+BI$9)*(1+BJ$9)</f>
        <v>0</v>
      </c>
      <c r="BK15" s="748">
        <f>+$T15*(IF(OR(BI$6="monthly",BI$6="mensuel"),12,1)*BH$6)*(1+BH$9)*(1+BI$9)*(1+BJ$9)*(1+BK$9)</f>
        <v>0</v>
      </c>
      <c r="BM15" s="748">
        <f>+$P15*(IF(OR(BO$6="monthly",BO$6="mensuel"),12,1)*BN$6)</f>
        <v>0</v>
      </c>
      <c r="BN15" s="748">
        <f>+$Q15*(IF(OR(BO$6="monthly",BO$6="mensuel"),12,1)*BN$6)*(1+BN$9)</f>
        <v>0</v>
      </c>
      <c r="BO15" s="748">
        <f>+$R15*(IF(OR(BO$6="monthly",BO$6="mensuel"),12,1)*BN$6)*(1+BN$9)*(1+BO$9)</f>
        <v>0</v>
      </c>
      <c r="BP15" s="748">
        <f>+$S15*(IF(OR(BO$6="monthly",BO$6="mensuel"),12,1)*BN$6)*(1+BN$9)*(1+BO$9)*(1+BP$9)</f>
        <v>0</v>
      </c>
      <c r="BQ15" s="748">
        <f>+$T15*(IF(OR(BO$6="monthly",BO$6="mensuel"),12,1)*BN$6)*(1+BN$9)*(1+BO$9)*(1+BP$9)*(1+BQ$9)</f>
        <v>0</v>
      </c>
      <c r="BS15" s="748">
        <f>+$P15*(IF(OR(BU$6="monthly",BU$6="mensuel"),12,1)*BT$6)</f>
        <v>0</v>
      </c>
      <c r="BT15" s="748">
        <f>+$Q15*(IF(OR(BU$6="monthly",BU$6="mensuel"),12,1)*BT$6)*(1+BT$9)</f>
        <v>0</v>
      </c>
      <c r="BU15" s="748">
        <f>+$R15*(IF(OR(BU$6="monthly",BU$6="mensuel"),12,1)*BT$6)*(1+BT$9)*(1+BU$9)</f>
        <v>0</v>
      </c>
      <c r="BV15" s="748">
        <f>+$S15*(IF(OR(BU$6="monthly",BU$6="mensuel"),12,1)*BT$6)*(1+BT$9)*(1+BU$9)*(1+BV$9)</f>
        <v>0</v>
      </c>
      <c r="BW15" s="748">
        <f>+$T15*(IF(OR(BU$6="monthly",BU$6="mensuel"),12,1)*BT$6)*(1+BT$9)*(1+BU$9)*(1+BV$9)*(1+BW$9)</f>
        <v>0</v>
      </c>
      <c r="BY15" s="748">
        <f>+$P15*(IF(OR(CA$6="monthly",CA$6="mensuel"),12,1)*BZ$6)</f>
        <v>0</v>
      </c>
      <c r="BZ15" s="748">
        <f>+$Q15*(IF(OR(CA$6="monthly",CA$6="mensuel"),12,1)*BZ$6)*(1+BZ$9)</f>
        <v>0</v>
      </c>
      <c r="CA15" s="748">
        <f>+$R15*(IF(OR(CA$6="monthly",CA$6="mensuel"),12,1)*BZ$6)*(1+BZ$9)*(1+CA$9)</f>
        <v>0</v>
      </c>
      <c r="CB15" s="748">
        <f>+$S15*(IF(OR(CA$6="monthly",CA$6="mensuel"),12,1)*BZ$6)*(1+BZ$9)*(1+CA$9)*(1+CB$9)</f>
        <v>0</v>
      </c>
      <c r="CC15" s="748">
        <f>+$T15*(IF(OR(CA$6="monthly",CA$6="mensuel"),12,1)*BZ$6)*(1+BZ$9)*(1+CA$9)*(1+CB$9)*(1+CC$9)</f>
        <v>0</v>
      </c>
      <c r="CE15" s="749" t="str">
        <f>+G15</f>
        <v>Yes</v>
      </c>
      <c r="CF15" s="749" t="str">
        <f>+H15</f>
        <v>Yes</v>
      </c>
      <c r="CG15" s="750" t="s">
        <v>370</v>
      </c>
      <c r="CH15" s="745"/>
      <c r="CI15" s="745"/>
      <c r="CJ15" s="745"/>
      <c r="CK15" s="745"/>
      <c r="CL15" s="751">
        <f>IF($CE15="yes",+$CI15*$P15*(IF(OR(CG15="monthly",CG15="mensuel"),12,1)),0)</f>
        <v>0</v>
      </c>
      <c r="CM15" s="751">
        <f>IF($CE15="yes",+$CI15*(1+CM$9)*$Q15*(IF(OR(CG15="monthly",CG15="mensuel"),12,1)),0)</f>
        <v>0</v>
      </c>
      <c r="CN15" s="751">
        <f>IF($CE15="yes",+$CI15*(1+CM$9)*(1+CN$9)*$R15*(IF(OR(CG15="monthly",CG15="mensuel"),12,1)),0)</f>
        <v>0</v>
      </c>
      <c r="CO15" s="751">
        <f>IF($CE15="yes",+$CI15*(1+CM$9)*(1+CN$9)*(1+CO$9)*$S15*(IF(OR(CG15="monthly",CG15="mensuel"),12,1)),0)</f>
        <v>0</v>
      </c>
      <c r="CP15" s="751">
        <f>IF($CE15="yes",+$CI15*(1+CM$9)*(1+CN$9)*(1+CO$9)*(1+CP$9)*$T15*(IF(OR(CG15="monthly",CG15="mensuel"),12,1)),0)</f>
        <v>0</v>
      </c>
      <c r="CQ15" s="728"/>
      <c r="CR15" s="751">
        <f>IF($CE15="yes",+$CJ15*$P15*(IF(OR(CG15="monthly",CG15="mensuel"),12,1)),0)</f>
        <v>0</v>
      </c>
      <c r="CS15" s="751">
        <f>IF($CE15="yes",+$CJ15*(1+CS$9)*$Q15*(IF(OR(CG15="monthly",CG15="mensuel"),12,1)),0)</f>
        <v>0</v>
      </c>
      <c r="CT15" s="751">
        <f>IF($CE15="yes",+$CJ15*(1+CS$9)*(1+CT$9)*$R15*(IF(OR(CG15="monthly",CG15="mensuel"),12,1)),0)</f>
        <v>0</v>
      </c>
      <c r="CU15" s="751">
        <f>IF($CE15="yes",+$CJ15*(1+CS$9)*(1+CT$9)*(1+CU$9)*$S15*(IF(OR(CG15="monthly",CG15="mensuel"),12,1)),0)</f>
        <v>0</v>
      </c>
      <c r="CV15" s="751">
        <f>IF($CE15="yes",+$CJ15*(1+CS$9)*(1+CT$9)*(1+CU$9)*(1+CV$9)*$T15*(IF(OR(CG15="monthly",CG15="mensuel"),12,1)),0)</f>
        <v>0</v>
      </c>
      <c r="CW15" s="728"/>
      <c r="CX15" s="751">
        <f>IF($CF15="yes",+$CK15*$P15*(IF(OR(CG15="monthly",CG15="mensuel"),12,1)),0)</f>
        <v>0</v>
      </c>
      <c r="CY15" s="751">
        <f>IF($CF15="yes",+$CK15*(1+CY$9)*$Q15*(IF(OR(CG15="monthly",CG15="mensuel"),12,1)),0)</f>
        <v>0</v>
      </c>
      <c r="CZ15" s="751">
        <f>IF($CF15="yes",+$CK15*(1+CY$9)*(1+CZ$9)*$R15*(IF(OR(CG15="monthly",CG15="mensuel"),12,1)),0)</f>
        <v>0</v>
      </c>
      <c r="DA15" s="751">
        <f>IF($CF15="yes",+$CK15*(1+CY$9)*(1+CZ$9)*(1+DA$9)*$S15*(IF(OR(CG15="monthly",CG15="mensuel"),12,1)),0)</f>
        <v>0</v>
      </c>
      <c r="DB15" s="751">
        <f>IF($CF15="yes",+$CK15*(1+CY$9)*(1+CZ$9)*(1+DA$9)*(1+DB$9)*$T15*(IF(OR(CG15="monthly",CG15="mensuel"),12,1)),0)</f>
        <v>0</v>
      </c>
      <c r="DD15" s="749" t="str">
        <f>+I15</f>
        <v>No</v>
      </c>
      <c r="DE15" s="745"/>
      <c r="DF15" s="745"/>
      <c r="DG15" s="745"/>
      <c r="DH15" s="745"/>
      <c r="DI15" s="813">
        <f>+SUM(DF15:DH15)</f>
        <v>0</v>
      </c>
      <c r="DJ15" s="814">
        <f t="shared" ref="DJ15:DJ39" si="18">IF($DD15="yes",$DE15*$DI15,0)</f>
        <v>0</v>
      </c>
      <c r="DK15" s="814">
        <f>IF($DD15="yes",$DE15*$DI15*(1+DK$9),0)</f>
        <v>0</v>
      </c>
      <c r="DL15" s="814">
        <f>IF($DD15="yes",$DE15*$DI15*(1+DK$9)*(1+DL$9),0)</f>
        <v>0</v>
      </c>
      <c r="DM15" s="814">
        <f>IF($DD15="yes",$DE15*$DI15*(1+DK$9)*(1+DL$9)*(1+DM$9),0)</f>
        <v>0</v>
      </c>
      <c r="DN15" s="814">
        <f>IF($DD15="yes",$DE15*$DI15*(1+DK$9)*(1+DL$9)*(1+DM$9)*(1+DN$9),0)</f>
        <v>0</v>
      </c>
      <c r="DQ15" s="745"/>
      <c r="DR15" s="745"/>
      <c r="DS15" s="745" t="s">
        <v>390</v>
      </c>
      <c r="DT15" s="745" t="s">
        <v>419</v>
      </c>
      <c r="DU15" s="745">
        <v>100</v>
      </c>
      <c r="DV15" s="745">
        <v>50</v>
      </c>
      <c r="DW15" s="814">
        <f t="shared" ref="DW15:DW39" si="19">IF($DT15="régie",$DU15*$DV15,0)</f>
        <v>5000</v>
      </c>
      <c r="DX15" s="814">
        <f t="shared" ref="DX15:DX39" si="20">IF($DT15="régie",$DU15*$DV15*(1+DX$9),0)</f>
        <v>5050</v>
      </c>
      <c r="DY15" s="814">
        <f t="shared" ref="DY15:DY39" si="21">IF($DT15="régie",$DU15*$DV15*(1+DX$9)*(1+DY$9),0)</f>
        <v>5100.5</v>
      </c>
      <c r="DZ15" s="814">
        <f t="shared" ref="DZ15:DZ39" si="22">IF($DT15="régie",$DU15*$DV15*(1+DX$9)*(1+DY$9)*(1+DZ$9),0)</f>
        <v>5151.5050000000001</v>
      </c>
      <c r="EA15" s="814">
        <f t="shared" ref="EA15:EA39" si="23">IF($DT15="régie",$DU15*$DV15*(1+DX$9)*(1+DY$9)*(1+DZ$9)*(1+EA$9),0)</f>
        <v>5203.0200500000001</v>
      </c>
    </row>
    <row r="16" spans="1:256">
      <c r="B16" s="815"/>
      <c r="C16" s="752"/>
      <c r="D16" s="753"/>
      <c r="E16" s="753"/>
      <c r="F16" s="1610"/>
      <c r="G16" s="753"/>
      <c r="H16" s="753"/>
      <c r="I16" s="753"/>
      <c r="J16" s="753"/>
      <c r="K16" s="753"/>
      <c r="L16" s="746"/>
      <c r="M16" s="746"/>
      <c r="N16" s="746"/>
      <c r="O16" s="746"/>
      <c r="P16" s="747"/>
      <c r="Q16" s="747"/>
      <c r="R16" s="747"/>
      <c r="S16" s="747"/>
      <c r="T16" s="747"/>
      <c r="V16" s="748"/>
      <c r="W16" s="748"/>
      <c r="X16" s="748"/>
      <c r="Y16" s="748"/>
      <c r="Z16" s="748"/>
      <c r="AB16" s="748"/>
      <c r="AC16" s="748"/>
      <c r="AD16" s="748"/>
      <c r="AE16" s="748"/>
      <c r="AF16" s="748"/>
      <c r="AH16" s="748"/>
      <c r="AI16" s="748"/>
      <c r="AJ16" s="748"/>
      <c r="AK16" s="748"/>
      <c r="AL16" s="748"/>
      <c r="AN16" s="753"/>
      <c r="AO16" s="747"/>
      <c r="AP16" s="747"/>
      <c r="AQ16" s="747"/>
      <c r="AR16" s="747"/>
      <c r="AS16" s="747"/>
      <c r="AU16" s="748"/>
      <c r="AV16" s="748"/>
      <c r="AW16" s="748"/>
      <c r="AX16" s="748"/>
      <c r="AY16" s="748"/>
      <c r="BA16" s="748"/>
      <c r="BB16" s="748"/>
      <c r="BC16" s="748"/>
      <c r="BD16" s="748"/>
      <c r="BE16" s="748"/>
      <c r="BG16" s="748"/>
      <c r="BH16" s="748"/>
      <c r="BI16" s="748"/>
      <c r="BJ16" s="748"/>
      <c r="BK16" s="748"/>
      <c r="BM16" s="748"/>
      <c r="BN16" s="748"/>
      <c r="BO16" s="748"/>
      <c r="BP16" s="748"/>
      <c r="BQ16" s="748"/>
      <c r="BS16" s="748"/>
      <c r="BT16" s="748"/>
      <c r="BU16" s="748"/>
      <c r="BV16" s="748"/>
      <c r="BW16" s="748"/>
      <c r="BY16" s="748"/>
      <c r="BZ16" s="748"/>
      <c r="CA16" s="748"/>
      <c r="CB16" s="748"/>
      <c r="CC16" s="748"/>
      <c r="CE16" s="754"/>
      <c r="CF16" s="754"/>
      <c r="CG16" s="750"/>
      <c r="CH16" s="753"/>
      <c r="CI16" s="753"/>
      <c r="CJ16" s="753"/>
      <c r="CK16" s="753"/>
      <c r="CL16" s="748"/>
      <c r="CM16" s="748"/>
      <c r="CN16" s="748"/>
      <c r="CO16" s="748"/>
      <c r="CP16" s="748"/>
      <c r="CQ16" s="728"/>
      <c r="CR16" s="748"/>
      <c r="CS16" s="748"/>
      <c r="CT16" s="748"/>
      <c r="CU16" s="748"/>
      <c r="CV16" s="748"/>
      <c r="CW16" s="728"/>
      <c r="CX16" s="748"/>
      <c r="CY16" s="748"/>
      <c r="CZ16" s="748"/>
      <c r="DA16" s="748"/>
      <c r="DB16" s="748"/>
      <c r="DD16" s="754"/>
      <c r="DE16" s="753"/>
      <c r="DF16" s="753"/>
      <c r="DG16" s="753"/>
      <c r="DH16" s="753"/>
      <c r="DI16" s="816"/>
      <c r="DJ16" s="748"/>
      <c r="DK16" s="748"/>
      <c r="DL16" s="748"/>
      <c r="DM16" s="748"/>
      <c r="DN16" s="748"/>
      <c r="DQ16" s="753"/>
      <c r="DR16" s="753"/>
      <c r="DS16" s="753"/>
      <c r="DT16" s="753"/>
      <c r="DU16" s="753"/>
      <c r="DV16" s="753"/>
      <c r="DW16" s="748"/>
      <c r="DX16" s="748"/>
      <c r="DY16" s="748"/>
      <c r="DZ16" s="748"/>
      <c r="EA16" s="748"/>
    </row>
    <row r="17" spans="2:131">
      <c r="B17" s="815"/>
      <c r="C17" s="752"/>
      <c r="D17" s="753"/>
      <c r="E17" s="753"/>
      <c r="F17" s="1610" t="str">
        <f t="shared" ref="F17:F39" si="24">E17&amp;C17</f>
        <v/>
      </c>
      <c r="G17" s="753"/>
      <c r="H17" s="753"/>
      <c r="I17" s="753"/>
      <c r="J17" s="753"/>
      <c r="K17" s="753"/>
      <c r="L17" s="746">
        <f t="shared" ref="L17:L39" si="25">IFERROR(K17*(1+VLOOKUP($J17,$K$4:$O$6,2,0)),0)</f>
        <v>0</v>
      </c>
      <c r="M17" s="746">
        <f t="shared" ref="M17:M39" si="26">IFERROR(L17*(1+VLOOKUP($J17,$K$4:$O$6,3,0)),0)</f>
        <v>0</v>
      </c>
      <c r="N17" s="746">
        <f t="shared" ref="N17:N39" si="27">IFERROR(M17*(1+VLOOKUP($J17,$K$4:$O$6,4,0)),0)</f>
        <v>0</v>
      </c>
      <c r="O17" s="746">
        <f t="shared" ref="O17:O39" si="28">IFERROR(N17*(1+VLOOKUP($J17,$K$4:$O$6,5,0)),0)</f>
        <v>0</v>
      </c>
      <c r="P17" s="747"/>
      <c r="Q17" s="747"/>
      <c r="R17" s="747"/>
      <c r="S17" s="747"/>
      <c r="T17" s="747"/>
      <c r="V17" s="748">
        <f t="shared" si="3"/>
        <v>0</v>
      </c>
      <c r="W17" s="748">
        <f t="shared" si="4"/>
        <v>0</v>
      </c>
      <c r="X17" s="748">
        <f t="shared" si="5"/>
        <v>0</v>
      </c>
      <c r="Y17" s="748">
        <f t="shared" si="6"/>
        <v>0</v>
      </c>
      <c r="Z17" s="748">
        <f t="shared" si="7"/>
        <v>0</v>
      </c>
      <c r="AA17" s="708">
        <f t="shared" ref="AA17:AA39" si="29">IF($C17="Headcount",+U17*P17,0)</f>
        <v>0</v>
      </c>
      <c r="AB17" s="748">
        <f t="shared" si="8"/>
        <v>0</v>
      </c>
      <c r="AC17" s="748">
        <f t="shared" si="9"/>
        <v>0</v>
      </c>
      <c r="AD17" s="748">
        <f t="shared" si="10"/>
        <v>0</v>
      </c>
      <c r="AE17" s="748">
        <f t="shared" si="11"/>
        <v>0</v>
      </c>
      <c r="AF17" s="748">
        <f t="shared" si="12"/>
        <v>0</v>
      </c>
      <c r="AH17" s="748">
        <f t="shared" ref="AH17:AH39" si="30">IF(P17&lt;&gt;0,$AI$6*K17,0)</f>
        <v>0</v>
      </c>
      <c r="AI17" s="748">
        <f t="shared" ref="AI17:AI39" si="31">IF(P17&lt;&gt;0,0,IF(Q17&lt;&gt;0,$AI$6*L17,0))</f>
        <v>0</v>
      </c>
      <c r="AJ17" s="748">
        <f t="shared" ref="AJ17:AJ39" si="32">IF(P17&lt;&gt;0,0,IF(Q17&lt;&gt;0,0,IF(R17&lt;&gt;0,$AI$6*M17,0)))</f>
        <v>0</v>
      </c>
      <c r="AK17" s="748">
        <f t="shared" ref="AK17:AK39" si="33">IF(P17&lt;&gt;0,0,IF(Q17&lt;&gt;0,0,IF(R17&lt;&gt;0,0,IF(S17&lt;&gt;0,$AI$6*N17,0))))</f>
        <v>0</v>
      </c>
      <c r="AL17" s="748">
        <f t="shared" ref="AL17:AL39" si="34">IF(P17&lt;&gt;0,0,IF(Q17&lt;&gt;0,0,IF(R17&lt;&gt;0,0,IF(S17&lt;&gt;0,0,IF(T17&lt;&gt;0,$AI$6*O17,0)))))</f>
        <v>0</v>
      </c>
      <c r="AN17" s="753"/>
      <c r="AO17" s="747"/>
      <c r="AP17" s="747"/>
      <c r="AQ17" s="747"/>
      <c r="AR17" s="747"/>
      <c r="AS17" s="747"/>
      <c r="AU17" s="748">
        <f t="shared" si="13"/>
        <v>0</v>
      </c>
      <c r="AV17" s="748">
        <f t="shared" si="14"/>
        <v>0</v>
      </c>
      <c r="AW17" s="748">
        <f t="shared" si="15"/>
        <v>0</v>
      </c>
      <c r="AX17" s="748">
        <f t="shared" si="16"/>
        <v>0</v>
      </c>
      <c r="AY17" s="748">
        <f t="shared" si="17"/>
        <v>0</v>
      </c>
      <c r="BA17" s="748">
        <f t="shared" ref="BA17:BA39" si="35">+$P17*(IF(OR(BC$6="monthly",BC$6="mensuel"),12,1)*BB$6)</f>
        <v>0</v>
      </c>
      <c r="BB17" s="748">
        <f t="shared" ref="BB17:BB39" si="36">+$Q17*(IF(OR(BC$6="monthly",BC$6="mensuel"),12,1)*BB$6)*(1+BB$9)</f>
        <v>0</v>
      </c>
      <c r="BC17" s="748">
        <f t="shared" ref="BC17:BC39" si="37">+$R17*(IF(OR(BC$6="monthly",BC$6="mensuel"),12,1)*BB$6)*(1+BB$9)*(1+BC$9)</f>
        <v>0</v>
      </c>
      <c r="BD17" s="748">
        <f t="shared" ref="BD17:BD39" si="38">+$S17*(IF(OR(BC$6="monthly",BC$6="mensuel"),12,1)*BB$6)*(1+BB$9)*(1+BC$9)*(1+BD$9)</f>
        <v>0</v>
      </c>
      <c r="BE17" s="748">
        <f t="shared" ref="BE17:BE39" si="39">+$T17*(IF(OR(BC$6="monthly",BC$6="mensuel"),12,1)*BB$6)*(1+BB$9)*(1+BC$9)*(1+BD$9)*(1+BE$9)</f>
        <v>0</v>
      </c>
      <c r="BG17" s="748">
        <f t="shared" ref="BG17:BG39" si="40">+$P17*(IF(OR(BI$6="monthly",BI$6="mensuel"),12,1)*BH$6)</f>
        <v>0</v>
      </c>
      <c r="BH17" s="748">
        <f t="shared" ref="BH17:BH39" si="41">+$Q17*(IF(OR(BI$6="monthly",BI$6="mensuel"),12,1)*BH$6)*(1+BH$9)</f>
        <v>0</v>
      </c>
      <c r="BI17" s="748">
        <f t="shared" ref="BI17:BI39" si="42">+$R17*(IF(OR(BI$6="monthly",BI$6="mensuel"),12,1)*BH$6)*(1+BH$9)*(1+BI$9)</f>
        <v>0</v>
      </c>
      <c r="BJ17" s="748">
        <f t="shared" ref="BJ17:BJ39" si="43">+$S17*(IF(OR(BI$6="monthly",BI$6="mensuel"),12,1)*BH$6)*(1+BH$9)*(1+BI$9)*(1+BJ$9)</f>
        <v>0</v>
      </c>
      <c r="BK17" s="748">
        <f t="shared" ref="BK17:BK39" si="44">+$T17*(IF(OR(BI$6="monthly",BI$6="mensuel"),12,1)*BH$6)*(1+BH$9)*(1+BI$9)*(1+BJ$9)*(1+BK$9)</f>
        <v>0</v>
      </c>
      <c r="BM17" s="748">
        <f t="shared" ref="BM17:BM39" si="45">+$P17*(IF(OR(BO$6="monthly",BO$6="mensuel"),12,1)*BN$6)</f>
        <v>0</v>
      </c>
      <c r="BN17" s="748">
        <f t="shared" ref="BN17:BN39" si="46">+$Q17*(IF(OR(BO$6="monthly",BO$6="mensuel"),12,1)*BN$6)*(1+BN$9)</f>
        <v>0</v>
      </c>
      <c r="BO17" s="748">
        <f t="shared" ref="BO17:BO39" si="47">+$R17*(IF(OR(BO$6="monthly",BO$6="mensuel"),12,1)*BN$6)*(1+BN$9)*(1+BO$9)</f>
        <v>0</v>
      </c>
      <c r="BP17" s="748">
        <f t="shared" ref="BP17:BP39" si="48">+$S17*(IF(OR(BO$6="monthly",BO$6="mensuel"),12,1)*BN$6)*(1+BN$9)*(1+BO$9)*(1+BP$9)</f>
        <v>0</v>
      </c>
      <c r="BQ17" s="748">
        <f t="shared" ref="BQ17:BQ39" si="49">+$T17*(IF(OR(BO$6="monthly",BO$6="mensuel"),12,1)*BN$6)*(1+BN$9)*(1+BO$9)*(1+BP$9)*(1+BQ$9)</f>
        <v>0</v>
      </c>
      <c r="BS17" s="748">
        <f t="shared" ref="BS17:BS39" si="50">+$P17*(IF(OR(BU$6="monthly",BU$6="mensuel"),12,1)*BT$6)</f>
        <v>0</v>
      </c>
      <c r="BT17" s="748">
        <f t="shared" ref="BT17:BT39" si="51">+$Q17*(IF(OR(BU$6="monthly",BU$6="mensuel"),12,1)*BT$6)*(1+BT$9)</f>
        <v>0</v>
      </c>
      <c r="BU17" s="748">
        <f t="shared" ref="BU17:BU39" si="52">+$R17*(IF(OR(BU$6="monthly",BU$6="mensuel"),12,1)*BT$6)*(1+BT$9)*(1+BU$9)</f>
        <v>0</v>
      </c>
      <c r="BV17" s="748">
        <f t="shared" ref="BV17:BV39" si="53">+$S17*(IF(OR(BU$6="monthly",BU$6="mensuel"),12,1)*BT$6)*(1+BT$9)*(1+BU$9)*(1+BV$9)</f>
        <v>0</v>
      </c>
      <c r="BW17" s="748">
        <f t="shared" ref="BW17:BW39" si="54">+$T17*(IF(OR(BU$6="monthly",BU$6="mensuel"),12,1)*BT$6)*(1+BT$9)*(1+BU$9)*(1+BV$9)*(1+BW$9)</f>
        <v>0</v>
      </c>
      <c r="BY17" s="748">
        <f t="shared" ref="BY17:BY39" si="55">+$P17*(IF(OR(CA$6="monthly",CA$6="mensuel"),12,1)*BZ$6)</f>
        <v>0</v>
      </c>
      <c r="BZ17" s="748">
        <f t="shared" ref="BZ17:BZ39" si="56">+$Q17*(IF(OR(CA$6="monthly",CA$6="mensuel"),12,1)*BZ$6)*(1+BZ$9)</f>
        <v>0</v>
      </c>
      <c r="CA17" s="748">
        <f t="shared" ref="CA17:CA39" si="57">+$R17*(IF(OR(CA$6="monthly",CA$6="mensuel"),12,1)*BZ$6)*(1+BZ$9)*(1+CA$9)</f>
        <v>0</v>
      </c>
      <c r="CB17" s="748">
        <f t="shared" ref="CB17:CB39" si="58">+$S17*(IF(OR(CA$6="monthly",CA$6="mensuel"),12,1)*BZ$6)*(1+BZ$9)*(1+CA$9)*(1+CB$9)</f>
        <v>0</v>
      </c>
      <c r="CC17" s="748">
        <f t="shared" ref="CC17:CC39" si="59">+$T17*(IF(OR(CA$6="monthly",CA$6="mensuel"),12,1)*BZ$6)*(1+BZ$9)*(1+CA$9)*(1+CB$9)*(1+CC$9)</f>
        <v>0</v>
      </c>
      <c r="CE17" s="754">
        <f t="shared" ref="CE17:CF39" si="60">+G17</f>
        <v>0</v>
      </c>
      <c r="CF17" s="754">
        <f t="shared" si="60"/>
        <v>0</v>
      </c>
      <c r="CG17" s="750"/>
      <c r="CH17" s="753"/>
      <c r="CI17" s="753"/>
      <c r="CJ17" s="753"/>
      <c r="CK17" s="753"/>
      <c r="CL17" s="748">
        <f t="shared" ref="CL17:CL39" si="61">IF($CE17="yes",+$CI17*$P17*(IF(OR(CG17="monthly",CG17="mensuel"),12,1)),0)</f>
        <v>0</v>
      </c>
      <c r="CM17" s="748">
        <f t="shared" ref="CM17:CM39" si="62">IF($CE17="yes",+$CI17*(1+CM$9)*$Q17*(IF(OR(CG17="monthly",CG17="mensuel"),12,1)),0)</f>
        <v>0</v>
      </c>
      <c r="CN17" s="748">
        <f t="shared" ref="CN17:CN39" si="63">IF($CE17="yes",+$CI17*(1+CM$9)*(1+CN$9)*$R17*(IF(OR(CG17="monthly",CG17="mensuel"),12,1)),0)</f>
        <v>0</v>
      </c>
      <c r="CO17" s="748">
        <f t="shared" ref="CO17:CO39" si="64">IF($CE17="yes",+$CI17*(1+CM$9)*(1+CN$9)*(1+CO$9)*$S17*(IF(OR(CG17="monthly",CG17="mensuel"),12,1)),0)</f>
        <v>0</v>
      </c>
      <c r="CP17" s="748">
        <f t="shared" ref="CP17:CP39" si="65">IF($CE17="yes",+$CI17*(1+CM$9)*(1+CN$9)*(1+CO$9)*(1+CP$9)*$T17*(IF(OR(CG17="monthly",CG17="mensuel"),12,1)),0)</f>
        <v>0</v>
      </c>
      <c r="CQ17" s="728"/>
      <c r="CR17" s="748">
        <f t="shared" ref="CR17:CR39" si="66">IF($CE17="yes",+$CJ17*$P17*(IF(OR(CG17="monthly",CG17="mensuel"),12,1)),0)</f>
        <v>0</v>
      </c>
      <c r="CS17" s="748">
        <f t="shared" ref="CS17:CS39" si="67">IF($CE17="yes",+$CJ17*(1+CS$9)*$Q17*(IF(OR(CG17="monthly",CG17="mensuel"),12,1)),0)</f>
        <v>0</v>
      </c>
      <c r="CT17" s="748">
        <f t="shared" ref="CT17:CT39" si="68">IF($CE17="yes",+$CJ17*(1+CS$9)*(1+CT$9)*$R17*(IF(OR(CG17="monthly",CG17="mensuel"),12,1)),0)</f>
        <v>0</v>
      </c>
      <c r="CU17" s="748">
        <f t="shared" ref="CU17:CU39" si="69">IF($CE17="yes",+$CJ17*(1+CS$9)*(1+CT$9)*(1+CU$9)*$S17*(IF(OR(CG17="monthly",CG17="mensuel"),12,1)),0)</f>
        <v>0</v>
      </c>
      <c r="CV17" s="748">
        <f t="shared" ref="CV17:CV39" si="70">IF($CE17="yes",+$CJ17*(1+CS$9)*(1+CT$9)*(1+CU$9)*(1+CV$9)*$T17*(IF(OR(CG17="monthly",CG17="mensuel"),12,1)),0)</f>
        <v>0</v>
      </c>
      <c r="CW17" s="728"/>
      <c r="CX17" s="748">
        <f t="shared" ref="CX17:CX39" si="71">IF($CF17="yes",+$CK17*$P17*(IF(OR(CG17="monthly",CG17="mensuel"),12,1)),0)</f>
        <v>0</v>
      </c>
      <c r="CY17" s="748">
        <f t="shared" ref="CY17:CY39" si="72">IF($CF17="yes",+$CK17*(1+CY$9)*$Q17*(IF(OR(CG17="monthly",CG17="mensuel"),12,1)),0)</f>
        <v>0</v>
      </c>
      <c r="CZ17" s="748">
        <f t="shared" ref="CZ17:CZ39" si="73">IF($CF17="yes",+$CK17*(1+CY$9)*(1+CZ$9)*$R17*(IF(OR(CG17="monthly",CG17="mensuel"),12,1)),0)</f>
        <v>0</v>
      </c>
      <c r="DA17" s="748">
        <f t="shared" ref="DA17:DA39" si="74">IF($CF17="yes",+$CK17*(1+CY$9)*(1+CZ$9)*(1+DA$9)*$S17*(IF(OR(CG17="monthly",CG17="mensuel"),12,1)),0)</f>
        <v>0</v>
      </c>
      <c r="DB17" s="748">
        <f t="shared" ref="DB17:DB39" si="75">IF($CF17="yes",+$CK17*(1+CY$9)*(1+CZ$9)*(1+DA$9)*(1+DB$9)*$T17*(IF(OR(CG17="monthly",CG17="mensuel"),12,1)),0)</f>
        <v>0</v>
      </c>
      <c r="DD17" s="754">
        <f t="shared" ref="DD17:DD39" si="76">+I17</f>
        <v>0</v>
      </c>
      <c r="DE17" s="753"/>
      <c r="DF17" s="753"/>
      <c r="DG17" s="753"/>
      <c r="DH17" s="753"/>
      <c r="DI17" s="816">
        <f t="shared" ref="DI17:DI39" si="77">+SUM(DF17:DH17)</f>
        <v>0</v>
      </c>
      <c r="DJ17" s="748">
        <f t="shared" si="18"/>
        <v>0</v>
      </c>
      <c r="DK17" s="748">
        <f t="shared" ref="DK17:DK39" si="78">IF($DD17="yes",$DE17*$DI17*(1+DK$9),0)</f>
        <v>0</v>
      </c>
      <c r="DL17" s="748">
        <f t="shared" ref="DL17:DL39" si="79">IF($DD17="yes",$DE17*$DI17*(1+DK$9)*(1+DL$9),0)</f>
        <v>0</v>
      </c>
      <c r="DM17" s="748">
        <f t="shared" ref="DM17:DM39" si="80">IF($DD17="yes",$DE17*$DI17*(1+DK$9)*(1+DL$9)*(1+DM$9),0)</f>
        <v>0</v>
      </c>
      <c r="DN17" s="748">
        <f t="shared" ref="DN17:DN39" si="81">IF($DD17="yes",$DE17*$DI17*(1+DK$9)*(1+DL$9)*(1+DM$9)*(1+DN$9),0)</f>
        <v>0</v>
      </c>
      <c r="DQ17" s="753"/>
      <c r="DR17" s="753"/>
      <c r="DS17" s="753"/>
      <c r="DT17" s="753"/>
      <c r="DU17" s="753"/>
      <c r="DV17" s="753"/>
      <c r="DW17" s="748">
        <f t="shared" si="19"/>
        <v>0</v>
      </c>
      <c r="DX17" s="748">
        <f t="shared" si="20"/>
        <v>0</v>
      </c>
      <c r="DY17" s="748">
        <f t="shared" si="21"/>
        <v>0</v>
      </c>
      <c r="DZ17" s="748">
        <f t="shared" si="22"/>
        <v>0</v>
      </c>
      <c r="EA17" s="748">
        <f t="shared" si="23"/>
        <v>0</v>
      </c>
    </row>
    <row r="18" spans="2:131">
      <c r="B18" s="815"/>
      <c r="C18" s="752"/>
      <c r="D18" s="753"/>
      <c r="E18" s="753"/>
      <c r="F18" s="1610" t="str">
        <f t="shared" si="24"/>
        <v/>
      </c>
      <c r="G18" s="753"/>
      <c r="H18" s="753"/>
      <c r="I18" s="753"/>
      <c r="J18" s="753"/>
      <c r="K18" s="753"/>
      <c r="L18" s="746">
        <f t="shared" si="25"/>
        <v>0</v>
      </c>
      <c r="M18" s="746">
        <f t="shared" si="26"/>
        <v>0</v>
      </c>
      <c r="N18" s="746">
        <f t="shared" si="27"/>
        <v>0</v>
      </c>
      <c r="O18" s="746">
        <f t="shared" si="28"/>
        <v>0</v>
      </c>
      <c r="P18" s="747"/>
      <c r="Q18" s="747"/>
      <c r="R18" s="747"/>
      <c r="S18" s="747"/>
      <c r="T18" s="747"/>
      <c r="V18" s="748">
        <f t="shared" si="3"/>
        <v>0</v>
      </c>
      <c r="W18" s="748">
        <f t="shared" si="4"/>
        <v>0</v>
      </c>
      <c r="X18" s="748">
        <f t="shared" si="5"/>
        <v>0</v>
      </c>
      <c r="Y18" s="748">
        <f t="shared" si="6"/>
        <v>0</v>
      </c>
      <c r="Z18" s="748">
        <f t="shared" si="7"/>
        <v>0</v>
      </c>
      <c r="AA18" s="708">
        <f t="shared" si="29"/>
        <v>0</v>
      </c>
      <c r="AB18" s="748">
        <f t="shared" si="8"/>
        <v>0</v>
      </c>
      <c r="AC18" s="748">
        <f t="shared" si="9"/>
        <v>0</v>
      </c>
      <c r="AD18" s="748">
        <f t="shared" si="10"/>
        <v>0</v>
      </c>
      <c r="AE18" s="748">
        <f t="shared" si="11"/>
        <v>0</v>
      </c>
      <c r="AF18" s="748">
        <f t="shared" si="12"/>
        <v>0</v>
      </c>
      <c r="AH18" s="748">
        <f t="shared" si="30"/>
        <v>0</v>
      </c>
      <c r="AI18" s="748">
        <f t="shared" si="31"/>
        <v>0</v>
      </c>
      <c r="AJ18" s="748">
        <f t="shared" si="32"/>
        <v>0</v>
      </c>
      <c r="AK18" s="748">
        <f t="shared" si="33"/>
        <v>0</v>
      </c>
      <c r="AL18" s="748">
        <f t="shared" si="34"/>
        <v>0</v>
      </c>
      <c r="AN18" s="753"/>
      <c r="AO18" s="747"/>
      <c r="AP18" s="747"/>
      <c r="AQ18" s="747"/>
      <c r="AR18" s="747"/>
      <c r="AS18" s="747"/>
      <c r="AU18" s="748">
        <f t="shared" si="13"/>
        <v>0</v>
      </c>
      <c r="AV18" s="748">
        <f t="shared" si="14"/>
        <v>0</v>
      </c>
      <c r="AW18" s="748">
        <f t="shared" si="15"/>
        <v>0</v>
      </c>
      <c r="AX18" s="748">
        <f t="shared" si="16"/>
        <v>0</v>
      </c>
      <c r="AY18" s="748">
        <f t="shared" si="17"/>
        <v>0</v>
      </c>
      <c r="BA18" s="748">
        <f t="shared" si="35"/>
        <v>0</v>
      </c>
      <c r="BB18" s="748">
        <f t="shared" si="36"/>
        <v>0</v>
      </c>
      <c r="BC18" s="748">
        <f t="shared" si="37"/>
        <v>0</v>
      </c>
      <c r="BD18" s="748">
        <f t="shared" si="38"/>
        <v>0</v>
      </c>
      <c r="BE18" s="748">
        <f t="shared" si="39"/>
        <v>0</v>
      </c>
      <c r="BG18" s="748">
        <f t="shared" si="40"/>
        <v>0</v>
      </c>
      <c r="BH18" s="748">
        <f t="shared" si="41"/>
        <v>0</v>
      </c>
      <c r="BI18" s="748">
        <f t="shared" si="42"/>
        <v>0</v>
      </c>
      <c r="BJ18" s="748">
        <f t="shared" si="43"/>
        <v>0</v>
      </c>
      <c r="BK18" s="748">
        <f t="shared" si="44"/>
        <v>0</v>
      </c>
      <c r="BM18" s="748">
        <f t="shared" si="45"/>
        <v>0</v>
      </c>
      <c r="BN18" s="748">
        <f t="shared" si="46"/>
        <v>0</v>
      </c>
      <c r="BO18" s="748">
        <f t="shared" si="47"/>
        <v>0</v>
      </c>
      <c r="BP18" s="748">
        <f t="shared" si="48"/>
        <v>0</v>
      </c>
      <c r="BQ18" s="748">
        <f t="shared" si="49"/>
        <v>0</v>
      </c>
      <c r="BS18" s="748">
        <f t="shared" si="50"/>
        <v>0</v>
      </c>
      <c r="BT18" s="748">
        <f t="shared" si="51"/>
        <v>0</v>
      </c>
      <c r="BU18" s="748">
        <f t="shared" si="52"/>
        <v>0</v>
      </c>
      <c r="BV18" s="748">
        <f t="shared" si="53"/>
        <v>0</v>
      </c>
      <c r="BW18" s="748">
        <f t="shared" si="54"/>
        <v>0</v>
      </c>
      <c r="BY18" s="748">
        <f t="shared" si="55"/>
        <v>0</v>
      </c>
      <c r="BZ18" s="748">
        <f t="shared" si="56"/>
        <v>0</v>
      </c>
      <c r="CA18" s="748">
        <f t="shared" si="57"/>
        <v>0</v>
      </c>
      <c r="CB18" s="748">
        <f t="shared" si="58"/>
        <v>0</v>
      </c>
      <c r="CC18" s="748">
        <f t="shared" si="59"/>
        <v>0</v>
      </c>
      <c r="CE18" s="754">
        <f t="shared" si="60"/>
        <v>0</v>
      </c>
      <c r="CF18" s="754">
        <f t="shared" si="60"/>
        <v>0</v>
      </c>
      <c r="CG18" s="750"/>
      <c r="CH18" s="753"/>
      <c r="CI18" s="753"/>
      <c r="CJ18" s="753"/>
      <c r="CK18" s="753"/>
      <c r="CL18" s="748">
        <f t="shared" si="61"/>
        <v>0</v>
      </c>
      <c r="CM18" s="748">
        <f t="shared" si="62"/>
        <v>0</v>
      </c>
      <c r="CN18" s="748">
        <f t="shared" si="63"/>
        <v>0</v>
      </c>
      <c r="CO18" s="748">
        <f t="shared" si="64"/>
        <v>0</v>
      </c>
      <c r="CP18" s="748">
        <f t="shared" si="65"/>
        <v>0</v>
      </c>
      <c r="CQ18" s="728"/>
      <c r="CR18" s="748">
        <f t="shared" si="66"/>
        <v>0</v>
      </c>
      <c r="CS18" s="748">
        <f t="shared" si="67"/>
        <v>0</v>
      </c>
      <c r="CT18" s="748">
        <f t="shared" si="68"/>
        <v>0</v>
      </c>
      <c r="CU18" s="748">
        <f t="shared" si="69"/>
        <v>0</v>
      </c>
      <c r="CV18" s="748">
        <f t="shared" si="70"/>
        <v>0</v>
      </c>
      <c r="CW18" s="728"/>
      <c r="CX18" s="748">
        <f t="shared" si="71"/>
        <v>0</v>
      </c>
      <c r="CY18" s="748">
        <f t="shared" si="72"/>
        <v>0</v>
      </c>
      <c r="CZ18" s="748">
        <f t="shared" si="73"/>
        <v>0</v>
      </c>
      <c r="DA18" s="748">
        <f t="shared" si="74"/>
        <v>0</v>
      </c>
      <c r="DB18" s="748">
        <f t="shared" si="75"/>
        <v>0</v>
      </c>
      <c r="DD18" s="754">
        <f t="shared" si="76"/>
        <v>0</v>
      </c>
      <c r="DE18" s="753"/>
      <c r="DF18" s="753"/>
      <c r="DG18" s="753"/>
      <c r="DH18" s="753"/>
      <c r="DI18" s="816">
        <f t="shared" si="77"/>
        <v>0</v>
      </c>
      <c r="DJ18" s="748">
        <f t="shared" si="18"/>
        <v>0</v>
      </c>
      <c r="DK18" s="748">
        <f t="shared" si="78"/>
        <v>0</v>
      </c>
      <c r="DL18" s="748">
        <f t="shared" si="79"/>
        <v>0</v>
      </c>
      <c r="DM18" s="748">
        <f t="shared" si="80"/>
        <v>0</v>
      </c>
      <c r="DN18" s="748">
        <f t="shared" si="81"/>
        <v>0</v>
      </c>
      <c r="DQ18" s="753"/>
      <c r="DR18" s="753"/>
      <c r="DS18" s="753"/>
      <c r="DT18" s="753"/>
      <c r="DU18" s="753"/>
      <c r="DV18" s="753"/>
      <c r="DW18" s="748">
        <f t="shared" si="19"/>
        <v>0</v>
      </c>
      <c r="DX18" s="748">
        <f t="shared" si="20"/>
        <v>0</v>
      </c>
      <c r="DY18" s="748">
        <f t="shared" si="21"/>
        <v>0</v>
      </c>
      <c r="DZ18" s="748">
        <f t="shared" si="22"/>
        <v>0</v>
      </c>
      <c r="EA18" s="748">
        <f t="shared" si="23"/>
        <v>0</v>
      </c>
    </row>
    <row r="19" spans="2:131">
      <c r="B19" s="815"/>
      <c r="C19" s="752"/>
      <c r="D19" s="753"/>
      <c r="E19" s="753"/>
      <c r="F19" s="1610" t="str">
        <f t="shared" si="24"/>
        <v/>
      </c>
      <c r="G19" s="753"/>
      <c r="H19" s="753"/>
      <c r="I19" s="753"/>
      <c r="J19" s="753"/>
      <c r="K19" s="753"/>
      <c r="L19" s="746">
        <f t="shared" si="25"/>
        <v>0</v>
      </c>
      <c r="M19" s="746">
        <f t="shared" si="26"/>
        <v>0</v>
      </c>
      <c r="N19" s="746">
        <f t="shared" si="27"/>
        <v>0</v>
      </c>
      <c r="O19" s="746">
        <f t="shared" si="28"/>
        <v>0</v>
      </c>
      <c r="P19" s="747"/>
      <c r="Q19" s="747"/>
      <c r="R19" s="747"/>
      <c r="S19" s="747"/>
      <c r="T19" s="747"/>
      <c r="V19" s="748">
        <f t="shared" si="3"/>
        <v>0</v>
      </c>
      <c r="W19" s="748">
        <f t="shared" si="4"/>
        <v>0</v>
      </c>
      <c r="X19" s="748">
        <f t="shared" si="5"/>
        <v>0</v>
      </c>
      <c r="Y19" s="748">
        <f t="shared" si="6"/>
        <v>0</v>
      </c>
      <c r="Z19" s="748">
        <f t="shared" si="7"/>
        <v>0</v>
      </c>
      <c r="AA19" s="708">
        <f t="shared" si="29"/>
        <v>0</v>
      </c>
      <c r="AB19" s="748">
        <f t="shared" si="8"/>
        <v>0</v>
      </c>
      <c r="AC19" s="748">
        <f t="shared" si="9"/>
        <v>0</v>
      </c>
      <c r="AD19" s="748">
        <f t="shared" si="10"/>
        <v>0</v>
      </c>
      <c r="AE19" s="748">
        <f t="shared" si="11"/>
        <v>0</v>
      </c>
      <c r="AF19" s="748">
        <f t="shared" si="12"/>
        <v>0</v>
      </c>
      <c r="AH19" s="748">
        <f t="shared" si="30"/>
        <v>0</v>
      </c>
      <c r="AI19" s="748">
        <f t="shared" si="31"/>
        <v>0</v>
      </c>
      <c r="AJ19" s="748">
        <f t="shared" si="32"/>
        <v>0</v>
      </c>
      <c r="AK19" s="748">
        <f t="shared" si="33"/>
        <v>0</v>
      </c>
      <c r="AL19" s="748">
        <f t="shared" si="34"/>
        <v>0</v>
      </c>
      <c r="AN19" s="753"/>
      <c r="AO19" s="747"/>
      <c r="AP19" s="747"/>
      <c r="AQ19" s="747"/>
      <c r="AR19" s="747"/>
      <c r="AS19" s="747"/>
      <c r="AU19" s="748">
        <f t="shared" si="13"/>
        <v>0</v>
      </c>
      <c r="AV19" s="748">
        <f t="shared" si="14"/>
        <v>0</v>
      </c>
      <c r="AW19" s="748">
        <f t="shared" si="15"/>
        <v>0</v>
      </c>
      <c r="AX19" s="748">
        <f t="shared" si="16"/>
        <v>0</v>
      </c>
      <c r="AY19" s="748">
        <f t="shared" si="17"/>
        <v>0</v>
      </c>
      <c r="BA19" s="748">
        <f t="shared" si="35"/>
        <v>0</v>
      </c>
      <c r="BB19" s="748">
        <f t="shared" si="36"/>
        <v>0</v>
      </c>
      <c r="BC19" s="748">
        <f t="shared" si="37"/>
        <v>0</v>
      </c>
      <c r="BD19" s="748">
        <f t="shared" si="38"/>
        <v>0</v>
      </c>
      <c r="BE19" s="748">
        <f t="shared" si="39"/>
        <v>0</v>
      </c>
      <c r="BG19" s="748">
        <f t="shared" si="40"/>
        <v>0</v>
      </c>
      <c r="BH19" s="748">
        <f t="shared" si="41"/>
        <v>0</v>
      </c>
      <c r="BI19" s="748">
        <f t="shared" si="42"/>
        <v>0</v>
      </c>
      <c r="BJ19" s="748">
        <f t="shared" si="43"/>
        <v>0</v>
      </c>
      <c r="BK19" s="748">
        <f t="shared" si="44"/>
        <v>0</v>
      </c>
      <c r="BM19" s="748">
        <f t="shared" si="45"/>
        <v>0</v>
      </c>
      <c r="BN19" s="748">
        <f t="shared" si="46"/>
        <v>0</v>
      </c>
      <c r="BO19" s="748">
        <f t="shared" si="47"/>
        <v>0</v>
      </c>
      <c r="BP19" s="748">
        <f t="shared" si="48"/>
        <v>0</v>
      </c>
      <c r="BQ19" s="748">
        <f t="shared" si="49"/>
        <v>0</v>
      </c>
      <c r="BS19" s="748">
        <f t="shared" si="50"/>
        <v>0</v>
      </c>
      <c r="BT19" s="748">
        <f t="shared" si="51"/>
        <v>0</v>
      </c>
      <c r="BU19" s="748">
        <f t="shared" si="52"/>
        <v>0</v>
      </c>
      <c r="BV19" s="748">
        <f t="shared" si="53"/>
        <v>0</v>
      </c>
      <c r="BW19" s="748">
        <f t="shared" si="54"/>
        <v>0</v>
      </c>
      <c r="BY19" s="748">
        <f t="shared" si="55"/>
        <v>0</v>
      </c>
      <c r="BZ19" s="748">
        <f t="shared" si="56"/>
        <v>0</v>
      </c>
      <c r="CA19" s="748">
        <f t="shared" si="57"/>
        <v>0</v>
      </c>
      <c r="CB19" s="748">
        <f t="shared" si="58"/>
        <v>0</v>
      </c>
      <c r="CC19" s="748">
        <f t="shared" si="59"/>
        <v>0</v>
      </c>
      <c r="CE19" s="754">
        <f t="shared" si="60"/>
        <v>0</v>
      </c>
      <c r="CF19" s="754">
        <f t="shared" si="60"/>
        <v>0</v>
      </c>
      <c r="CG19" s="750"/>
      <c r="CH19" s="753"/>
      <c r="CI19" s="753"/>
      <c r="CJ19" s="753"/>
      <c r="CK19" s="753"/>
      <c r="CL19" s="748">
        <f t="shared" si="61"/>
        <v>0</v>
      </c>
      <c r="CM19" s="748">
        <f t="shared" si="62"/>
        <v>0</v>
      </c>
      <c r="CN19" s="748">
        <f t="shared" si="63"/>
        <v>0</v>
      </c>
      <c r="CO19" s="748">
        <f t="shared" si="64"/>
        <v>0</v>
      </c>
      <c r="CP19" s="748">
        <f t="shared" si="65"/>
        <v>0</v>
      </c>
      <c r="CQ19" s="728"/>
      <c r="CR19" s="748">
        <f t="shared" si="66"/>
        <v>0</v>
      </c>
      <c r="CS19" s="748">
        <f t="shared" si="67"/>
        <v>0</v>
      </c>
      <c r="CT19" s="748">
        <f t="shared" si="68"/>
        <v>0</v>
      </c>
      <c r="CU19" s="748">
        <f t="shared" si="69"/>
        <v>0</v>
      </c>
      <c r="CV19" s="748">
        <f t="shared" si="70"/>
        <v>0</v>
      </c>
      <c r="CW19" s="728"/>
      <c r="CX19" s="748">
        <f t="shared" si="71"/>
        <v>0</v>
      </c>
      <c r="CY19" s="748">
        <f t="shared" si="72"/>
        <v>0</v>
      </c>
      <c r="CZ19" s="748">
        <f t="shared" si="73"/>
        <v>0</v>
      </c>
      <c r="DA19" s="748">
        <f t="shared" si="74"/>
        <v>0</v>
      </c>
      <c r="DB19" s="748">
        <f t="shared" si="75"/>
        <v>0</v>
      </c>
      <c r="DD19" s="754">
        <f t="shared" si="76"/>
        <v>0</v>
      </c>
      <c r="DE19" s="753"/>
      <c r="DF19" s="753"/>
      <c r="DG19" s="753"/>
      <c r="DH19" s="753"/>
      <c r="DI19" s="816">
        <f t="shared" si="77"/>
        <v>0</v>
      </c>
      <c r="DJ19" s="748">
        <f t="shared" si="18"/>
        <v>0</v>
      </c>
      <c r="DK19" s="748">
        <f t="shared" si="78"/>
        <v>0</v>
      </c>
      <c r="DL19" s="748">
        <f t="shared" si="79"/>
        <v>0</v>
      </c>
      <c r="DM19" s="748">
        <f t="shared" si="80"/>
        <v>0</v>
      </c>
      <c r="DN19" s="748">
        <f t="shared" si="81"/>
        <v>0</v>
      </c>
      <c r="DQ19" s="753"/>
      <c r="DR19" s="753"/>
      <c r="DS19" s="753"/>
      <c r="DT19" s="753"/>
      <c r="DU19" s="753"/>
      <c r="DV19" s="753"/>
      <c r="DW19" s="748">
        <f t="shared" si="19"/>
        <v>0</v>
      </c>
      <c r="DX19" s="748">
        <f t="shared" si="20"/>
        <v>0</v>
      </c>
      <c r="DY19" s="748">
        <f t="shared" si="21"/>
        <v>0</v>
      </c>
      <c r="DZ19" s="748">
        <f t="shared" si="22"/>
        <v>0</v>
      </c>
      <c r="EA19" s="748">
        <f t="shared" si="23"/>
        <v>0</v>
      </c>
    </row>
    <row r="20" spans="2:131">
      <c r="B20" s="815"/>
      <c r="C20" s="752"/>
      <c r="D20" s="753"/>
      <c r="E20" s="753"/>
      <c r="F20" s="1610" t="str">
        <f t="shared" si="24"/>
        <v/>
      </c>
      <c r="G20" s="753"/>
      <c r="H20" s="753"/>
      <c r="I20" s="753"/>
      <c r="J20" s="753"/>
      <c r="K20" s="753"/>
      <c r="L20" s="746">
        <f t="shared" si="25"/>
        <v>0</v>
      </c>
      <c r="M20" s="746">
        <f t="shared" si="26"/>
        <v>0</v>
      </c>
      <c r="N20" s="746">
        <f t="shared" si="27"/>
        <v>0</v>
      </c>
      <c r="O20" s="746">
        <f t="shared" si="28"/>
        <v>0</v>
      </c>
      <c r="P20" s="747"/>
      <c r="Q20" s="747"/>
      <c r="R20" s="747"/>
      <c r="S20" s="747"/>
      <c r="T20" s="747"/>
      <c r="V20" s="748">
        <f t="shared" si="3"/>
        <v>0</v>
      </c>
      <c r="W20" s="748">
        <f t="shared" si="4"/>
        <v>0</v>
      </c>
      <c r="X20" s="748">
        <f t="shared" si="5"/>
        <v>0</v>
      </c>
      <c r="Y20" s="748">
        <f t="shared" si="6"/>
        <v>0</v>
      </c>
      <c r="Z20" s="748">
        <f t="shared" si="7"/>
        <v>0</v>
      </c>
      <c r="AA20" s="708">
        <f t="shared" si="29"/>
        <v>0</v>
      </c>
      <c r="AB20" s="748">
        <f t="shared" si="8"/>
        <v>0</v>
      </c>
      <c r="AC20" s="748">
        <f t="shared" si="9"/>
        <v>0</v>
      </c>
      <c r="AD20" s="748">
        <f t="shared" si="10"/>
        <v>0</v>
      </c>
      <c r="AE20" s="748">
        <f t="shared" si="11"/>
        <v>0</v>
      </c>
      <c r="AF20" s="748">
        <f t="shared" si="12"/>
        <v>0</v>
      </c>
      <c r="AH20" s="748">
        <f t="shared" si="30"/>
        <v>0</v>
      </c>
      <c r="AI20" s="748">
        <f t="shared" si="31"/>
        <v>0</v>
      </c>
      <c r="AJ20" s="748">
        <f t="shared" si="32"/>
        <v>0</v>
      </c>
      <c r="AK20" s="748">
        <f t="shared" si="33"/>
        <v>0</v>
      </c>
      <c r="AL20" s="748">
        <f t="shared" si="34"/>
        <v>0</v>
      </c>
      <c r="AN20" s="753"/>
      <c r="AO20" s="747"/>
      <c r="AP20" s="747"/>
      <c r="AQ20" s="747"/>
      <c r="AR20" s="747"/>
      <c r="AS20" s="747"/>
      <c r="AU20" s="748">
        <f t="shared" si="13"/>
        <v>0</v>
      </c>
      <c r="AV20" s="748">
        <f t="shared" si="14"/>
        <v>0</v>
      </c>
      <c r="AW20" s="748">
        <f t="shared" si="15"/>
        <v>0</v>
      </c>
      <c r="AX20" s="748">
        <f t="shared" si="16"/>
        <v>0</v>
      </c>
      <c r="AY20" s="748">
        <f t="shared" si="17"/>
        <v>0</v>
      </c>
      <c r="BA20" s="748">
        <f t="shared" si="35"/>
        <v>0</v>
      </c>
      <c r="BB20" s="748">
        <f t="shared" si="36"/>
        <v>0</v>
      </c>
      <c r="BC20" s="748">
        <f t="shared" si="37"/>
        <v>0</v>
      </c>
      <c r="BD20" s="748">
        <f t="shared" si="38"/>
        <v>0</v>
      </c>
      <c r="BE20" s="748">
        <f t="shared" si="39"/>
        <v>0</v>
      </c>
      <c r="BG20" s="748">
        <f t="shared" si="40"/>
        <v>0</v>
      </c>
      <c r="BH20" s="748">
        <f t="shared" si="41"/>
        <v>0</v>
      </c>
      <c r="BI20" s="748">
        <f t="shared" si="42"/>
        <v>0</v>
      </c>
      <c r="BJ20" s="748">
        <f t="shared" si="43"/>
        <v>0</v>
      </c>
      <c r="BK20" s="748">
        <f t="shared" si="44"/>
        <v>0</v>
      </c>
      <c r="BM20" s="748">
        <f t="shared" si="45"/>
        <v>0</v>
      </c>
      <c r="BN20" s="748">
        <f t="shared" si="46"/>
        <v>0</v>
      </c>
      <c r="BO20" s="748">
        <f t="shared" si="47"/>
        <v>0</v>
      </c>
      <c r="BP20" s="748">
        <f t="shared" si="48"/>
        <v>0</v>
      </c>
      <c r="BQ20" s="748">
        <f t="shared" si="49"/>
        <v>0</v>
      </c>
      <c r="BS20" s="748">
        <f t="shared" si="50"/>
        <v>0</v>
      </c>
      <c r="BT20" s="748">
        <f t="shared" si="51"/>
        <v>0</v>
      </c>
      <c r="BU20" s="748">
        <f t="shared" si="52"/>
        <v>0</v>
      </c>
      <c r="BV20" s="748">
        <f t="shared" si="53"/>
        <v>0</v>
      </c>
      <c r="BW20" s="748">
        <f t="shared" si="54"/>
        <v>0</v>
      </c>
      <c r="BY20" s="748">
        <f t="shared" si="55"/>
        <v>0</v>
      </c>
      <c r="BZ20" s="748">
        <f t="shared" si="56"/>
        <v>0</v>
      </c>
      <c r="CA20" s="748">
        <f t="shared" si="57"/>
        <v>0</v>
      </c>
      <c r="CB20" s="748">
        <f t="shared" si="58"/>
        <v>0</v>
      </c>
      <c r="CC20" s="748">
        <f t="shared" si="59"/>
        <v>0</v>
      </c>
      <c r="CE20" s="754">
        <f t="shared" si="60"/>
        <v>0</v>
      </c>
      <c r="CF20" s="754">
        <f t="shared" si="60"/>
        <v>0</v>
      </c>
      <c r="CG20" s="750"/>
      <c r="CH20" s="753"/>
      <c r="CI20" s="753"/>
      <c r="CJ20" s="753"/>
      <c r="CK20" s="753"/>
      <c r="CL20" s="748">
        <f t="shared" si="61"/>
        <v>0</v>
      </c>
      <c r="CM20" s="748">
        <f t="shared" si="62"/>
        <v>0</v>
      </c>
      <c r="CN20" s="748">
        <f t="shared" si="63"/>
        <v>0</v>
      </c>
      <c r="CO20" s="748">
        <f t="shared" si="64"/>
        <v>0</v>
      </c>
      <c r="CP20" s="748">
        <f t="shared" si="65"/>
        <v>0</v>
      </c>
      <c r="CQ20" s="728"/>
      <c r="CR20" s="748">
        <f t="shared" si="66"/>
        <v>0</v>
      </c>
      <c r="CS20" s="748">
        <f t="shared" si="67"/>
        <v>0</v>
      </c>
      <c r="CT20" s="748">
        <f t="shared" si="68"/>
        <v>0</v>
      </c>
      <c r="CU20" s="748">
        <f t="shared" si="69"/>
        <v>0</v>
      </c>
      <c r="CV20" s="748">
        <f t="shared" si="70"/>
        <v>0</v>
      </c>
      <c r="CW20" s="728"/>
      <c r="CX20" s="748">
        <f t="shared" si="71"/>
        <v>0</v>
      </c>
      <c r="CY20" s="748">
        <f t="shared" si="72"/>
        <v>0</v>
      </c>
      <c r="CZ20" s="748">
        <f t="shared" si="73"/>
        <v>0</v>
      </c>
      <c r="DA20" s="748">
        <f t="shared" si="74"/>
        <v>0</v>
      </c>
      <c r="DB20" s="748">
        <f t="shared" si="75"/>
        <v>0</v>
      </c>
      <c r="DD20" s="754">
        <f t="shared" si="76"/>
        <v>0</v>
      </c>
      <c r="DE20" s="753"/>
      <c r="DF20" s="753"/>
      <c r="DG20" s="753"/>
      <c r="DH20" s="753"/>
      <c r="DI20" s="816">
        <f t="shared" si="77"/>
        <v>0</v>
      </c>
      <c r="DJ20" s="748">
        <f t="shared" si="18"/>
        <v>0</v>
      </c>
      <c r="DK20" s="748">
        <f t="shared" si="78"/>
        <v>0</v>
      </c>
      <c r="DL20" s="748">
        <f t="shared" si="79"/>
        <v>0</v>
      </c>
      <c r="DM20" s="748">
        <f t="shared" si="80"/>
        <v>0</v>
      </c>
      <c r="DN20" s="748">
        <f t="shared" si="81"/>
        <v>0</v>
      </c>
      <c r="DQ20" s="753"/>
      <c r="DR20" s="753"/>
      <c r="DS20" s="753"/>
      <c r="DT20" s="753"/>
      <c r="DU20" s="753"/>
      <c r="DV20" s="753"/>
      <c r="DW20" s="748">
        <f t="shared" si="19"/>
        <v>0</v>
      </c>
      <c r="DX20" s="748">
        <f t="shared" si="20"/>
        <v>0</v>
      </c>
      <c r="DY20" s="748">
        <f t="shared" si="21"/>
        <v>0</v>
      </c>
      <c r="DZ20" s="748">
        <f t="shared" si="22"/>
        <v>0</v>
      </c>
      <c r="EA20" s="748">
        <f t="shared" si="23"/>
        <v>0</v>
      </c>
    </row>
    <row r="21" spans="2:131">
      <c r="B21" s="815"/>
      <c r="C21" s="752"/>
      <c r="D21" s="753"/>
      <c r="E21" s="753"/>
      <c r="F21" s="1610" t="str">
        <f t="shared" si="24"/>
        <v/>
      </c>
      <c r="G21" s="753"/>
      <c r="H21" s="753"/>
      <c r="I21" s="753"/>
      <c r="J21" s="753"/>
      <c r="K21" s="753"/>
      <c r="L21" s="746">
        <f t="shared" si="25"/>
        <v>0</v>
      </c>
      <c r="M21" s="746">
        <f t="shared" si="26"/>
        <v>0</v>
      </c>
      <c r="N21" s="746">
        <f t="shared" si="27"/>
        <v>0</v>
      </c>
      <c r="O21" s="746">
        <f t="shared" si="28"/>
        <v>0</v>
      </c>
      <c r="P21" s="747"/>
      <c r="Q21" s="747"/>
      <c r="R21" s="747"/>
      <c r="S21" s="747"/>
      <c r="T21" s="747"/>
      <c r="V21" s="748">
        <f t="shared" si="3"/>
        <v>0</v>
      </c>
      <c r="W21" s="748">
        <f t="shared" si="4"/>
        <v>0</v>
      </c>
      <c r="X21" s="748">
        <f t="shared" si="5"/>
        <v>0</v>
      </c>
      <c r="Y21" s="748">
        <f t="shared" si="6"/>
        <v>0</v>
      </c>
      <c r="Z21" s="748">
        <f t="shared" si="7"/>
        <v>0</v>
      </c>
      <c r="AA21" s="708">
        <f t="shared" si="29"/>
        <v>0</v>
      </c>
      <c r="AB21" s="748">
        <f t="shared" si="8"/>
        <v>0</v>
      </c>
      <c r="AC21" s="748">
        <f t="shared" si="9"/>
        <v>0</v>
      </c>
      <c r="AD21" s="748">
        <f t="shared" si="10"/>
        <v>0</v>
      </c>
      <c r="AE21" s="748">
        <f t="shared" si="11"/>
        <v>0</v>
      </c>
      <c r="AF21" s="748">
        <f t="shared" si="12"/>
        <v>0</v>
      </c>
      <c r="AH21" s="748">
        <f t="shared" si="30"/>
        <v>0</v>
      </c>
      <c r="AI21" s="748">
        <f t="shared" si="31"/>
        <v>0</v>
      </c>
      <c r="AJ21" s="748">
        <f t="shared" si="32"/>
        <v>0</v>
      </c>
      <c r="AK21" s="748">
        <f t="shared" si="33"/>
        <v>0</v>
      </c>
      <c r="AL21" s="748">
        <f t="shared" si="34"/>
        <v>0</v>
      </c>
      <c r="AN21" s="753"/>
      <c r="AO21" s="747"/>
      <c r="AP21" s="747"/>
      <c r="AQ21" s="747"/>
      <c r="AR21" s="747"/>
      <c r="AS21" s="747"/>
      <c r="AU21" s="748">
        <f t="shared" si="13"/>
        <v>0</v>
      </c>
      <c r="AV21" s="748">
        <f t="shared" si="14"/>
        <v>0</v>
      </c>
      <c r="AW21" s="748">
        <f t="shared" si="15"/>
        <v>0</v>
      </c>
      <c r="AX21" s="748">
        <f t="shared" si="16"/>
        <v>0</v>
      </c>
      <c r="AY21" s="748">
        <f t="shared" si="17"/>
        <v>0</v>
      </c>
      <c r="BA21" s="748">
        <f t="shared" si="35"/>
        <v>0</v>
      </c>
      <c r="BB21" s="748">
        <f t="shared" si="36"/>
        <v>0</v>
      </c>
      <c r="BC21" s="748">
        <f t="shared" si="37"/>
        <v>0</v>
      </c>
      <c r="BD21" s="748">
        <f t="shared" si="38"/>
        <v>0</v>
      </c>
      <c r="BE21" s="748">
        <f t="shared" si="39"/>
        <v>0</v>
      </c>
      <c r="BG21" s="748">
        <f t="shared" si="40"/>
        <v>0</v>
      </c>
      <c r="BH21" s="748">
        <f t="shared" si="41"/>
        <v>0</v>
      </c>
      <c r="BI21" s="748">
        <f t="shared" si="42"/>
        <v>0</v>
      </c>
      <c r="BJ21" s="748">
        <f t="shared" si="43"/>
        <v>0</v>
      </c>
      <c r="BK21" s="748">
        <f t="shared" si="44"/>
        <v>0</v>
      </c>
      <c r="BM21" s="748">
        <f t="shared" si="45"/>
        <v>0</v>
      </c>
      <c r="BN21" s="748">
        <f t="shared" si="46"/>
        <v>0</v>
      </c>
      <c r="BO21" s="748">
        <f t="shared" si="47"/>
        <v>0</v>
      </c>
      <c r="BP21" s="748">
        <f t="shared" si="48"/>
        <v>0</v>
      </c>
      <c r="BQ21" s="748">
        <f t="shared" si="49"/>
        <v>0</v>
      </c>
      <c r="BS21" s="748">
        <f t="shared" si="50"/>
        <v>0</v>
      </c>
      <c r="BT21" s="748">
        <f t="shared" si="51"/>
        <v>0</v>
      </c>
      <c r="BU21" s="748">
        <f t="shared" si="52"/>
        <v>0</v>
      </c>
      <c r="BV21" s="748">
        <f t="shared" si="53"/>
        <v>0</v>
      </c>
      <c r="BW21" s="748">
        <f t="shared" si="54"/>
        <v>0</v>
      </c>
      <c r="BY21" s="748">
        <f t="shared" si="55"/>
        <v>0</v>
      </c>
      <c r="BZ21" s="748">
        <f t="shared" si="56"/>
        <v>0</v>
      </c>
      <c r="CA21" s="748">
        <f t="shared" si="57"/>
        <v>0</v>
      </c>
      <c r="CB21" s="748">
        <f t="shared" si="58"/>
        <v>0</v>
      </c>
      <c r="CC21" s="748">
        <f t="shared" si="59"/>
        <v>0</v>
      </c>
      <c r="CE21" s="754">
        <f t="shared" si="60"/>
        <v>0</v>
      </c>
      <c r="CF21" s="754">
        <f t="shared" si="60"/>
        <v>0</v>
      </c>
      <c r="CG21" s="750"/>
      <c r="CH21" s="753"/>
      <c r="CI21" s="753"/>
      <c r="CJ21" s="753"/>
      <c r="CK21" s="753"/>
      <c r="CL21" s="748">
        <f t="shared" si="61"/>
        <v>0</v>
      </c>
      <c r="CM21" s="748">
        <f t="shared" si="62"/>
        <v>0</v>
      </c>
      <c r="CN21" s="748">
        <f t="shared" si="63"/>
        <v>0</v>
      </c>
      <c r="CO21" s="748">
        <f t="shared" si="64"/>
        <v>0</v>
      </c>
      <c r="CP21" s="748">
        <f t="shared" si="65"/>
        <v>0</v>
      </c>
      <c r="CQ21" s="728"/>
      <c r="CR21" s="748">
        <f t="shared" si="66"/>
        <v>0</v>
      </c>
      <c r="CS21" s="748">
        <f t="shared" si="67"/>
        <v>0</v>
      </c>
      <c r="CT21" s="748">
        <f t="shared" si="68"/>
        <v>0</v>
      </c>
      <c r="CU21" s="748">
        <f t="shared" si="69"/>
        <v>0</v>
      </c>
      <c r="CV21" s="748">
        <f t="shared" si="70"/>
        <v>0</v>
      </c>
      <c r="CW21" s="728"/>
      <c r="CX21" s="748">
        <f t="shared" si="71"/>
        <v>0</v>
      </c>
      <c r="CY21" s="748">
        <f t="shared" si="72"/>
        <v>0</v>
      </c>
      <c r="CZ21" s="748">
        <f t="shared" si="73"/>
        <v>0</v>
      </c>
      <c r="DA21" s="748">
        <f t="shared" si="74"/>
        <v>0</v>
      </c>
      <c r="DB21" s="748">
        <f t="shared" si="75"/>
        <v>0</v>
      </c>
      <c r="DD21" s="754">
        <f t="shared" si="76"/>
        <v>0</v>
      </c>
      <c r="DE21" s="753"/>
      <c r="DF21" s="753"/>
      <c r="DG21" s="753"/>
      <c r="DH21" s="753"/>
      <c r="DI21" s="816">
        <f t="shared" si="77"/>
        <v>0</v>
      </c>
      <c r="DJ21" s="748">
        <f t="shared" si="18"/>
        <v>0</v>
      </c>
      <c r="DK21" s="748">
        <f t="shared" si="78"/>
        <v>0</v>
      </c>
      <c r="DL21" s="748">
        <f t="shared" si="79"/>
        <v>0</v>
      </c>
      <c r="DM21" s="748">
        <f t="shared" si="80"/>
        <v>0</v>
      </c>
      <c r="DN21" s="748">
        <f t="shared" si="81"/>
        <v>0</v>
      </c>
      <c r="DQ21" s="753"/>
      <c r="DR21" s="753"/>
      <c r="DS21" s="753"/>
      <c r="DT21" s="753"/>
      <c r="DU21" s="753"/>
      <c r="DV21" s="753"/>
      <c r="DW21" s="748">
        <f t="shared" si="19"/>
        <v>0</v>
      </c>
      <c r="DX21" s="748">
        <f t="shared" si="20"/>
        <v>0</v>
      </c>
      <c r="DY21" s="748">
        <f t="shared" si="21"/>
        <v>0</v>
      </c>
      <c r="DZ21" s="748">
        <f t="shared" si="22"/>
        <v>0</v>
      </c>
      <c r="EA21" s="748">
        <f t="shared" si="23"/>
        <v>0</v>
      </c>
    </row>
    <row r="22" spans="2:131">
      <c r="B22" s="815"/>
      <c r="C22" s="752"/>
      <c r="D22" s="753"/>
      <c r="E22" s="753"/>
      <c r="F22" s="1610" t="str">
        <f t="shared" si="24"/>
        <v/>
      </c>
      <c r="G22" s="753"/>
      <c r="H22" s="753"/>
      <c r="I22" s="753"/>
      <c r="J22" s="753"/>
      <c r="K22" s="753"/>
      <c r="L22" s="746">
        <f t="shared" si="25"/>
        <v>0</v>
      </c>
      <c r="M22" s="746">
        <f t="shared" si="26"/>
        <v>0</v>
      </c>
      <c r="N22" s="746">
        <f t="shared" si="27"/>
        <v>0</v>
      </c>
      <c r="O22" s="746">
        <f t="shared" si="28"/>
        <v>0</v>
      </c>
      <c r="P22" s="747"/>
      <c r="Q22" s="747"/>
      <c r="R22" s="747"/>
      <c r="S22" s="747"/>
      <c r="T22" s="747"/>
      <c r="V22" s="748">
        <f t="shared" si="3"/>
        <v>0</v>
      </c>
      <c r="W22" s="748">
        <f t="shared" si="4"/>
        <v>0</v>
      </c>
      <c r="X22" s="748">
        <f t="shared" si="5"/>
        <v>0</v>
      </c>
      <c r="Y22" s="748">
        <f t="shared" si="6"/>
        <v>0</v>
      </c>
      <c r="Z22" s="748">
        <f t="shared" si="7"/>
        <v>0</v>
      </c>
      <c r="AA22" s="708">
        <f t="shared" si="29"/>
        <v>0</v>
      </c>
      <c r="AB22" s="748">
        <f t="shared" si="8"/>
        <v>0</v>
      </c>
      <c r="AC22" s="748">
        <f t="shared" si="9"/>
        <v>0</v>
      </c>
      <c r="AD22" s="748">
        <f t="shared" si="10"/>
        <v>0</v>
      </c>
      <c r="AE22" s="748">
        <f t="shared" si="11"/>
        <v>0</v>
      </c>
      <c r="AF22" s="748">
        <f t="shared" si="12"/>
        <v>0</v>
      </c>
      <c r="AH22" s="748">
        <f t="shared" si="30"/>
        <v>0</v>
      </c>
      <c r="AI22" s="748">
        <f t="shared" si="31"/>
        <v>0</v>
      </c>
      <c r="AJ22" s="748">
        <f t="shared" si="32"/>
        <v>0</v>
      </c>
      <c r="AK22" s="748">
        <f t="shared" si="33"/>
        <v>0</v>
      </c>
      <c r="AL22" s="748">
        <f t="shared" si="34"/>
        <v>0</v>
      </c>
      <c r="AN22" s="753"/>
      <c r="AO22" s="747"/>
      <c r="AP22" s="747"/>
      <c r="AQ22" s="747"/>
      <c r="AR22" s="747"/>
      <c r="AS22" s="747"/>
      <c r="AU22" s="748">
        <f t="shared" si="13"/>
        <v>0</v>
      </c>
      <c r="AV22" s="748">
        <f t="shared" si="14"/>
        <v>0</v>
      </c>
      <c r="AW22" s="748">
        <f t="shared" si="15"/>
        <v>0</v>
      </c>
      <c r="AX22" s="748">
        <f t="shared" si="16"/>
        <v>0</v>
      </c>
      <c r="AY22" s="748">
        <f t="shared" si="17"/>
        <v>0</v>
      </c>
      <c r="BA22" s="748">
        <f t="shared" si="35"/>
        <v>0</v>
      </c>
      <c r="BB22" s="748">
        <f t="shared" si="36"/>
        <v>0</v>
      </c>
      <c r="BC22" s="748">
        <f t="shared" si="37"/>
        <v>0</v>
      </c>
      <c r="BD22" s="748">
        <f t="shared" si="38"/>
        <v>0</v>
      </c>
      <c r="BE22" s="748">
        <f t="shared" si="39"/>
        <v>0</v>
      </c>
      <c r="BG22" s="748">
        <f t="shared" si="40"/>
        <v>0</v>
      </c>
      <c r="BH22" s="748">
        <f t="shared" si="41"/>
        <v>0</v>
      </c>
      <c r="BI22" s="748">
        <f t="shared" si="42"/>
        <v>0</v>
      </c>
      <c r="BJ22" s="748">
        <f t="shared" si="43"/>
        <v>0</v>
      </c>
      <c r="BK22" s="748">
        <f t="shared" si="44"/>
        <v>0</v>
      </c>
      <c r="BM22" s="748">
        <f t="shared" si="45"/>
        <v>0</v>
      </c>
      <c r="BN22" s="748">
        <f t="shared" si="46"/>
        <v>0</v>
      </c>
      <c r="BO22" s="748">
        <f t="shared" si="47"/>
        <v>0</v>
      </c>
      <c r="BP22" s="748">
        <f t="shared" si="48"/>
        <v>0</v>
      </c>
      <c r="BQ22" s="748">
        <f t="shared" si="49"/>
        <v>0</v>
      </c>
      <c r="BS22" s="748">
        <f t="shared" si="50"/>
        <v>0</v>
      </c>
      <c r="BT22" s="748">
        <f t="shared" si="51"/>
        <v>0</v>
      </c>
      <c r="BU22" s="748">
        <f t="shared" si="52"/>
        <v>0</v>
      </c>
      <c r="BV22" s="748">
        <f t="shared" si="53"/>
        <v>0</v>
      </c>
      <c r="BW22" s="748">
        <f t="shared" si="54"/>
        <v>0</v>
      </c>
      <c r="BY22" s="748">
        <f t="shared" si="55"/>
        <v>0</v>
      </c>
      <c r="BZ22" s="748">
        <f t="shared" si="56"/>
        <v>0</v>
      </c>
      <c r="CA22" s="748">
        <f t="shared" si="57"/>
        <v>0</v>
      </c>
      <c r="CB22" s="748">
        <f t="shared" si="58"/>
        <v>0</v>
      </c>
      <c r="CC22" s="748">
        <f t="shared" si="59"/>
        <v>0</v>
      </c>
      <c r="CE22" s="754">
        <f t="shared" si="60"/>
        <v>0</v>
      </c>
      <c r="CF22" s="754">
        <f t="shared" si="60"/>
        <v>0</v>
      </c>
      <c r="CG22" s="750"/>
      <c r="CH22" s="753"/>
      <c r="CI22" s="753"/>
      <c r="CJ22" s="753"/>
      <c r="CK22" s="753"/>
      <c r="CL22" s="748">
        <f t="shared" si="61"/>
        <v>0</v>
      </c>
      <c r="CM22" s="748">
        <f t="shared" si="62"/>
        <v>0</v>
      </c>
      <c r="CN22" s="748">
        <f t="shared" si="63"/>
        <v>0</v>
      </c>
      <c r="CO22" s="748">
        <f t="shared" si="64"/>
        <v>0</v>
      </c>
      <c r="CP22" s="748">
        <f t="shared" si="65"/>
        <v>0</v>
      </c>
      <c r="CQ22" s="728"/>
      <c r="CR22" s="748">
        <f t="shared" si="66"/>
        <v>0</v>
      </c>
      <c r="CS22" s="748">
        <f t="shared" si="67"/>
        <v>0</v>
      </c>
      <c r="CT22" s="748">
        <f t="shared" si="68"/>
        <v>0</v>
      </c>
      <c r="CU22" s="748">
        <f t="shared" si="69"/>
        <v>0</v>
      </c>
      <c r="CV22" s="748">
        <f t="shared" si="70"/>
        <v>0</v>
      </c>
      <c r="CW22" s="728"/>
      <c r="CX22" s="748">
        <f t="shared" si="71"/>
        <v>0</v>
      </c>
      <c r="CY22" s="748">
        <f t="shared" si="72"/>
        <v>0</v>
      </c>
      <c r="CZ22" s="748">
        <f t="shared" si="73"/>
        <v>0</v>
      </c>
      <c r="DA22" s="748">
        <f t="shared" si="74"/>
        <v>0</v>
      </c>
      <c r="DB22" s="748">
        <f t="shared" si="75"/>
        <v>0</v>
      </c>
      <c r="DD22" s="754">
        <f t="shared" si="76"/>
        <v>0</v>
      </c>
      <c r="DE22" s="753"/>
      <c r="DF22" s="753"/>
      <c r="DG22" s="753"/>
      <c r="DH22" s="753"/>
      <c r="DI22" s="816">
        <f t="shared" si="77"/>
        <v>0</v>
      </c>
      <c r="DJ22" s="748">
        <f t="shared" si="18"/>
        <v>0</v>
      </c>
      <c r="DK22" s="748">
        <f t="shared" si="78"/>
        <v>0</v>
      </c>
      <c r="DL22" s="748">
        <f t="shared" si="79"/>
        <v>0</v>
      </c>
      <c r="DM22" s="748">
        <f t="shared" si="80"/>
        <v>0</v>
      </c>
      <c r="DN22" s="748">
        <f t="shared" si="81"/>
        <v>0</v>
      </c>
      <c r="DQ22" s="753"/>
      <c r="DR22" s="753"/>
      <c r="DS22" s="753"/>
      <c r="DT22" s="753"/>
      <c r="DU22" s="753"/>
      <c r="DV22" s="753"/>
      <c r="DW22" s="748">
        <f t="shared" si="19"/>
        <v>0</v>
      </c>
      <c r="DX22" s="748">
        <f t="shared" si="20"/>
        <v>0</v>
      </c>
      <c r="DY22" s="748">
        <f t="shared" si="21"/>
        <v>0</v>
      </c>
      <c r="DZ22" s="748">
        <f t="shared" si="22"/>
        <v>0</v>
      </c>
      <c r="EA22" s="748">
        <f t="shared" si="23"/>
        <v>0</v>
      </c>
    </row>
    <row r="23" spans="2:131">
      <c r="B23" s="815"/>
      <c r="C23" s="752"/>
      <c r="D23" s="753"/>
      <c r="E23" s="753"/>
      <c r="F23" s="1610" t="str">
        <f t="shared" si="24"/>
        <v/>
      </c>
      <c r="G23" s="753"/>
      <c r="H23" s="753"/>
      <c r="I23" s="753"/>
      <c r="J23" s="753"/>
      <c r="K23" s="753"/>
      <c r="L23" s="746">
        <f t="shared" si="25"/>
        <v>0</v>
      </c>
      <c r="M23" s="746">
        <f t="shared" si="26"/>
        <v>0</v>
      </c>
      <c r="N23" s="746">
        <f t="shared" si="27"/>
        <v>0</v>
      </c>
      <c r="O23" s="746">
        <f t="shared" si="28"/>
        <v>0</v>
      </c>
      <c r="P23" s="747"/>
      <c r="Q23" s="747"/>
      <c r="R23" s="747"/>
      <c r="S23" s="747"/>
      <c r="T23" s="747"/>
      <c r="V23" s="748">
        <f t="shared" si="3"/>
        <v>0</v>
      </c>
      <c r="W23" s="748">
        <f t="shared" si="4"/>
        <v>0</v>
      </c>
      <c r="X23" s="748">
        <f t="shared" si="5"/>
        <v>0</v>
      </c>
      <c r="Y23" s="748">
        <f t="shared" si="6"/>
        <v>0</v>
      </c>
      <c r="Z23" s="748">
        <f t="shared" si="7"/>
        <v>0</v>
      </c>
      <c r="AA23" s="708">
        <f t="shared" si="29"/>
        <v>0</v>
      </c>
      <c r="AB23" s="748">
        <f t="shared" si="8"/>
        <v>0</v>
      </c>
      <c r="AC23" s="748">
        <f t="shared" si="9"/>
        <v>0</v>
      </c>
      <c r="AD23" s="748">
        <f t="shared" si="10"/>
        <v>0</v>
      </c>
      <c r="AE23" s="748">
        <f t="shared" si="11"/>
        <v>0</v>
      </c>
      <c r="AF23" s="748">
        <f t="shared" si="12"/>
        <v>0</v>
      </c>
      <c r="AH23" s="748">
        <f t="shared" si="30"/>
        <v>0</v>
      </c>
      <c r="AI23" s="748">
        <f t="shared" si="31"/>
        <v>0</v>
      </c>
      <c r="AJ23" s="748">
        <f t="shared" si="32"/>
        <v>0</v>
      </c>
      <c r="AK23" s="748">
        <f t="shared" si="33"/>
        <v>0</v>
      </c>
      <c r="AL23" s="748">
        <f t="shared" si="34"/>
        <v>0</v>
      </c>
      <c r="AN23" s="753"/>
      <c r="AO23" s="747"/>
      <c r="AP23" s="747"/>
      <c r="AQ23" s="747"/>
      <c r="AR23" s="747"/>
      <c r="AS23" s="747"/>
      <c r="AU23" s="748">
        <f t="shared" si="13"/>
        <v>0</v>
      </c>
      <c r="AV23" s="748">
        <f t="shared" si="14"/>
        <v>0</v>
      </c>
      <c r="AW23" s="748">
        <f t="shared" si="15"/>
        <v>0</v>
      </c>
      <c r="AX23" s="748">
        <f t="shared" si="16"/>
        <v>0</v>
      </c>
      <c r="AY23" s="748">
        <f t="shared" si="17"/>
        <v>0</v>
      </c>
      <c r="BA23" s="748">
        <f t="shared" si="35"/>
        <v>0</v>
      </c>
      <c r="BB23" s="748">
        <f t="shared" si="36"/>
        <v>0</v>
      </c>
      <c r="BC23" s="748">
        <f t="shared" si="37"/>
        <v>0</v>
      </c>
      <c r="BD23" s="748">
        <f t="shared" si="38"/>
        <v>0</v>
      </c>
      <c r="BE23" s="748">
        <f t="shared" si="39"/>
        <v>0</v>
      </c>
      <c r="BG23" s="748">
        <f t="shared" si="40"/>
        <v>0</v>
      </c>
      <c r="BH23" s="748">
        <f t="shared" si="41"/>
        <v>0</v>
      </c>
      <c r="BI23" s="748">
        <f t="shared" si="42"/>
        <v>0</v>
      </c>
      <c r="BJ23" s="748">
        <f t="shared" si="43"/>
        <v>0</v>
      </c>
      <c r="BK23" s="748">
        <f t="shared" si="44"/>
        <v>0</v>
      </c>
      <c r="BM23" s="748">
        <f t="shared" si="45"/>
        <v>0</v>
      </c>
      <c r="BN23" s="748">
        <f t="shared" si="46"/>
        <v>0</v>
      </c>
      <c r="BO23" s="748">
        <f t="shared" si="47"/>
        <v>0</v>
      </c>
      <c r="BP23" s="748">
        <f t="shared" si="48"/>
        <v>0</v>
      </c>
      <c r="BQ23" s="748">
        <f t="shared" si="49"/>
        <v>0</v>
      </c>
      <c r="BS23" s="748">
        <f t="shared" si="50"/>
        <v>0</v>
      </c>
      <c r="BT23" s="748">
        <f t="shared" si="51"/>
        <v>0</v>
      </c>
      <c r="BU23" s="748">
        <f t="shared" si="52"/>
        <v>0</v>
      </c>
      <c r="BV23" s="748">
        <f t="shared" si="53"/>
        <v>0</v>
      </c>
      <c r="BW23" s="748">
        <f t="shared" si="54"/>
        <v>0</v>
      </c>
      <c r="BY23" s="748">
        <f t="shared" si="55"/>
        <v>0</v>
      </c>
      <c r="BZ23" s="748">
        <f t="shared" si="56"/>
        <v>0</v>
      </c>
      <c r="CA23" s="748">
        <f t="shared" si="57"/>
        <v>0</v>
      </c>
      <c r="CB23" s="748">
        <f t="shared" si="58"/>
        <v>0</v>
      </c>
      <c r="CC23" s="748">
        <f t="shared" si="59"/>
        <v>0</v>
      </c>
      <c r="CE23" s="754">
        <f t="shared" si="60"/>
        <v>0</v>
      </c>
      <c r="CF23" s="754">
        <f t="shared" si="60"/>
        <v>0</v>
      </c>
      <c r="CG23" s="750"/>
      <c r="CH23" s="753"/>
      <c r="CI23" s="753"/>
      <c r="CJ23" s="753"/>
      <c r="CK23" s="753"/>
      <c r="CL23" s="748">
        <f t="shared" si="61"/>
        <v>0</v>
      </c>
      <c r="CM23" s="748">
        <f t="shared" si="62"/>
        <v>0</v>
      </c>
      <c r="CN23" s="748">
        <f t="shared" si="63"/>
        <v>0</v>
      </c>
      <c r="CO23" s="748">
        <f t="shared" si="64"/>
        <v>0</v>
      </c>
      <c r="CP23" s="748">
        <f t="shared" si="65"/>
        <v>0</v>
      </c>
      <c r="CQ23" s="728"/>
      <c r="CR23" s="748">
        <f t="shared" si="66"/>
        <v>0</v>
      </c>
      <c r="CS23" s="748">
        <f t="shared" si="67"/>
        <v>0</v>
      </c>
      <c r="CT23" s="748">
        <f t="shared" si="68"/>
        <v>0</v>
      </c>
      <c r="CU23" s="748">
        <f t="shared" si="69"/>
        <v>0</v>
      </c>
      <c r="CV23" s="748">
        <f t="shared" si="70"/>
        <v>0</v>
      </c>
      <c r="CW23" s="728"/>
      <c r="CX23" s="748">
        <f t="shared" si="71"/>
        <v>0</v>
      </c>
      <c r="CY23" s="748">
        <f t="shared" si="72"/>
        <v>0</v>
      </c>
      <c r="CZ23" s="748">
        <f t="shared" si="73"/>
        <v>0</v>
      </c>
      <c r="DA23" s="748">
        <f t="shared" si="74"/>
        <v>0</v>
      </c>
      <c r="DB23" s="748">
        <f t="shared" si="75"/>
        <v>0</v>
      </c>
      <c r="DD23" s="754">
        <f t="shared" si="76"/>
        <v>0</v>
      </c>
      <c r="DE23" s="753"/>
      <c r="DF23" s="753"/>
      <c r="DG23" s="753"/>
      <c r="DH23" s="753"/>
      <c r="DI23" s="816">
        <f t="shared" si="77"/>
        <v>0</v>
      </c>
      <c r="DJ23" s="748">
        <f t="shared" si="18"/>
        <v>0</v>
      </c>
      <c r="DK23" s="748">
        <f t="shared" si="78"/>
        <v>0</v>
      </c>
      <c r="DL23" s="748">
        <f t="shared" si="79"/>
        <v>0</v>
      </c>
      <c r="DM23" s="748">
        <f t="shared" si="80"/>
        <v>0</v>
      </c>
      <c r="DN23" s="748">
        <f t="shared" si="81"/>
        <v>0</v>
      </c>
      <c r="DQ23" s="753"/>
      <c r="DR23" s="753"/>
      <c r="DS23" s="753"/>
      <c r="DT23" s="753"/>
      <c r="DU23" s="753"/>
      <c r="DV23" s="753"/>
      <c r="DW23" s="748">
        <f t="shared" si="19"/>
        <v>0</v>
      </c>
      <c r="DX23" s="748">
        <f t="shared" si="20"/>
        <v>0</v>
      </c>
      <c r="DY23" s="748">
        <f t="shared" si="21"/>
        <v>0</v>
      </c>
      <c r="DZ23" s="748">
        <f t="shared" si="22"/>
        <v>0</v>
      </c>
      <c r="EA23" s="748">
        <f t="shared" si="23"/>
        <v>0</v>
      </c>
    </row>
    <row r="24" spans="2:131">
      <c r="B24" s="815"/>
      <c r="C24" s="752"/>
      <c r="D24" s="753"/>
      <c r="E24" s="753"/>
      <c r="F24" s="1610" t="str">
        <f t="shared" si="24"/>
        <v/>
      </c>
      <c r="G24" s="753"/>
      <c r="H24" s="753"/>
      <c r="I24" s="753"/>
      <c r="J24" s="753"/>
      <c r="K24" s="753"/>
      <c r="L24" s="746">
        <f t="shared" si="25"/>
        <v>0</v>
      </c>
      <c r="M24" s="746">
        <f t="shared" si="26"/>
        <v>0</v>
      </c>
      <c r="N24" s="746">
        <f t="shared" si="27"/>
        <v>0</v>
      </c>
      <c r="O24" s="746">
        <f t="shared" si="28"/>
        <v>0</v>
      </c>
      <c r="P24" s="747"/>
      <c r="Q24" s="747"/>
      <c r="R24" s="747"/>
      <c r="S24" s="747"/>
      <c r="T24" s="747"/>
      <c r="V24" s="748">
        <f t="shared" si="3"/>
        <v>0</v>
      </c>
      <c r="W24" s="748">
        <f t="shared" si="4"/>
        <v>0</v>
      </c>
      <c r="X24" s="748">
        <f t="shared" si="5"/>
        <v>0</v>
      </c>
      <c r="Y24" s="748">
        <f t="shared" si="6"/>
        <v>0</v>
      </c>
      <c r="Z24" s="748">
        <f t="shared" si="7"/>
        <v>0</v>
      </c>
      <c r="AA24" s="708">
        <f t="shared" si="29"/>
        <v>0</v>
      </c>
      <c r="AB24" s="748">
        <f t="shared" si="8"/>
        <v>0</v>
      </c>
      <c r="AC24" s="748">
        <f t="shared" si="9"/>
        <v>0</v>
      </c>
      <c r="AD24" s="748">
        <f t="shared" si="10"/>
        <v>0</v>
      </c>
      <c r="AE24" s="748">
        <f t="shared" si="11"/>
        <v>0</v>
      </c>
      <c r="AF24" s="748">
        <f t="shared" si="12"/>
        <v>0</v>
      </c>
      <c r="AH24" s="748">
        <f t="shared" si="30"/>
        <v>0</v>
      </c>
      <c r="AI24" s="748">
        <f t="shared" si="31"/>
        <v>0</v>
      </c>
      <c r="AJ24" s="748">
        <f t="shared" si="32"/>
        <v>0</v>
      </c>
      <c r="AK24" s="748">
        <f t="shared" si="33"/>
        <v>0</v>
      </c>
      <c r="AL24" s="748">
        <f t="shared" si="34"/>
        <v>0</v>
      </c>
      <c r="AN24" s="753"/>
      <c r="AO24" s="747"/>
      <c r="AP24" s="747"/>
      <c r="AQ24" s="747"/>
      <c r="AR24" s="747"/>
      <c r="AS24" s="747"/>
      <c r="AU24" s="748">
        <f t="shared" si="13"/>
        <v>0</v>
      </c>
      <c r="AV24" s="748">
        <f t="shared" si="14"/>
        <v>0</v>
      </c>
      <c r="AW24" s="748">
        <f t="shared" si="15"/>
        <v>0</v>
      </c>
      <c r="AX24" s="748">
        <f t="shared" si="16"/>
        <v>0</v>
      </c>
      <c r="AY24" s="748">
        <f t="shared" si="17"/>
        <v>0</v>
      </c>
      <c r="BA24" s="748">
        <f t="shared" si="35"/>
        <v>0</v>
      </c>
      <c r="BB24" s="748">
        <f t="shared" si="36"/>
        <v>0</v>
      </c>
      <c r="BC24" s="748">
        <f t="shared" si="37"/>
        <v>0</v>
      </c>
      <c r="BD24" s="748">
        <f t="shared" si="38"/>
        <v>0</v>
      </c>
      <c r="BE24" s="748">
        <f t="shared" si="39"/>
        <v>0</v>
      </c>
      <c r="BG24" s="748">
        <f t="shared" si="40"/>
        <v>0</v>
      </c>
      <c r="BH24" s="748">
        <f t="shared" si="41"/>
        <v>0</v>
      </c>
      <c r="BI24" s="748">
        <f t="shared" si="42"/>
        <v>0</v>
      </c>
      <c r="BJ24" s="748">
        <f t="shared" si="43"/>
        <v>0</v>
      </c>
      <c r="BK24" s="748">
        <f t="shared" si="44"/>
        <v>0</v>
      </c>
      <c r="BM24" s="748">
        <f t="shared" si="45"/>
        <v>0</v>
      </c>
      <c r="BN24" s="748">
        <f t="shared" si="46"/>
        <v>0</v>
      </c>
      <c r="BO24" s="748">
        <f t="shared" si="47"/>
        <v>0</v>
      </c>
      <c r="BP24" s="748">
        <f t="shared" si="48"/>
        <v>0</v>
      </c>
      <c r="BQ24" s="748">
        <f t="shared" si="49"/>
        <v>0</v>
      </c>
      <c r="BS24" s="748">
        <f t="shared" si="50"/>
        <v>0</v>
      </c>
      <c r="BT24" s="748">
        <f t="shared" si="51"/>
        <v>0</v>
      </c>
      <c r="BU24" s="748">
        <f t="shared" si="52"/>
        <v>0</v>
      </c>
      <c r="BV24" s="748">
        <f t="shared" si="53"/>
        <v>0</v>
      </c>
      <c r="BW24" s="748">
        <f t="shared" si="54"/>
        <v>0</v>
      </c>
      <c r="BY24" s="748">
        <f t="shared" si="55"/>
        <v>0</v>
      </c>
      <c r="BZ24" s="748">
        <f t="shared" si="56"/>
        <v>0</v>
      </c>
      <c r="CA24" s="748">
        <f t="shared" si="57"/>
        <v>0</v>
      </c>
      <c r="CB24" s="748">
        <f t="shared" si="58"/>
        <v>0</v>
      </c>
      <c r="CC24" s="748">
        <f t="shared" si="59"/>
        <v>0</v>
      </c>
      <c r="CE24" s="754">
        <f t="shared" si="60"/>
        <v>0</v>
      </c>
      <c r="CF24" s="754">
        <f t="shared" si="60"/>
        <v>0</v>
      </c>
      <c r="CG24" s="750"/>
      <c r="CH24" s="753"/>
      <c r="CI24" s="753"/>
      <c r="CJ24" s="753"/>
      <c r="CK24" s="753"/>
      <c r="CL24" s="748">
        <f t="shared" si="61"/>
        <v>0</v>
      </c>
      <c r="CM24" s="748">
        <f t="shared" si="62"/>
        <v>0</v>
      </c>
      <c r="CN24" s="748">
        <f t="shared" si="63"/>
        <v>0</v>
      </c>
      <c r="CO24" s="748">
        <f t="shared" si="64"/>
        <v>0</v>
      </c>
      <c r="CP24" s="748">
        <f t="shared" si="65"/>
        <v>0</v>
      </c>
      <c r="CQ24" s="728"/>
      <c r="CR24" s="748">
        <f t="shared" si="66"/>
        <v>0</v>
      </c>
      <c r="CS24" s="748">
        <f t="shared" si="67"/>
        <v>0</v>
      </c>
      <c r="CT24" s="748">
        <f t="shared" si="68"/>
        <v>0</v>
      </c>
      <c r="CU24" s="748">
        <f t="shared" si="69"/>
        <v>0</v>
      </c>
      <c r="CV24" s="748">
        <f t="shared" si="70"/>
        <v>0</v>
      </c>
      <c r="CW24" s="728"/>
      <c r="CX24" s="748">
        <f t="shared" si="71"/>
        <v>0</v>
      </c>
      <c r="CY24" s="748">
        <f t="shared" si="72"/>
        <v>0</v>
      </c>
      <c r="CZ24" s="748">
        <f t="shared" si="73"/>
        <v>0</v>
      </c>
      <c r="DA24" s="748">
        <f t="shared" si="74"/>
        <v>0</v>
      </c>
      <c r="DB24" s="748">
        <f t="shared" si="75"/>
        <v>0</v>
      </c>
      <c r="DD24" s="754">
        <f t="shared" si="76"/>
        <v>0</v>
      </c>
      <c r="DE24" s="753"/>
      <c r="DF24" s="753"/>
      <c r="DG24" s="753"/>
      <c r="DH24" s="753"/>
      <c r="DI24" s="816">
        <f t="shared" si="77"/>
        <v>0</v>
      </c>
      <c r="DJ24" s="748">
        <f t="shared" si="18"/>
        <v>0</v>
      </c>
      <c r="DK24" s="748">
        <f t="shared" si="78"/>
        <v>0</v>
      </c>
      <c r="DL24" s="748">
        <f t="shared" si="79"/>
        <v>0</v>
      </c>
      <c r="DM24" s="748">
        <f t="shared" si="80"/>
        <v>0</v>
      </c>
      <c r="DN24" s="748">
        <f t="shared" si="81"/>
        <v>0</v>
      </c>
      <c r="DQ24" s="753"/>
      <c r="DR24" s="753"/>
      <c r="DS24" s="753"/>
      <c r="DT24" s="753"/>
      <c r="DU24" s="753"/>
      <c r="DV24" s="753"/>
      <c r="DW24" s="748">
        <f t="shared" si="19"/>
        <v>0</v>
      </c>
      <c r="DX24" s="748">
        <f t="shared" si="20"/>
        <v>0</v>
      </c>
      <c r="DY24" s="748">
        <f t="shared" si="21"/>
        <v>0</v>
      </c>
      <c r="DZ24" s="748">
        <f t="shared" si="22"/>
        <v>0</v>
      </c>
      <c r="EA24" s="748">
        <f t="shared" si="23"/>
        <v>0</v>
      </c>
    </row>
    <row r="25" spans="2:131">
      <c r="B25" s="815"/>
      <c r="C25" s="752"/>
      <c r="D25" s="753"/>
      <c r="E25" s="753"/>
      <c r="F25" s="1610" t="str">
        <f t="shared" si="24"/>
        <v/>
      </c>
      <c r="G25" s="753"/>
      <c r="H25" s="753"/>
      <c r="I25" s="753"/>
      <c r="J25" s="753"/>
      <c r="K25" s="753"/>
      <c r="L25" s="746">
        <f t="shared" si="25"/>
        <v>0</v>
      </c>
      <c r="M25" s="746">
        <f t="shared" si="26"/>
        <v>0</v>
      </c>
      <c r="N25" s="746">
        <f t="shared" si="27"/>
        <v>0</v>
      </c>
      <c r="O25" s="746">
        <f t="shared" si="28"/>
        <v>0</v>
      </c>
      <c r="P25" s="747"/>
      <c r="Q25" s="747"/>
      <c r="R25" s="747"/>
      <c r="S25" s="747"/>
      <c r="T25" s="747"/>
      <c r="V25" s="748">
        <f t="shared" si="3"/>
        <v>0</v>
      </c>
      <c r="W25" s="748">
        <f t="shared" si="4"/>
        <v>0</v>
      </c>
      <c r="X25" s="748">
        <f t="shared" si="5"/>
        <v>0</v>
      </c>
      <c r="Y25" s="748">
        <f t="shared" si="6"/>
        <v>0</v>
      </c>
      <c r="Z25" s="748">
        <f t="shared" si="7"/>
        <v>0</v>
      </c>
      <c r="AA25" s="708">
        <f t="shared" si="29"/>
        <v>0</v>
      </c>
      <c r="AB25" s="748">
        <f t="shared" si="8"/>
        <v>0</v>
      </c>
      <c r="AC25" s="748">
        <f t="shared" si="9"/>
        <v>0</v>
      </c>
      <c r="AD25" s="748">
        <f t="shared" si="10"/>
        <v>0</v>
      </c>
      <c r="AE25" s="748">
        <f t="shared" si="11"/>
        <v>0</v>
      </c>
      <c r="AF25" s="748">
        <f t="shared" si="12"/>
        <v>0</v>
      </c>
      <c r="AH25" s="748">
        <f t="shared" si="30"/>
        <v>0</v>
      </c>
      <c r="AI25" s="748">
        <f t="shared" si="31"/>
        <v>0</v>
      </c>
      <c r="AJ25" s="748">
        <f t="shared" si="32"/>
        <v>0</v>
      </c>
      <c r="AK25" s="748">
        <f t="shared" si="33"/>
        <v>0</v>
      </c>
      <c r="AL25" s="748">
        <f t="shared" si="34"/>
        <v>0</v>
      </c>
      <c r="AN25" s="753"/>
      <c r="AO25" s="747"/>
      <c r="AP25" s="747"/>
      <c r="AQ25" s="747"/>
      <c r="AR25" s="747"/>
      <c r="AS25" s="747"/>
      <c r="AU25" s="748">
        <f t="shared" si="13"/>
        <v>0</v>
      </c>
      <c r="AV25" s="748">
        <f t="shared" si="14"/>
        <v>0</v>
      </c>
      <c r="AW25" s="748">
        <f t="shared" si="15"/>
        <v>0</v>
      </c>
      <c r="AX25" s="748">
        <f t="shared" si="16"/>
        <v>0</v>
      </c>
      <c r="AY25" s="748">
        <f t="shared" si="17"/>
        <v>0</v>
      </c>
      <c r="BA25" s="748">
        <f t="shared" si="35"/>
        <v>0</v>
      </c>
      <c r="BB25" s="748">
        <f t="shared" si="36"/>
        <v>0</v>
      </c>
      <c r="BC25" s="748">
        <f t="shared" si="37"/>
        <v>0</v>
      </c>
      <c r="BD25" s="748">
        <f t="shared" si="38"/>
        <v>0</v>
      </c>
      <c r="BE25" s="748">
        <f t="shared" si="39"/>
        <v>0</v>
      </c>
      <c r="BG25" s="748">
        <f t="shared" si="40"/>
        <v>0</v>
      </c>
      <c r="BH25" s="748">
        <f t="shared" si="41"/>
        <v>0</v>
      </c>
      <c r="BI25" s="748">
        <f t="shared" si="42"/>
        <v>0</v>
      </c>
      <c r="BJ25" s="748">
        <f t="shared" si="43"/>
        <v>0</v>
      </c>
      <c r="BK25" s="748">
        <f t="shared" si="44"/>
        <v>0</v>
      </c>
      <c r="BM25" s="748">
        <f t="shared" si="45"/>
        <v>0</v>
      </c>
      <c r="BN25" s="748">
        <f t="shared" si="46"/>
        <v>0</v>
      </c>
      <c r="BO25" s="748">
        <f t="shared" si="47"/>
        <v>0</v>
      </c>
      <c r="BP25" s="748">
        <f t="shared" si="48"/>
        <v>0</v>
      </c>
      <c r="BQ25" s="748">
        <f t="shared" si="49"/>
        <v>0</v>
      </c>
      <c r="BS25" s="748">
        <f t="shared" si="50"/>
        <v>0</v>
      </c>
      <c r="BT25" s="748">
        <f t="shared" si="51"/>
        <v>0</v>
      </c>
      <c r="BU25" s="748">
        <f t="shared" si="52"/>
        <v>0</v>
      </c>
      <c r="BV25" s="748">
        <f t="shared" si="53"/>
        <v>0</v>
      </c>
      <c r="BW25" s="748">
        <f t="shared" si="54"/>
        <v>0</v>
      </c>
      <c r="BY25" s="748">
        <f t="shared" si="55"/>
        <v>0</v>
      </c>
      <c r="BZ25" s="748">
        <f t="shared" si="56"/>
        <v>0</v>
      </c>
      <c r="CA25" s="748">
        <f t="shared" si="57"/>
        <v>0</v>
      </c>
      <c r="CB25" s="748">
        <f t="shared" si="58"/>
        <v>0</v>
      </c>
      <c r="CC25" s="748">
        <f t="shared" si="59"/>
        <v>0</v>
      </c>
      <c r="CE25" s="754">
        <f t="shared" si="60"/>
        <v>0</v>
      </c>
      <c r="CF25" s="754">
        <f t="shared" si="60"/>
        <v>0</v>
      </c>
      <c r="CG25" s="750"/>
      <c r="CH25" s="753"/>
      <c r="CI25" s="753"/>
      <c r="CJ25" s="753"/>
      <c r="CK25" s="753"/>
      <c r="CL25" s="748">
        <f t="shared" si="61"/>
        <v>0</v>
      </c>
      <c r="CM25" s="748">
        <f t="shared" si="62"/>
        <v>0</v>
      </c>
      <c r="CN25" s="748">
        <f t="shared" si="63"/>
        <v>0</v>
      </c>
      <c r="CO25" s="748">
        <f t="shared" si="64"/>
        <v>0</v>
      </c>
      <c r="CP25" s="748">
        <f t="shared" si="65"/>
        <v>0</v>
      </c>
      <c r="CQ25" s="728"/>
      <c r="CR25" s="748">
        <f t="shared" si="66"/>
        <v>0</v>
      </c>
      <c r="CS25" s="748">
        <f t="shared" si="67"/>
        <v>0</v>
      </c>
      <c r="CT25" s="748">
        <f t="shared" si="68"/>
        <v>0</v>
      </c>
      <c r="CU25" s="748">
        <f t="shared" si="69"/>
        <v>0</v>
      </c>
      <c r="CV25" s="748">
        <f t="shared" si="70"/>
        <v>0</v>
      </c>
      <c r="CW25" s="728"/>
      <c r="CX25" s="748">
        <f t="shared" si="71"/>
        <v>0</v>
      </c>
      <c r="CY25" s="748">
        <f t="shared" si="72"/>
        <v>0</v>
      </c>
      <c r="CZ25" s="748">
        <f t="shared" si="73"/>
        <v>0</v>
      </c>
      <c r="DA25" s="748">
        <f t="shared" si="74"/>
        <v>0</v>
      </c>
      <c r="DB25" s="748">
        <f t="shared" si="75"/>
        <v>0</v>
      </c>
      <c r="DD25" s="754">
        <f t="shared" si="76"/>
        <v>0</v>
      </c>
      <c r="DE25" s="753"/>
      <c r="DF25" s="753"/>
      <c r="DG25" s="753"/>
      <c r="DH25" s="753"/>
      <c r="DI25" s="816">
        <f t="shared" si="77"/>
        <v>0</v>
      </c>
      <c r="DJ25" s="748">
        <f t="shared" si="18"/>
        <v>0</v>
      </c>
      <c r="DK25" s="748">
        <f t="shared" si="78"/>
        <v>0</v>
      </c>
      <c r="DL25" s="748">
        <f t="shared" si="79"/>
        <v>0</v>
      </c>
      <c r="DM25" s="748">
        <f t="shared" si="80"/>
        <v>0</v>
      </c>
      <c r="DN25" s="748">
        <f t="shared" si="81"/>
        <v>0</v>
      </c>
      <c r="DQ25" s="753"/>
      <c r="DR25" s="753"/>
      <c r="DS25" s="753"/>
      <c r="DT25" s="753"/>
      <c r="DU25" s="753"/>
      <c r="DV25" s="753"/>
      <c r="DW25" s="748">
        <f t="shared" si="19"/>
        <v>0</v>
      </c>
      <c r="DX25" s="748">
        <f t="shared" si="20"/>
        <v>0</v>
      </c>
      <c r="DY25" s="748">
        <f t="shared" si="21"/>
        <v>0</v>
      </c>
      <c r="DZ25" s="748">
        <f t="shared" si="22"/>
        <v>0</v>
      </c>
      <c r="EA25" s="748">
        <f t="shared" si="23"/>
        <v>0</v>
      </c>
    </row>
    <row r="26" spans="2:131">
      <c r="B26" s="815"/>
      <c r="C26" s="752"/>
      <c r="D26" s="753"/>
      <c r="E26" s="753"/>
      <c r="F26" s="1610" t="str">
        <f t="shared" si="24"/>
        <v/>
      </c>
      <c r="G26" s="753"/>
      <c r="H26" s="753"/>
      <c r="I26" s="753"/>
      <c r="J26" s="753"/>
      <c r="K26" s="753"/>
      <c r="L26" s="746">
        <f t="shared" si="25"/>
        <v>0</v>
      </c>
      <c r="M26" s="746">
        <f t="shared" si="26"/>
        <v>0</v>
      </c>
      <c r="N26" s="746">
        <f t="shared" si="27"/>
        <v>0</v>
      </c>
      <c r="O26" s="746">
        <f t="shared" si="28"/>
        <v>0</v>
      </c>
      <c r="P26" s="747"/>
      <c r="Q26" s="747"/>
      <c r="R26" s="747"/>
      <c r="S26" s="747"/>
      <c r="T26" s="747"/>
      <c r="V26" s="748">
        <f t="shared" si="3"/>
        <v>0</v>
      </c>
      <c r="W26" s="748">
        <f t="shared" si="4"/>
        <v>0</v>
      </c>
      <c r="X26" s="748">
        <f t="shared" si="5"/>
        <v>0</v>
      </c>
      <c r="Y26" s="748">
        <f t="shared" si="6"/>
        <v>0</v>
      </c>
      <c r="Z26" s="748">
        <f t="shared" si="7"/>
        <v>0</v>
      </c>
      <c r="AA26" s="708">
        <f t="shared" si="29"/>
        <v>0</v>
      </c>
      <c r="AB26" s="748">
        <f t="shared" si="8"/>
        <v>0</v>
      </c>
      <c r="AC26" s="748">
        <f t="shared" si="9"/>
        <v>0</v>
      </c>
      <c r="AD26" s="748">
        <f t="shared" si="10"/>
        <v>0</v>
      </c>
      <c r="AE26" s="748">
        <f t="shared" si="11"/>
        <v>0</v>
      </c>
      <c r="AF26" s="748">
        <f t="shared" si="12"/>
        <v>0</v>
      </c>
      <c r="AH26" s="748">
        <f t="shared" si="30"/>
        <v>0</v>
      </c>
      <c r="AI26" s="748">
        <f t="shared" si="31"/>
        <v>0</v>
      </c>
      <c r="AJ26" s="748">
        <f t="shared" si="32"/>
        <v>0</v>
      </c>
      <c r="AK26" s="748">
        <f t="shared" si="33"/>
        <v>0</v>
      </c>
      <c r="AL26" s="748">
        <f t="shared" si="34"/>
        <v>0</v>
      </c>
      <c r="AN26" s="753"/>
      <c r="AO26" s="747"/>
      <c r="AP26" s="747"/>
      <c r="AQ26" s="747"/>
      <c r="AR26" s="747"/>
      <c r="AS26" s="747"/>
      <c r="AU26" s="748">
        <f t="shared" si="13"/>
        <v>0</v>
      </c>
      <c r="AV26" s="748">
        <f t="shared" si="14"/>
        <v>0</v>
      </c>
      <c r="AW26" s="748">
        <f t="shared" si="15"/>
        <v>0</v>
      </c>
      <c r="AX26" s="748">
        <f t="shared" si="16"/>
        <v>0</v>
      </c>
      <c r="AY26" s="748">
        <f t="shared" si="17"/>
        <v>0</v>
      </c>
      <c r="BA26" s="748">
        <f t="shared" si="35"/>
        <v>0</v>
      </c>
      <c r="BB26" s="748">
        <f t="shared" si="36"/>
        <v>0</v>
      </c>
      <c r="BC26" s="748">
        <f t="shared" si="37"/>
        <v>0</v>
      </c>
      <c r="BD26" s="748">
        <f t="shared" si="38"/>
        <v>0</v>
      </c>
      <c r="BE26" s="748">
        <f t="shared" si="39"/>
        <v>0</v>
      </c>
      <c r="BG26" s="748">
        <f t="shared" si="40"/>
        <v>0</v>
      </c>
      <c r="BH26" s="748">
        <f t="shared" si="41"/>
        <v>0</v>
      </c>
      <c r="BI26" s="748">
        <f t="shared" si="42"/>
        <v>0</v>
      </c>
      <c r="BJ26" s="748">
        <f t="shared" si="43"/>
        <v>0</v>
      </c>
      <c r="BK26" s="748">
        <f t="shared" si="44"/>
        <v>0</v>
      </c>
      <c r="BM26" s="748">
        <f t="shared" si="45"/>
        <v>0</v>
      </c>
      <c r="BN26" s="748">
        <f t="shared" si="46"/>
        <v>0</v>
      </c>
      <c r="BO26" s="748">
        <f t="shared" si="47"/>
        <v>0</v>
      </c>
      <c r="BP26" s="748">
        <f t="shared" si="48"/>
        <v>0</v>
      </c>
      <c r="BQ26" s="748">
        <f t="shared" si="49"/>
        <v>0</v>
      </c>
      <c r="BS26" s="748">
        <f t="shared" si="50"/>
        <v>0</v>
      </c>
      <c r="BT26" s="748">
        <f t="shared" si="51"/>
        <v>0</v>
      </c>
      <c r="BU26" s="748">
        <f t="shared" si="52"/>
        <v>0</v>
      </c>
      <c r="BV26" s="748">
        <f t="shared" si="53"/>
        <v>0</v>
      </c>
      <c r="BW26" s="748">
        <f t="shared" si="54"/>
        <v>0</v>
      </c>
      <c r="BY26" s="748">
        <f t="shared" si="55"/>
        <v>0</v>
      </c>
      <c r="BZ26" s="748">
        <f t="shared" si="56"/>
        <v>0</v>
      </c>
      <c r="CA26" s="748">
        <f t="shared" si="57"/>
        <v>0</v>
      </c>
      <c r="CB26" s="748">
        <f t="shared" si="58"/>
        <v>0</v>
      </c>
      <c r="CC26" s="748">
        <f t="shared" si="59"/>
        <v>0</v>
      </c>
      <c r="CE26" s="754">
        <f t="shared" si="60"/>
        <v>0</v>
      </c>
      <c r="CF26" s="754">
        <f t="shared" si="60"/>
        <v>0</v>
      </c>
      <c r="CG26" s="750"/>
      <c r="CH26" s="753"/>
      <c r="CI26" s="753"/>
      <c r="CJ26" s="753"/>
      <c r="CK26" s="753"/>
      <c r="CL26" s="748">
        <f t="shared" si="61"/>
        <v>0</v>
      </c>
      <c r="CM26" s="748">
        <f t="shared" si="62"/>
        <v>0</v>
      </c>
      <c r="CN26" s="748">
        <f t="shared" si="63"/>
        <v>0</v>
      </c>
      <c r="CO26" s="748">
        <f t="shared" si="64"/>
        <v>0</v>
      </c>
      <c r="CP26" s="748">
        <f t="shared" si="65"/>
        <v>0</v>
      </c>
      <c r="CQ26" s="728"/>
      <c r="CR26" s="748">
        <f t="shared" si="66"/>
        <v>0</v>
      </c>
      <c r="CS26" s="748">
        <f t="shared" si="67"/>
        <v>0</v>
      </c>
      <c r="CT26" s="748">
        <f t="shared" si="68"/>
        <v>0</v>
      </c>
      <c r="CU26" s="748">
        <f t="shared" si="69"/>
        <v>0</v>
      </c>
      <c r="CV26" s="748">
        <f t="shared" si="70"/>
        <v>0</v>
      </c>
      <c r="CW26" s="728"/>
      <c r="CX26" s="748">
        <f t="shared" si="71"/>
        <v>0</v>
      </c>
      <c r="CY26" s="748">
        <f t="shared" si="72"/>
        <v>0</v>
      </c>
      <c r="CZ26" s="748">
        <f t="shared" si="73"/>
        <v>0</v>
      </c>
      <c r="DA26" s="748">
        <f t="shared" si="74"/>
        <v>0</v>
      </c>
      <c r="DB26" s="748">
        <f t="shared" si="75"/>
        <v>0</v>
      </c>
      <c r="DD26" s="754">
        <f t="shared" si="76"/>
        <v>0</v>
      </c>
      <c r="DE26" s="753"/>
      <c r="DF26" s="753"/>
      <c r="DG26" s="753"/>
      <c r="DH26" s="753"/>
      <c r="DI26" s="816">
        <f t="shared" si="77"/>
        <v>0</v>
      </c>
      <c r="DJ26" s="748">
        <f t="shared" si="18"/>
        <v>0</v>
      </c>
      <c r="DK26" s="748">
        <f t="shared" si="78"/>
        <v>0</v>
      </c>
      <c r="DL26" s="748">
        <f t="shared" si="79"/>
        <v>0</v>
      </c>
      <c r="DM26" s="748">
        <f t="shared" si="80"/>
        <v>0</v>
      </c>
      <c r="DN26" s="748">
        <f t="shared" si="81"/>
        <v>0</v>
      </c>
      <c r="DQ26" s="753"/>
      <c r="DR26" s="753"/>
      <c r="DS26" s="753"/>
      <c r="DT26" s="753"/>
      <c r="DU26" s="753"/>
      <c r="DV26" s="753"/>
      <c r="DW26" s="748">
        <f t="shared" si="19"/>
        <v>0</v>
      </c>
      <c r="DX26" s="748">
        <f t="shared" si="20"/>
        <v>0</v>
      </c>
      <c r="DY26" s="748">
        <f t="shared" si="21"/>
        <v>0</v>
      </c>
      <c r="DZ26" s="748">
        <f t="shared" si="22"/>
        <v>0</v>
      </c>
      <c r="EA26" s="748">
        <f t="shared" si="23"/>
        <v>0</v>
      </c>
    </row>
    <row r="27" spans="2:131">
      <c r="B27" s="815"/>
      <c r="C27" s="752"/>
      <c r="D27" s="753"/>
      <c r="E27" s="753"/>
      <c r="F27" s="1610" t="str">
        <f t="shared" si="24"/>
        <v/>
      </c>
      <c r="G27" s="753"/>
      <c r="H27" s="753"/>
      <c r="I27" s="753"/>
      <c r="J27" s="753"/>
      <c r="K27" s="753"/>
      <c r="L27" s="746">
        <f t="shared" si="25"/>
        <v>0</v>
      </c>
      <c r="M27" s="746">
        <f t="shared" si="26"/>
        <v>0</v>
      </c>
      <c r="N27" s="746">
        <f t="shared" si="27"/>
        <v>0</v>
      </c>
      <c r="O27" s="746">
        <f t="shared" si="28"/>
        <v>0</v>
      </c>
      <c r="P27" s="747"/>
      <c r="Q27" s="747"/>
      <c r="R27" s="747"/>
      <c r="S27" s="747"/>
      <c r="T27" s="747"/>
      <c r="V27" s="748">
        <f t="shared" si="3"/>
        <v>0</v>
      </c>
      <c r="W27" s="748">
        <f t="shared" si="4"/>
        <v>0</v>
      </c>
      <c r="X27" s="748">
        <f t="shared" si="5"/>
        <v>0</v>
      </c>
      <c r="Y27" s="748">
        <f t="shared" si="6"/>
        <v>0</v>
      </c>
      <c r="Z27" s="748">
        <f t="shared" si="7"/>
        <v>0</v>
      </c>
      <c r="AA27" s="708">
        <f t="shared" si="29"/>
        <v>0</v>
      </c>
      <c r="AB27" s="748">
        <f t="shared" si="8"/>
        <v>0</v>
      </c>
      <c r="AC27" s="748">
        <f t="shared" si="9"/>
        <v>0</v>
      </c>
      <c r="AD27" s="748">
        <f t="shared" si="10"/>
        <v>0</v>
      </c>
      <c r="AE27" s="748">
        <f t="shared" si="11"/>
        <v>0</v>
      </c>
      <c r="AF27" s="748">
        <f t="shared" si="12"/>
        <v>0</v>
      </c>
      <c r="AH27" s="748">
        <f t="shared" si="30"/>
        <v>0</v>
      </c>
      <c r="AI27" s="748">
        <f t="shared" si="31"/>
        <v>0</v>
      </c>
      <c r="AJ27" s="748">
        <f t="shared" si="32"/>
        <v>0</v>
      </c>
      <c r="AK27" s="748">
        <f t="shared" si="33"/>
        <v>0</v>
      </c>
      <c r="AL27" s="748">
        <f t="shared" si="34"/>
        <v>0</v>
      </c>
      <c r="AN27" s="753"/>
      <c r="AO27" s="747"/>
      <c r="AP27" s="747"/>
      <c r="AQ27" s="747"/>
      <c r="AR27" s="747"/>
      <c r="AS27" s="747"/>
      <c r="AU27" s="748">
        <f t="shared" si="13"/>
        <v>0</v>
      </c>
      <c r="AV27" s="748">
        <f t="shared" si="14"/>
        <v>0</v>
      </c>
      <c r="AW27" s="748">
        <f t="shared" si="15"/>
        <v>0</v>
      </c>
      <c r="AX27" s="748">
        <f t="shared" si="16"/>
        <v>0</v>
      </c>
      <c r="AY27" s="748">
        <f t="shared" si="17"/>
        <v>0</v>
      </c>
      <c r="BA27" s="748">
        <f t="shared" si="35"/>
        <v>0</v>
      </c>
      <c r="BB27" s="748">
        <f t="shared" si="36"/>
        <v>0</v>
      </c>
      <c r="BC27" s="748">
        <f t="shared" si="37"/>
        <v>0</v>
      </c>
      <c r="BD27" s="748">
        <f t="shared" si="38"/>
        <v>0</v>
      </c>
      <c r="BE27" s="748">
        <f t="shared" si="39"/>
        <v>0</v>
      </c>
      <c r="BG27" s="748">
        <f t="shared" si="40"/>
        <v>0</v>
      </c>
      <c r="BH27" s="748">
        <f t="shared" si="41"/>
        <v>0</v>
      </c>
      <c r="BI27" s="748">
        <f t="shared" si="42"/>
        <v>0</v>
      </c>
      <c r="BJ27" s="748">
        <f t="shared" si="43"/>
        <v>0</v>
      </c>
      <c r="BK27" s="748">
        <f t="shared" si="44"/>
        <v>0</v>
      </c>
      <c r="BM27" s="748">
        <f t="shared" si="45"/>
        <v>0</v>
      </c>
      <c r="BN27" s="748">
        <f t="shared" si="46"/>
        <v>0</v>
      </c>
      <c r="BO27" s="748">
        <f t="shared" si="47"/>
        <v>0</v>
      </c>
      <c r="BP27" s="748">
        <f t="shared" si="48"/>
        <v>0</v>
      </c>
      <c r="BQ27" s="748">
        <f t="shared" si="49"/>
        <v>0</v>
      </c>
      <c r="BS27" s="748">
        <f t="shared" si="50"/>
        <v>0</v>
      </c>
      <c r="BT27" s="748">
        <f t="shared" si="51"/>
        <v>0</v>
      </c>
      <c r="BU27" s="748">
        <f t="shared" si="52"/>
        <v>0</v>
      </c>
      <c r="BV27" s="748">
        <f t="shared" si="53"/>
        <v>0</v>
      </c>
      <c r="BW27" s="748">
        <f t="shared" si="54"/>
        <v>0</v>
      </c>
      <c r="BY27" s="748">
        <f t="shared" si="55"/>
        <v>0</v>
      </c>
      <c r="BZ27" s="748">
        <f t="shared" si="56"/>
        <v>0</v>
      </c>
      <c r="CA27" s="748">
        <f t="shared" si="57"/>
        <v>0</v>
      </c>
      <c r="CB27" s="748">
        <f t="shared" si="58"/>
        <v>0</v>
      </c>
      <c r="CC27" s="748">
        <f t="shared" si="59"/>
        <v>0</v>
      </c>
      <c r="CE27" s="754">
        <f t="shared" si="60"/>
        <v>0</v>
      </c>
      <c r="CF27" s="754">
        <f t="shared" si="60"/>
        <v>0</v>
      </c>
      <c r="CG27" s="750"/>
      <c r="CH27" s="753"/>
      <c r="CI27" s="753"/>
      <c r="CJ27" s="753"/>
      <c r="CK27" s="753"/>
      <c r="CL27" s="748">
        <f t="shared" si="61"/>
        <v>0</v>
      </c>
      <c r="CM27" s="748">
        <f t="shared" si="62"/>
        <v>0</v>
      </c>
      <c r="CN27" s="748">
        <f t="shared" si="63"/>
        <v>0</v>
      </c>
      <c r="CO27" s="748">
        <f t="shared" si="64"/>
        <v>0</v>
      </c>
      <c r="CP27" s="748">
        <f t="shared" si="65"/>
        <v>0</v>
      </c>
      <c r="CQ27" s="728"/>
      <c r="CR27" s="748">
        <f t="shared" si="66"/>
        <v>0</v>
      </c>
      <c r="CS27" s="748">
        <f t="shared" si="67"/>
        <v>0</v>
      </c>
      <c r="CT27" s="748">
        <f t="shared" si="68"/>
        <v>0</v>
      </c>
      <c r="CU27" s="748">
        <f t="shared" si="69"/>
        <v>0</v>
      </c>
      <c r="CV27" s="748">
        <f t="shared" si="70"/>
        <v>0</v>
      </c>
      <c r="CW27" s="728"/>
      <c r="CX27" s="748">
        <f t="shared" si="71"/>
        <v>0</v>
      </c>
      <c r="CY27" s="748">
        <f t="shared" si="72"/>
        <v>0</v>
      </c>
      <c r="CZ27" s="748">
        <f t="shared" si="73"/>
        <v>0</v>
      </c>
      <c r="DA27" s="748">
        <f t="shared" si="74"/>
        <v>0</v>
      </c>
      <c r="DB27" s="748">
        <f t="shared" si="75"/>
        <v>0</v>
      </c>
      <c r="DD27" s="754">
        <f t="shared" si="76"/>
        <v>0</v>
      </c>
      <c r="DE27" s="753"/>
      <c r="DF27" s="753"/>
      <c r="DG27" s="753"/>
      <c r="DH27" s="753"/>
      <c r="DI27" s="816">
        <f t="shared" si="77"/>
        <v>0</v>
      </c>
      <c r="DJ27" s="748">
        <f t="shared" si="18"/>
        <v>0</v>
      </c>
      <c r="DK27" s="748">
        <f t="shared" si="78"/>
        <v>0</v>
      </c>
      <c r="DL27" s="748">
        <f t="shared" si="79"/>
        <v>0</v>
      </c>
      <c r="DM27" s="748">
        <f t="shared" si="80"/>
        <v>0</v>
      </c>
      <c r="DN27" s="748">
        <f t="shared" si="81"/>
        <v>0</v>
      </c>
      <c r="DQ27" s="753"/>
      <c r="DR27" s="753"/>
      <c r="DS27" s="753"/>
      <c r="DT27" s="753"/>
      <c r="DU27" s="753"/>
      <c r="DV27" s="753"/>
      <c r="DW27" s="748">
        <f t="shared" si="19"/>
        <v>0</v>
      </c>
      <c r="DX27" s="748">
        <f t="shared" si="20"/>
        <v>0</v>
      </c>
      <c r="DY27" s="748">
        <f t="shared" si="21"/>
        <v>0</v>
      </c>
      <c r="DZ27" s="748">
        <f t="shared" si="22"/>
        <v>0</v>
      </c>
      <c r="EA27" s="748">
        <f t="shared" si="23"/>
        <v>0</v>
      </c>
    </row>
    <row r="28" spans="2:131">
      <c r="B28" s="815"/>
      <c r="C28" s="752"/>
      <c r="D28" s="753"/>
      <c r="E28" s="753"/>
      <c r="F28" s="1610" t="str">
        <f t="shared" si="24"/>
        <v/>
      </c>
      <c r="G28" s="753"/>
      <c r="H28" s="753"/>
      <c r="I28" s="753"/>
      <c r="J28" s="753"/>
      <c r="K28" s="753"/>
      <c r="L28" s="746">
        <f t="shared" si="25"/>
        <v>0</v>
      </c>
      <c r="M28" s="746">
        <f t="shared" si="26"/>
        <v>0</v>
      </c>
      <c r="N28" s="746">
        <f t="shared" si="27"/>
        <v>0</v>
      </c>
      <c r="O28" s="746">
        <f t="shared" si="28"/>
        <v>0</v>
      </c>
      <c r="P28" s="747"/>
      <c r="Q28" s="747"/>
      <c r="R28" s="747"/>
      <c r="S28" s="747"/>
      <c r="T28" s="747"/>
      <c r="V28" s="748">
        <f t="shared" si="3"/>
        <v>0</v>
      </c>
      <c r="W28" s="748">
        <f t="shared" si="4"/>
        <v>0</v>
      </c>
      <c r="X28" s="748">
        <f t="shared" si="5"/>
        <v>0</v>
      </c>
      <c r="Y28" s="748">
        <f t="shared" si="6"/>
        <v>0</v>
      </c>
      <c r="Z28" s="748">
        <f t="shared" si="7"/>
        <v>0</v>
      </c>
      <c r="AA28" s="708">
        <f t="shared" si="29"/>
        <v>0</v>
      </c>
      <c r="AB28" s="748">
        <f t="shared" si="8"/>
        <v>0</v>
      </c>
      <c r="AC28" s="748">
        <f t="shared" si="9"/>
        <v>0</v>
      </c>
      <c r="AD28" s="748">
        <f t="shared" si="10"/>
        <v>0</v>
      </c>
      <c r="AE28" s="748">
        <f t="shared" si="11"/>
        <v>0</v>
      </c>
      <c r="AF28" s="748">
        <f t="shared" si="12"/>
        <v>0</v>
      </c>
      <c r="AH28" s="748">
        <f t="shared" si="30"/>
        <v>0</v>
      </c>
      <c r="AI28" s="748">
        <f t="shared" si="31"/>
        <v>0</v>
      </c>
      <c r="AJ28" s="748">
        <f t="shared" si="32"/>
        <v>0</v>
      </c>
      <c r="AK28" s="748">
        <f t="shared" si="33"/>
        <v>0</v>
      </c>
      <c r="AL28" s="748">
        <f t="shared" si="34"/>
        <v>0</v>
      </c>
      <c r="AN28" s="753"/>
      <c r="AO28" s="747"/>
      <c r="AP28" s="747"/>
      <c r="AQ28" s="747"/>
      <c r="AR28" s="747"/>
      <c r="AS28" s="747"/>
      <c r="AU28" s="748">
        <f t="shared" si="13"/>
        <v>0</v>
      </c>
      <c r="AV28" s="748">
        <f t="shared" si="14"/>
        <v>0</v>
      </c>
      <c r="AW28" s="748">
        <f t="shared" si="15"/>
        <v>0</v>
      </c>
      <c r="AX28" s="748">
        <f t="shared" si="16"/>
        <v>0</v>
      </c>
      <c r="AY28" s="748">
        <f t="shared" si="17"/>
        <v>0</v>
      </c>
      <c r="BA28" s="748">
        <f t="shared" si="35"/>
        <v>0</v>
      </c>
      <c r="BB28" s="748">
        <f t="shared" si="36"/>
        <v>0</v>
      </c>
      <c r="BC28" s="748">
        <f t="shared" si="37"/>
        <v>0</v>
      </c>
      <c r="BD28" s="748">
        <f t="shared" si="38"/>
        <v>0</v>
      </c>
      <c r="BE28" s="748">
        <f t="shared" si="39"/>
        <v>0</v>
      </c>
      <c r="BG28" s="748">
        <f t="shared" si="40"/>
        <v>0</v>
      </c>
      <c r="BH28" s="748">
        <f t="shared" si="41"/>
        <v>0</v>
      </c>
      <c r="BI28" s="748">
        <f t="shared" si="42"/>
        <v>0</v>
      </c>
      <c r="BJ28" s="748">
        <f t="shared" si="43"/>
        <v>0</v>
      </c>
      <c r="BK28" s="748">
        <f t="shared" si="44"/>
        <v>0</v>
      </c>
      <c r="BM28" s="748">
        <f t="shared" si="45"/>
        <v>0</v>
      </c>
      <c r="BN28" s="748">
        <f t="shared" si="46"/>
        <v>0</v>
      </c>
      <c r="BO28" s="748">
        <f t="shared" si="47"/>
        <v>0</v>
      </c>
      <c r="BP28" s="748">
        <f t="shared" si="48"/>
        <v>0</v>
      </c>
      <c r="BQ28" s="748">
        <f t="shared" si="49"/>
        <v>0</v>
      </c>
      <c r="BS28" s="748">
        <f t="shared" si="50"/>
        <v>0</v>
      </c>
      <c r="BT28" s="748">
        <f t="shared" si="51"/>
        <v>0</v>
      </c>
      <c r="BU28" s="748">
        <f t="shared" si="52"/>
        <v>0</v>
      </c>
      <c r="BV28" s="748">
        <f t="shared" si="53"/>
        <v>0</v>
      </c>
      <c r="BW28" s="748">
        <f t="shared" si="54"/>
        <v>0</v>
      </c>
      <c r="BY28" s="748">
        <f t="shared" si="55"/>
        <v>0</v>
      </c>
      <c r="BZ28" s="748">
        <f t="shared" si="56"/>
        <v>0</v>
      </c>
      <c r="CA28" s="748">
        <f t="shared" si="57"/>
        <v>0</v>
      </c>
      <c r="CB28" s="748">
        <f t="shared" si="58"/>
        <v>0</v>
      </c>
      <c r="CC28" s="748">
        <f t="shared" si="59"/>
        <v>0</v>
      </c>
      <c r="CE28" s="754">
        <f t="shared" si="60"/>
        <v>0</v>
      </c>
      <c r="CF28" s="754">
        <f t="shared" si="60"/>
        <v>0</v>
      </c>
      <c r="CG28" s="750"/>
      <c r="CH28" s="753"/>
      <c r="CI28" s="753"/>
      <c r="CJ28" s="753"/>
      <c r="CK28" s="753"/>
      <c r="CL28" s="748">
        <f t="shared" si="61"/>
        <v>0</v>
      </c>
      <c r="CM28" s="748">
        <f t="shared" si="62"/>
        <v>0</v>
      </c>
      <c r="CN28" s="748">
        <f t="shared" si="63"/>
        <v>0</v>
      </c>
      <c r="CO28" s="748">
        <f t="shared" si="64"/>
        <v>0</v>
      </c>
      <c r="CP28" s="748">
        <f t="shared" si="65"/>
        <v>0</v>
      </c>
      <c r="CQ28" s="728"/>
      <c r="CR28" s="748">
        <f t="shared" si="66"/>
        <v>0</v>
      </c>
      <c r="CS28" s="748">
        <f t="shared" si="67"/>
        <v>0</v>
      </c>
      <c r="CT28" s="748">
        <f t="shared" si="68"/>
        <v>0</v>
      </c>
      <c r="CU28" s="748">
        <f t="shared" si="69"/>
        <v>0</v>
      </c>
      <c r="CV28" s="748">
        <f t="shared" si="70"/>
        <v>0</v>
      </c>
      <c r="CW28" s="728"/>
      <c r="CX28" s="748">
        <f t="shared" si="71"/>
        <v>0</v>
      </c>
      <c r="CY28" s="748">
        <f t="shared" si="72"/>
        <v>0</v>
      </c>
      <c r="CZ28" s="748">
        <f t="shared" si="73"/>
        <v>0</v>
      </c>
      <c r="DA28" s="748">
        <f t="shared" si="74"/>
        <v>0</v>
      </c>
      <c r="DB28" s="748">
        <f t="shared" si="75"/>
        <v>0</v>
      </c>
      <c r="DD28" s="754">
        <f t="shared" si="76"/>
        <v>0</v>
      </c>
      <c r="DE28" s="753"/>
      <c r="DF28" s="753"/>
      <c r="DG28" s="753"/>
      <c r="DH28" s="753"/>
      <c r="DI28" s="816">
        <f t="shared" si="77"/>
        <v>0</v>
      </c>
      <c r="DJ28" s="748">
        <f t="shared" si="18"/>
        <v>0</v>
      </c>
      <c r="DK28" s="748">
        <f t="shared" si="78"/>
        <v>0</v>
      </c>
      <c r="DL28" s="748">
        <f t="shared" si="79"/>
        <v>0</v>
      </c>
      <c r="DM28" s="748">
        <f t="shared" si="80"/>
        <v>0</v>
      </c>
      <c r="DN28" s="748">
        <f t="shared" si="81"/>
        <v>0</v>
      </c>
      <c r="DQ28" s="753"/>
      <c r="DR28" s="753"/>
      <c r="DS28" s="753"/>
      <c r="DT28" s="753"/>
      <c r="DU28" s="753"/>
      <c r="DV28" s="753"/>
      <c r="DW28" s="748">
        <f t="shared" si="19"/>
        <v>0</v>
      </c>
      <c r="DX28" s="748">
        <f t="shared" si="20"/>
        <v>0</v>
      </c>
      <c r="DY28" s="748">
        <f t="shared" si="21"/>
        <v>0</v>
      </c>
      <c r="DZ28" s="748">
        <f t="shared" si="22"/>
        <v>0</v>
      </c>
      <c r="EA28" s="748">
        <f t="shared" si="23"/>
        <v>0</v>
      </c>
    </row>
    <row r="29" spans="2:131">
      <c r="B29" s="815"/>
      <c r="C29" s="752"/>
      <c r="D29" s="753"/>
      <c r="E29" s="753"/>
      <c r="F29" s="1610" t="str">
        <f t="shared" si="24"/>
        <v/>
      </c>
      <c r="G29" s="753"/>
      <c r="H29" s="753"/>
      <c r="I29" s="753"/>
      <c r="J29" s="753"/>
      <c r="K29" s="753"/>
      <c r="L29" s="746">
        <f t="shared" si="25"/>
        <v>0</v>
      </c>
      <c r="M29" s="746">
        <f t="shared" si="26"/>
        <v>0</v>
      </c>
      <c r="N29" s="746">
        <f t="shared" si="27"/>
        <v>0</v>
      </c>
      <c r="O29" s="746">
        <f t="shared" si="28"/>
        <v>0</v>
      </c>
      <c r="P29" s="747"/>
      <c r="Q29" s="747"/>
      <c r="R29" s="747"/>
      <c r="S29" s="747"/>
      <c r="T29" s="747"/>
      <c r="V29" s="748">
        <f t="shared" si="3"/>
        <v>0</v>
      </c>
      <c r="W29" s="748">
        <f t="shared" si="4"/>
        <v>0</v>
      </c>
      <c r="X29" s="748">
        <f t="shared" si="5"/>
        <v>0</v>
      </c>
      <c r="Y29" s="748">
        <f t="shared" si="6"/>
        <v>0</v>
      </c>
      <c r="Z29" s="748">
        <f t="shared" si="7"/>
        <v>0</v>
      </c>
      <c r="AA29" s="708">
        <f t="shared" si="29"/>
        <v>0</v>
      </c>
      <c r="AB29" s="748">
        <f t="shared" si="8"/>
        <v>0</v>
      </c>
      <c r="AC29" s="748">
        <f t="shared" si="9"/>
        <v>0</v>
      </c>
      <c r="AD29" s="748">
        <f t="shared" si="10"/>
        <v>0</v>
      </c>
      <c r="AE29" s="748">
        <f t="shared" si="11"/>
        <v>0</v>
      </c>
      <c r="AF29" s="748">
        <f t="shared" si="12"/>
        <v>0</v>
      </c>
      <c r="AH29" s="748">
        <f t="shared" si="30"/>
        <v>0</v>
      </c>
      <c r="AI29" s="748">
        <f t="shared" si="31"/>
        <v>0</v>
      </c>
      <c r="AJ29" s="748">
        <f t="shared" si="32"/>
        <v>0</v>
      </c>
      <c r="AK29" s="748">
        <f t="shared" si="33"/>
        <v>0</v>
      </c>
      <c r="AL29" s="748">
        <f t="shared" si="34"/>
        <v>0</v>
      </c>
      <c r="AN29" s="753"/>
      <c r="AO29" s="747"/>
      <c r="AP29" s="747"/>
      <c r="AQ29" s="747"/>
      <c r="AR29" s="747"/>
      <c r="AS29" s="747"/>
      <c r="AU29" s="748">
        <f t="shared" si="13"/>
        <v>0</v>
      </c>
      <c r="AV29" s="748">
        <f t="shared" si="14"/>
        <v>0</v>
      </c>
      <c r="AW29" s="748">
        <f t="shared" si="15"/>
        <v>0</v>
      </c>
      <c r="AX29" s="748">
        <f t="shared" si="16"/>
        <v>0</v>
      </c>
      <c r="AY29" s="748">
        <f t="shared" si="17"/>
        <v>0</v>
      </c>
      <c r="BA29" s="748">
        <f t="shared" si="35"/>
        <v>0</v>
      </c>
      <c r="BB29" s="748">
        <f t="shared" si="36"/>
        <v>0</v>
      </c>
      <c r="BC29" s="748">
        <f t="shared" si="37"/>
        <v>0</v>
      </c>
      <c r="BD29" s="748">
        <f t="shared" si="38"/>
        <v>0</v>
      </c>
      <c r="BE29" s="748">
        <f t="shared" si="39"/>
        <v>0</v>
      </c>
      <c r="BG29" s="748">
        <f t="shared" si="40"/>
        <v>0</v>
      </c>
      <c r="BH29" s="748">
        <f t="shared" si="41"/>
        <v>0</v>
      </c>
      <c r="BI29" s="748">
        <f t="shared" si="42"/>
        <v>0</v>
      </c>
      <c r="BJ29" s="748">
        <f t="shared" si="43"/>
        <v>0</v>
      </c>
      <c r="BK29" s="748">
        <f t="shared" si="44"/>
        <v>0</v>
      </c>
      <c r="BM29" s="748">
        <f t="shared" si="45"/>
        <v>0</v>
      </c>
      <c r="BN29" s="748">
        <f t="shared" si="46"/>
        <v>0</v>
      </c>
      <c r="BO29" s="748">
        <f t="shared" si="47"/>
        <v>0</v>
      </c>
      <c r="BP29" s="748">
        <f t="shared" si="48"/>
        <v>0</v>
      </c>
      <c r="BQ29" s="748">
        <f t="shared" si="49"/>
        <v>0</v>
      </c>
      <c r="BS29" s="748">
        <f t="shared" si="50"/>
        <v>0</v>
      </c>
      <c r="BT29" s="748">
        <f t="shared" si="51"/>
        <v>0</v>
      </c>
      <c r="BU29" s="748">
        <f t="shared" si="52"/>
        <v>0</v>
      </c>
      <c r="BV29" s="748">
        <f t="shared" si="53"/>
        <v>0</v>
      </c>
      <c r="BW29" s="748">
        <f t="shared" si="54"/>
        <v>0</v>
      </c>
      <c r="BY29" s="748">
        <f t="shared" si="55"/>
        <v>0</v>
      </c>
      <c r="BZ29" s="748">
        <f t="shared" si="56"/>
        <v>0</v>
      </c>
      <c r="CA29" s="748">
        <f t="shared" si="57"/>
        <v>0</v>
      </c>
      <c r="CB29" s="748">
        <f t="shared" si="58"/>
        <v>0</v>
      </c>
      <c r="CC29" s="748">
        <f t="shared" si="59"/>
        <v>0</v>
      </c>
      <c r="CE29" s="754">
        <f t="shared" si="60"/>
        <v>0</v>
      </c>
      <c r="CF29" s="754">
        <f t="shared" si="60"/>
        <v>0</v>
      </c>
      <c r="CG29" s="750"/>
      <c r="CH29" s="753"/>
      <c r="CI29" s="753"/>
      <c r="CJ29" s="753"/>
      <c r="CK29" s="753"/>
      <c r="CL29" s="748">
        <f t="shared" si="61"/>
        <v>0</v>
      </c>
      <c r="CM29" s="748">
        <f t="shared" si="62"/>
        <v>0</v>
      </c>
      <c r="CN29" s="748">
        <f t="shared" si="63"/>
        <v>0</v>
      </c>
      <c r="CO29" s="748">
        <f t="shared" si="64"/>
        <v>0</v>
      </c>
      <c r="CP29" s="748">
        <f t="shared" si="65"/>
        <v>0</v>
      </c>
      <c r="CQ29" s="728"/>
      <c r="CR29" s="748">
        <f t="shared" si="66"/>
        <v>0</v>
      </c>
      <c r="CS29" s="748">
        <f t="shared" si="67"/>
        <v>0</v>
      </c>
      <c r="CT29" s="748">
        <f t="shared" si="68"/>
        <v>0</v>
      </c>
      <c r="CU29" s="748">
        <f t="shared" si="69"/>
        <v>0</v>
      </c>
      <c r="CV29" s="748">
        <f t="shared" si="70"/>
        <v>0</v>
      </c>
      <c r="CW29" s="728"/>
      <c r="CX29" s="748">
        <f t="shared" si="71"/>
        <v>0</v>
      </c>
      <c r="CY29" s="748">
        <f t="shared" si="72"/>
        <v>0</v>
      </c>
      <c r="CZ29" s="748">
        <f t="shared" si="73"/>
        <v>0</v>
      </c>
      <c r="DA29" s="748">
        <f t="shared" si="74"/>
        <v>0</v>
      </c>
      <c r="DB29" s="748">
        <f t="shared" si="75"/>
        <v>0</v>
      </c>
      <c r="DD29" s="754">
        <f t="shared" si="76"/>
        <v>0</v>
      </c>
      <c r="DE29" s="753"/>
      <c r="DF29" s="753"/>
      <c r="DG29" s="753"/>
      <c r="DH29" s="753"/>
      <c r="DI29" s="816">
        <f t="shared" si="77"/>
        <v>0</v>
      </c>
      <c r="DJ29" s="748">
        <f t="shared" si="18"/>
        <v>0</v>
      </c>
      <c r="DK29" s="748">
        <f t="shared" si="78"/>
        <v>0</v>
      </c>
      <c r="DL29" s="748">
        <f t="shared" si="79"/>
        <v>0</v>
      </c>
      <c r="DM29" s="748">
        <f t="shared" si="80"/>
        <v>0</v>
      </c>
      <c r="DN29" s="748">
        <f t="shared" si="81"/>
        <v>0</v>
      </c>
      <c r="DQ29" s="753"/>
      <c r="DR29" s="753"/>
      <c r="DS29" s="753"/>
      <c r="DT29" s="753"/>
      <c r="DU29" s="753"/>
      <c r="DV29" s="753"/>
      <c r="DW29" s="748">
        <f t="shared" si="19"/>
        <v>0</v>
      </c>
      <c r="DX29" s="748">
        <f t="shared" si="20"/>
        <v>0</v>
      </c>
      <c r="DY29" s="748">
        <f t="shared" si="21"/>
        <v>0</v>
      </c>
      <c r="DZ29" s="748">
        <f t="shared" si="22"/>
        <v>0</v>
      </c>
      <c r="EA29" s="748">
        <f t="shared" si="23"/>
        <v>0</v>
      </c>
    </row>
    <row r="30" spans="2:131">
      <c r="B30" s="815"/>
      <c r="C30" s="752" t="s">
        <v>403</v>
      </c>
      <c r="D30" s="753" t="s">
        <v>390</v>
      </c>
      <c r="E30" s="753" t="s">
        <v>142</v>
      </c>
      <c r="F30" s="1610" t="str">
        <f t="shared" si="24"/>
        <v>ILIInscrits</v>
      </c>
      <c r="G30" s="753" t="s">
        <v>472</v>
      </c>
      <c r="H30" s="753" t="s">
        <v>472</v>
      </c>
      <c r="I30" s="753" t="s">
        <v>472</v>
      </c>
      <c r="J30" s="753" t="s">
        <v>0</v>
      </c>
      <c r="K30" s="753"/>
      <c r="L30" s="746">
        <f t="shared" si="25"/>
        <v>0</v>
      </c>
      <c r="M30" s="746">
        <f t="shared" si="26"/>
        <v>0</v>
      </c>
      <c r="N30" s="746">
        <f t="shared" si="27"/>
        <v>0</v>
      </c>
      <c r="O30" s="746">
        <f t="shared" si="28"/>
        <v>0</v>
      </c>
      <c r="P30" s="747"/>
      <c r="Q30" s="747"/>
      <c r="R30" s="747"/>
      <c r="S30" s="747"/>
      <c r="T30" s="747"/>
      <c r="V30" s="748">
        <f t="shared" si="3"/>
        <v>0</v>
      </c>
      <c r="W30" s="748">
        <f t="shared" si="4"/>
        <v>0</v>
      </c>
      <c r="X30" s="748">
        <f t="shared" si="5"/>
        <v>0</v>
      </c>
      <c r="Y30" s="748">
        <f t="shared" si="6"/>
        <v>0</v>
      </c>
      <c r="Z30" s="748">
        <f t="shared" si="7"/>
        <v>0</v>
      </c>
      <c r="AA30" s="708">
        <f t="shared" si="29"/>
        <v>0</v>
      </c>
      <c r="AB30" s="748">
        <f t="shared" si="8"/>
        <v>0</v>
      </c>
      <c r="AC30" s="748">
        <f t="shared" si="9"/>
        <v>0</v>
      </c>
      <c r="AD30" s="748">
        <f t="shared" si="10"/>
        <v>0</v>
      </c>
      <c r="AE30" s="748">
        <f t="shared" si="11"/>
        <v>0</v>
      </c>
      <c r="AF30" s="748">
        <f t="shared" si="12"/>
        <v>0</v>
      </c>
      <c r="AH30" s="748">
        <f t="shared" si="30"/>
        <v>0</v>
      </c>
      <c r="AI30" s="748">
        <f t="shared" si="31"/>
        <v>0</v>
      </c>
      <c r="AJ30" s="748">
        <f t="shared" si="32"/>
        <v>0</v>
      </c>
      <c r="AK30" s="748">
        <f t="shared" si="33"/>
        <v>0</v>
      </c>
      <c r="AL30" s="748">
        <f t="shared" si="34"/>
        <v>0</v>
      </c>
      <c r="AN30" s="753"/>
      <c r="AO30" s="747"/>
      <c r="AP30" s="747"/>
      <c r="AQ30" s="747"/>
      <c r="AR30" s="747"/>
      <c r="AS30" s="747"/>
      <c r="AU30" s="748">
        <f t="shared" si="13"/>
        <v>0</v>
      </c>
      <c r="AV30" s="748">
        <f t="shared" si="14"/>
        <v>0</v>
      </c>
      <c r="AW30" s="748">
        <f t="shared" si="15"/>
        <v>0</v>
      </c>
      <c r="AX30" s="748">
        <f t="shared" si="16"/>
        <v>0</v>
      </c>
      <c r="AY30" s="748">
        <f t="shared" si="17"/>
        <v>0</v>
      </c>
      <c r="BA30" s="748">
        <f t="shared" si="35"/>
        <v>0</v>
      </c>
      <c r="BB30" s="748">
        <f t="shared" si="36"/>
        <v>0</v>
      </c>
      <c r="BC30" s="748">
        <f t="shared" si="37"/>
        <v>0</v>
      </c>
      <c r="BD30" s="748">
        <f t="shared" si="38"/>
        <v>0</v>
      </c>
      <c r="BE30" s="748">
        <f t="shared" si="39"/>
        <v>0</v>
      </c>
      <c r="BG30" s="748">
        <f t="shared" si="40"/>
        <v>0</v>
      </c>
      <c r="BH30" s="748">
        <f t="shared" si="41"/>
        <v>0</v>
      </c>
      <c r="BI30" s="748">
        <f t="shared" si="42"/>
        <v>0</v>
      </c>
      <c r="BJ30" s="748">
        <f t="shared" si="43"/>
        <v>0</v>
      </c>
      <c r="BK30" s="748">
        <f t="shared" si="44"/>
        <v>0</v>
      </c>
      <c r="BM30" s="748">
        <f t="shared" si="45"/>
        <v>0</v>
      </c>
      <c r="BN30" s="748">
        <f t="shared" si="46"/>
        <v>0</v>
      </c>
      <c r="BO30" s="748">
        <f t="shared" si="47"/>
        <v>0</v>
      </c>
      <c r="BP30" s="748">
        <f t="shared" si="48"/>
        <v>0</v>
      </c>
      <c r="BQ30" s="748">
        <f t="shared" si="49"/>
        <v>0</v>
      </c>
      <c r="BS30" s="748">
        <f t="shared" si="50"/>
        <v>0</v>
      </c>
      <c r="BT30" s="748">
        <f t="shared" si="51"/>
        <v>0</v>
      </c>
      <c r="BU30" s="748">
        <f t="shared" si="52"/>
        <v>0</v>
      </c>
      <c r="BV30" s="748">
        <f t="shared" si="53"/>
        <v>0</v>
      </c>
      <c r="BW30" s="748">
        <f t="shared" si="54"/>
        <v>0</v>
      </c>
      <c r="BY30" s="748">
        <f t="shared" si="55"/>
        <v>0</v>
      </c>
      <c r="BZ30" s="748">
        <f t="shared" si="56"/>
        <v>0</v>
      </c>
      <c r="CA30" s="748">
        <f t="shared" si="57"/>
        <v>0</v>
      </c>
      <c r="CB30" s="748">
        <f t="shared" si="58"/>
        <v>0</v>
      </c>
      <c r="CC30" s="748">
        <f t="shared" si="59"/>
        <v>0</v>
      </c>
      <c r="CE30" s="754" t="str">
        <f t="shared" si="60"/>
        <v>No</v>
      </c>
      <c r="CF30" s="754" t="str">
        <f t="shared" si="60"/>
        <v>No</v>
      </c>
      <c r="CG30" s="750" t="s">
        <v>370</v>
      </c>
      <c r="CH30" s="753"/>
      <c r="CI30" s="753"/>
      <c r="CJ30" s="753"/>
      <c r="CK30" s="753"/>
      <c r="CL30" s="748">
        <f t="shared" si="61"/>
        <v>0</v>
      </c>
      <c r="CM30" s="748">
        <f t="shared" si="62"/>
        <v>0</v>
      </c>
      <c r="CN30" s="748">
        <f t="shared" si="63"/>
        <v>0</v>
      </c>
      <c r="CO30" s="748">
        <f t="shared" si="64"/>
        <v>0</v>
      </c>
      <c r="CP30" s="748">
        <f t="shared" si="65"/>
        <v>0</v>
      </c>
      <c r="CQ30" s="728"/>
      <c r="CR30" s="748">
        <f t="shared" si="66"/>
        <v>0</v>
      </c>
      <c r="CS30" s="748">
        <f t="shared" si="67"/>
        <v>0</v>
      </c>
      <c r="CT30" s="748">
        <f t="shared" si="68"/>
        <v>0</v>
      </c>
      <c r="CU30" s="748">
        <f t="shared" si="69"/>
        <v>0</v>
      </c>
      <c r="CV30" s="748">
        <f t="shared" si="70"/>
        <v>0</v>
      </c>
      <c r="CW30" s="728"/>
      <c r="CX30" s="748">
        <f t="shared" si="71"/>
        <v>0</v>
      </c>
      <c r="CY30" s="748">
        <f t="shared" si="72"/>
        <v>0</v>
      </c>
      <c r="CZ30" s="748">
        <f t="shared" si="73"/>
        <v>0</v>
      </c>
      <c r="DA30" s="748">
        <f t="shared" si="74"/>
        <v>0</v>
      </c>
      <c r="DB30" s="748">
        <f t="shared" si="75"/>
        <v>0</v>
      </c>
      <c r="DD30" s="754" t="str">
        <f t="shared" si="76"/>
        <v>No</v>
      </c>
      <c r="DE30" s="753"/>
      <c r="DF30" s="753"/>
      <c r="DG30" s="753"/>
      <c r="DH30" s="753"/>
      <c r="DI30" s="816">
        <f t="shared" si="77"/>
        <v>0</v>
      </c>
      <c r="DJ30" s="748">
        <f t="shared" si="18"/>
        <v>0</v>
      </c>
      <c r="DK30" s="748">
        <f t="shared" si="78"/>
        <v>0</v>
      </c>
      <c r="DL30" s="748">
        <f t="shared" si="79"/>
        <v>0</v>
      </c>
      <c r="DM30" s="748">
        <f t="shared" si="80"/>
        <v>0</v>
      </c>
      <c r="DN30" s="748">
        <f t="shared" si="81"/>
        <v>0</v>
      </c>
      <c r="DQ30" s="753"/>
      <c r="DR30" s="753"/>
      <c r="DS30" s="753"/>
      <c r="DT30" s="753"/>
      <c r="DU30" s="753"/>
      <c r="DV30" s="753"/>
      <c r="DW30" s="748">
        <f t="shared" si="19"/>
        <v>0</v>
      </c>
      <c r="DX30" s="748">
        <f t="shared" si="20"/>
        <v>0</v>
      </c>
      <c r="DY30" s="748">
        <f t="shared" si="21"/>
        <v>0</v>
      </c>
      <c r="DZ30" s="748">
        <f t="shared" si="22"/>
        <v>0</v>
      </c>
      <c r="EA30" s="748">
        <f t="shared" si="23"/>
        <v>0</v>
      </c>
    </row>
    <row r="31" spans="2:131">
      <c r="B31" s="815"/>
      <c r="C31" s="752"/>
      <c r="D31" s="753"/>
      <c r="E31" s="753"/>
      <c r="F31" s="1610" t="str">
        <f t="shared" si="24"/>
        <v/>
      </c>
      <c r="G31" s="753"/>
      <c r="H31" s="753"/>
      <c r="I31" s="753"/>
      <c r="J31" s="753"/>
      <c r="K31" s="753"/>
      <c r="L31" s="746">
        <f t="shared" si="25"/>
        <v>0</v>
      </c>
      <c r="M31" s="746">
        <f t="shared" si="26"/>
        <v>0</v>
      </c>
      <c r="N31" s="746">
        <f t="shared" si="27"/>
        <v>0</v>
      </c>
      <c r="O31" s="746">
        <f t="shared" si="28"/>
        <v>0</v>
      </c>
      <c r="P31" s="747"/>
      <c r="Q31" s="747"/>
      <c r="R31" s="747"/>
      <c r="S31" s="747"/>
      <c r="T31" s="747"/>
      <c r="V31" s="748">
        <f t="shared" si="3"/>
        <v>0</v>
      </c>
      <c r="W31" s="748">
        <f t="shared" si="4"/>
        <v>0</v>
      </c>
      <c r="X31" s="748">
        <f t="shared" si="5"/>
        <v>0</v>
      </c>
      <c r="Y31" s="748">
        <f t="shared" si="6"/>
        <v>0</v>
      </c>
      <c r="Z31" s="748">
        <f t="shared" si="7"/>
        <v>0</v>
      </c>
      <c r="AA31" s="708">
        <f t="shared" si="29"/>
        <v>0</v>
      </c>
      <c r="AB31" s="748">
        <f t="shared" si="8"/>
        <v>0</v>
      </c>
      <c r="AC31" s="748">
        <f t="shared" si="9"/>
        <v>0</v>
      </c>
      <c r="AD31" s="748">
        <f t="shared" si="10"/>
        <v>0</v>
      </c>
      <c r="AE31" s="748">
        <f t="shared" si="11"/>
        <v>0</v>
      </c>
      <c r="AF31" s="748">
        <f t="shared" si="12"/>
        <v>0</v>
      </c>
      <c r="AH31" s="748">
        <f t="shared" si="30"/>
        <v>0</v>
      </c>
      <c r="AI31" s="748">
        <f t="shared" si="31"/>
        <v>0</v>
      </c>
      <c r="AJ31" s="748">
        <f t="shared" si="32"/>
        <v>0</v>
      </c>
      <c r="AK31" s="748">
        <f t="shared" si="33"/>
        <v>0</v>
      </c>
      <c r="AL31" s="748">
        <f t="shared" si="34"/>
        <v>0</v>
      </c>
      <c r="AN31" s="753"/>
      <c r="AO31" s="747"/>
      <c r="AP31" s="747"/>
      <c r="AQ31" s="747"/>
      <c r="AR31" s="747"/>
      <c r="AS31" s="747"/>
      <c r="AU31" s="748">
        <f t="shared" si="13"/>
        <v>0</v>
      </c>
      <c r="AV31" s="748">
        <f t="shared" si="14"/>
        <v>0</v>
      </c>
      <c r="AW31" s="748">
        <f t="shared" si="15"/>
        <v>0</v>
      </c>
      <c r="AX31" s="748">
        <f t="shared" si="16"/>
        <v>0</v>
      </c>
      <c r="AY31" s="748">
        <f t="shared" si="17"/>
        <v>0</v>
      </c>
      <c r="BA31" s="748">
        <f t="shared" si="35"/>
        <v>0</v>
      </c>
      <c r="BB31" s="748">
        <f t="shared" si="36"/>
        <v>0</v>
      </c>
      <c r="BC31" s="748">
        <f t="shared" si="37"/>
        <v>0</v>
      </c>
      <c r="BD31" s="748">
        <f t="shared" si="38"/>
        <v>0</v>
      </c>
      <c r="BE31" s="748">
        <f t="shared" si="39"/>
        <v>0</v>
      </c>
      <c r="BG31" s="748">
        <f t="shared" si="40"/>
        <v>0</v>
      </c>
      <c r="BH31" s="748">
        <f t="shared" si="41"/>
        <v>0</v>
      </c>
      <c r="BI31" s="748">
        <f t="shared" si="42"/>
        <v>0</v>
      </c>
      <c r="BJ31" s="748">
        <f t="shared" si="43"/>
        <v>0</v>
      </c>
      <c r="BK31" s="748">
        <f t="shared" si="44"/>
        <v>0</v>
      </c>
      <c r="BM31" s="748">
        <f t="shared" si="45"/>
        <v>0</v>
      </c>
      <c r="BN31" s="748">
        <f t="shared" si="46"/>
        <v>0</v>
      </c>
      <c r="BO31" s="748">
        <f t="shared" si="47"/>
        <v>0</v>
      </c>
      <c r="BP31" s="748">
        <f t="shared" si="48"/>
        <v>0</v>
      </c>
      <c r="BQ31" s="748">
        <f t="shared" si="49"/>
        <v>0</v>
      </c>
      <c r="BS31" s="748">
        <f t="shared" si="50"/>
        <v>0</v>
      </c>
      <c r="BT31" s="748">
        <f t="shared" si="51"/>
        <v>0</v>
      </c>
      <c r="BU31" s="748">
        <f t="shared" si="52"/>
        <v>0</v>
      </c>
      <c r="BV31" s="748">
        <f t="shared" si="53"/>
        <v>0</v>
      </c>
      <c r="BW31" s="748">
        <f t="shared" si="54"/>
        <v>0</v>
      </c>
      <c r="BY31" s="748">
        <f t="shared" si="55"/>
        <v>0</v>
      </c>
      <c r="BZ31" s="748">
        <f t="shared" si="56"/>
        <v>0</v>
      </c>
      <c r="CA31" s="748">
        <f t="shared" si="57"/>
        <v>0</v>
      </c>
      <c r="CB31" s="748">
        <f t="shared" si="58"/>
        <v>0</v>
      </c>
      <c r="CC31" s="748">
        <f t="shared" si="59"/>
        <v>0</v>
      </c>
      <c r="CE31" s="754">
        <f t="shared" si="60"/>
        <v>0</v>
      </c>
      <c r="CF31" s="754">
        <f t="shared" si="60"/>
        <v>0</v>
      </c>
      <c r="CG31" s="750"/>
      <c r="CH31" s="753"/>
      <c r="CI31" s="753"/>
      <c r="CJ31" s="753"/>
      <c r="CK31" s="753"/>
      <c r="CL31" s="748">
        <f t="shared" si="61"/>
        <v>0</v>
      </c>
      <c r="CM31" s="748">
        <f t="shared" si="62"/>
        <v>0</v>
      </c>
      <c r="CN31" s="748">
        <f t="shared" si="63"/>
        <v>0</v>
      </c>
      <c r="CO31" s="748">
        <f t="shared" si="64"/>
        <v>0</v>
      </c>
      <c r="CP31" s="748">
        <f t="shared" si="65"/>
        <v>0</v>
      </c>
      <c r="CQ31" s="728"/>
      <c r="CR31" s="748">
        <f t="shared" si="66"/>
        <v>0</v>
      </c>
      <c r="CS31" s="748">
        <f t="shared" si="67"/>
        <v>0</v>
      </c>
      <c r="CT31" s="748">
        <f t="shared" si="68"/>
        <v>0</v>
      </c>
      <c r="CU31" s="748">
        <f t="shared" si="69"/>
        <v>0</v>
      </c>
      <c r="CV31" s="748">
        <f t="shared" si="70"/>
        <v>0</v>
      </c>
      <c r="CW31" s="728"/>
      <c r="CX31" s="748">
        <f t="shared" si="71"/>
        <v>0</v>
      </c>
      <c r="CY31" s="748">
        <f t="shared" si="72"/>
        <v>0</v>
      </c>
      <c r="CZ31" s="748">
        <f t="shared" si="73"/>
        <v>0</v>
      </c>
      <c r="DA31" s="748">
        <f t="shared" si="74"/>
        <v>0</v>
      </c>
      <c r="DB31" s="748">
        <f t="shared" si="75"/>
        <v>0</v>
      </c>
      <c r="DD31" s="754">
        <f t="shared" si="76"/>
        <v>0</v>
      </c>
      <c r="DE31" s="753"/>
      <c r="DF31" s="753"/>
      <c r="DG31" s="753"/>
      <c r="DH31" s="753"/>
      <c r="DI31" s="816">
        <f t="shared" si="77"/>
        <v>0</v>
      </c>
      <c r="DJ31" s="748">
        <f t="shared" si="18"/>
        <v>0</v>
      </c>
      <c r="DK31" s="748">
        <f t="shared" si="78"/>
        <v>0</v>
      </c>
      <c r="DL31" s="748">
        <f t="shared" si="79"/>
        <v>0</v>
      </c>
      <c r="DM31" s="748">
        <f t="shared" si="80"/>
        <v>0</v>
      </c>
      <c r="DN31" s="748">
        <f t="shared" si="81"/>
        <v>0</v>
      </c>
      <c r="DQ31" s="753"/>
      <c r="DR31" s="753"/>
      <c r="DS31" s="753"/>
      <c r="DT31" s="753"/>
      <c r="DU31" s="753"/>
      <c r="DV31" s="753"/>
      <c r="DW31" s="748">
        <f t="shared" si="19"/>
        <v>0</v>
      </c>
      <c r="DX31" s="748">
        <f t="shared" si="20"/>
        <v>0</v>
      </c>
      <c r="DY31" s="748">
        <f t="shared" si="21"/>
        <v>0</v>
      </c>
      <c r="DZ31" s="748">
        <f t="shared" si="22"/>
        <v>0</v>
      </c>
      <c r="EA31" s="748">
        <f t="shared" si="23"/>
        <v>0</v>
      </c>
    </row>
    <row r="32" spans="2:131">
      <c r="B32" s="815"/>
      <c r="C32" s="752"/>
      <c r="D32" s="753"/>
      <c r="E32" s="753"/>
      <c r="F32" s="1610" t="str">
        <f t="shared" si="24"/>
        <v/>
      </c>
      <c r="G32" s="753"/>
      <c r="H32" s="753"/>
      <c r="I32" s="753"/>
      <c r="J32" s="753"/>
      <c r="K32" s="753"/>
      <c r="L32" s="746">
        <f t="shared" si="25"/>
        <v>0</v>
      </c>
      <c r="M32" s="746">
        <f t="shared" si="26"/>
        <v>0</v>
      </c>
      <c r="N32" s="746">
        <f t="shared" si="27"/>
        <v>0</v>
      </c>
      <c r="O32" s="746">
        <f t="shared" si="28"/>
        <v>0</v>
      </c>
      <c r="P32" s="747"/>
      <c r="Q32" s="747"/>
      <c r="R32" s="747"/>
      <c r="S32" s="747"/>
      <c r="T32" s="747"/>
      <c r="V32" s="748">
        <f t="shared" si="3"/>
        <v>0</v>
      </c>
      <c r="W32" s="748">
        <f t="shared" si="4"/>
        <v>0</v>
      </c>
      <c r="X32" s="748">
        <f t="shared" si="5"/>
        <v>0</v>
      </c>
      <c r="Y32" s="748">
        <f t="shared" si="6"/>
        <v>0</v>
      </c>
      <c r="Z32" s="748">
        <f t="shared" si="7"/>
        <v>0</v>
      </c>
      <c r="AA32" s="708">
        <f t="shared" si="29"/>
        <v>0</v>
      </c>
      <c r="AB32" s="748">
        <f t="shared" si="8"/>
        <v>0</v>
      </c>
      <c r="AC32" s="748">
        <f t="shared" si="9"/>
        <v>0</v>
      </c>
      <c r="AD32" s="748">
        <f t="shared" si="10"/>
        <v>0</v>
      </c>
      <c r="AE32" s="748">
        <f t="shared" si="11"/>
        <v>0</v>
      </c>
      <c r="AF32" s="748">
        <f t="shared" si="12"/>
        <v>0</v>
      </c>
      <c r="AH32" s="748">
        <f t="shared" si="30"/>
        <v>0</v>
      </c>
      <c r="AI32" s="748">
        <f t="shared" si="31"/>
        <v>0</v>
      </c>
      <c r="AJ32" s="748">
        <f t="shared" si="32"/>
        <v>0</v>
      </c>
      <c r="AK32" s="748">
        <f t="shared" si="33"/>
        <v>0</v>
      </c>
      <c r="AL32" s="748">
        <f t="shared" si="34"/>
        <v>0</v>
      </c>
      <c r="AN32" s="753"/>
      <c r="AO32" s="747"/>
      <c r="AP32" s="747"/>
      <c r="AQ32" s="747"/>
      <c r="AR32" s="747"/>
      <c r="AS32" s="747"/>
      <c r="AU32" s="748">
        <f t="shared" si="13"/>
        <v>0</v>
      </c>
      <c r="AV32" s="748">
        <f t="shared" si="14"/>
        <v>0</v>
      </c>
      <c r="AW32" s="748">
        <f t="shared" si="15"/>
        <v>0</v>
      </c>
      <c r="AX32" s="748">
        <f t="shared" si="16"/>
        <v>0</v>
      </c>
      <c r="AY32" s="748">
        <f t="shared" si="17"/>
        <v>0</v>
      </c>
      <c r="BA32" s="748">
        <f t="shared" si="35"/>
        <v>0</v>
      </c>
      <c r="BB32" s="748">
        <f t="shared" si="36"/>
        <v>0</v>
      </c>
      <c r="BC32" s="748">
        <f t="shared" si="37"/>
        <v>0</v>
      </c>
      <c r="BD32" s="748">
        <f t="shared" si="38"/>
        <v>0</v>
      </c>
      <c r="BE32" s="748">
        <f t="shared" si="39"/>
        <v>0</v>
      </c>
      <c r="BG32" s="748">
        <f t="shared" si="40"/>
        <v>0</v>
      </c>
      <c r="BH32" s="748">
        <f t="shared" si="41"/>
        <v>0</v>
      </c>
      <c r="BI32" s="748">
        <f t="shared" si="42"/>
        <v>0</v>
      </c>
      <c r="BJ32" s="748">
        <f t="shared" si="43"/>
        <v>0</v>
      </c>
      <c r="BK32" s="748">
        <f t="shared" si="44"/>
        <v>0</v>
      </c>
      <c r="BM32" s="748">
        <f t="shared" si="45"/>
        <v>0</v>
      </c>
      <c r="BN32" s="748">
        <f t="shared" si="46"/>
        <v>0</v>
      </c>
      <c r="BO32" s="748">
        <f t="shared" si="47"/>
        <v>0</v>
      </c>
      <c r="BP32" s="748">
        <f t="shared" si="48"/>
        <v>0</v>
      </c>
      <c r="BQ32" s="748">
        <f t="shared" si="49"/>
        <v>0</v>
      </c>
      <c r="BS32" s="748">
        <f t="shared" si="50"/>
        <v>0</v>
      </c>
      <c r="BT32" s="748">
        <f t="shared" si="51"/>
        <v>0</v>
      </c>
      <c r="BU32" s="748">
        <f t="shared" si="52"/>
        <v>0</v>
      </c>
      <c r="BV32" s="748">
        <f t="shared" si="53"/>
        <v>0</v>
      </c>
      <c r="BW32" s="748">
        <f t="shared" si="54"/>
        <v>0</v>
      </c>
      <c r="BY32" s="748">
        <f t="shared" si="55"/>
        <v>0</v>
      </c>
      <c r="BZ32" s="748">
        <f t="shared" si="56"/>
        <v>0</v>
      </c>
      <c r="CA32" s="748">
        <f t="shared" si="57"/>
        <v>0</v>
      </c>
      <c r="CB32" s="748">
        <f t="shared" si="58"/>
        <v>0</v>
      </c>
      <c r="CC32" s="748">
        <f t="shared" si="59"/>
        <v>0</v>
      </c>
      <c r="CE32" s="754">
        <f t="shared" si="60"/>
        <v>0</v>
      </c>
      <c r="CF32" s="754">
        <f t="shared" si="60"/>
        <v>0</v>
      </c>
      <c r="CG32" s="750"/>
      <c r="CH32" s="753"/>
      <c r="CI32" s="753"/>
      <c r="CJ32" s="753"/>
      <c r="CK32" s="753"/>
      <c r="CL32" s="748">
        <f t="shared" si="61"/>
        <v>0</v>
      </c>
      <c r="CM32" s="748">
        <f t="shared" si="62"/>
        <v>0</v>
      </c>
      <c r="CN32" s="748">
        <f t="shared" si="63"/>
        <v>0</v>
      </c>
      <c r="CO32" s="748">
        <f t="shared" si="64"/>
        <v>0</v>
      </c>
      <c r="CP32" s="748">
        <f t="shared" si="65"/>
        <v>0</v>
      </c>
      <c r="CQ32" s="728"/>
      <c r="CR32" s="748">
        <f t="shared" si="66"/>
        <v>0</v>
      </c>
      <c r="CS32" s="748">
        <f t="shared" si="67"/>
        <v>0</v>
      </c>
      <c r="CT32" s="748">
        <f t="shared" si="68"/>
        <v>0</v>
      </c>
      <c r="CU32" s="748">
        <f t="shared" si="69"/>
        <v>0</v>
      </c>
      <c r="CV32" s="748">
        <f t="shared" si="70"/>
        <v>0</v>
      </c>
      <c r="CW32" s="728"/>
      <c r="CX32" s="748">
        <f t="shared" si="71"/>
        <v>0</v>
      </c>
      <c r="CY32" s="748">
        <f t="shared" si="72"/>
        <v>0</v>
      </c>
      <c r="CZ32" s="748">
        <f t="shared" si="73"/>
        <v>0</v>
      </c>
      <c r="DA32" s="748">
        <f t="shared" si="74"/>
        <v>0</v>
      </c>
      <c r="DB32" s="748">
        <f t="shared" si="75"/>
        <v>0</v>
      </c>
      <c r="DD32" s="754">
        <f t="shared" si="76"/>
        <v>0</v>
      </c>
      <c r="DE32" s="753"/>
      <c r="DF32" s="753"/>
      <c r="DG32" s="753"/>
      <c r="DH32" s="753"/>
      <c r="DI32" s="816">
        <f t="shared" si="77"/>
        <v>0</v>
      </c>
      <c r="DJ32" s="748">
        <f t="shared" si="18"/>
        <v>0</v>
      </c>
      <c r="DK32" s="748">
        <f t="shared" si="78"/>
        <v>0</v>
      </c>
      <c r="DL32" s="748">
        <f t="shared" si="79"/>
        <v>0</v>
      </c>
      <c r="DM32" s="748">
        <f t="shared" si="80"/>
        <v>0</v>
      </c>
      <c r="DN32" s="748">
        <f t="shared" si="81"/>
        <v>0</v>
      </c>
      <c r="DQ32" s="753"/>
      <c r="DR32" s="753"/>
      <c r="DS32" s="753"/>
      <c r="DT32" s="753"/>
      <c r="DU32" s="753"/>
      <c r="DV32" s="753"/>
      <c r="DW32" s="748">
        <f t="shared" si="19"/>
        <v>0</v>
      </c>
      <c r="DX32" s="748">
        <f t="shared" si="20"/>
        <v>0</v>
      </c>
      <c r="DY32" s="748">
        <f t="shared" si="21"/>
        <v>0</v>
      </c>
      <c r="DZ32" s="748">
        <f t="shared" si="22"/>
        <v>0</v>
      </c>
      <c r="EA32" s="748">
        <f t="shared" si="23"/>
        <v>0</v>
      </c>
    </row>
    <row r="33" spans="1:256">
      <c r="B33" s="815"/>
      <c r="C33" s="752"/>
      <c r="D33" s="753"/>
      <c r="E33" s="753"/>
      <c r="F33" s="1610" t="str">
        <f t="shared" si="24"/>
        <v/>
      </c>
      <c r="G33" s="753"/>
      <c r="H33" s="753"/>
      <c r="I33" s="753"/>
      <c r="J33" s="753"/>
      <c r="K33" s="753"/>
      <c r="L33" s="746">
        <f t="shared" si="25"/>
        <v>0</v>
      </c>
      <c r="M33" s="746">
        <f t="shared" si="26"/>
        <v>0</v>
      </c>
      <c r="N33" s="746">
        <f t="shared" si="27"/>
        <v>0</v>
      </c>
      <c r="O33" s="746">
        <f t="shared" si="28"/>
        <v>0</v>
      </c>
      <c r="P33" s="747"/>
      <c r="Q33" s="747"/>
      <c r="R33" s="747"/>
      <c r="S33" s="747"/>
      <c r="T33" s="747"/>
      <c r="V33" s="748">
        <f t="shared" si="3"/>
        <v>0</v>
      </c>
      <c r="W33" s="748">
        <f t="shared" si="4"/>
        <v>0</v>
      </c>
      <c r="X33" s="748">
        <f t="shared" si="5"/>
        <v>0</v>
      </c>
      <c r="Y33" s="748">
        <f t="shared" si="6"/>
        <v>0</v>
      </c>
      <c r="Z33" s="748">
        <f t="shared" si="7"/>
        <v>0</v>
      </c>
      <c r="AA33" s="708">
        <f t="shared" si="29"/>
        <v>0</v>
      </c>
      <c r="AB33" s="748">
        <f t="shared" si="8"/>
        <v>0</v>
      </c>
      <c r="AC33" s="748">
        <f t="shared" si="9"/>
        <v>0</v>
      </c>
      <c r="AD33" s="748">
        <f t="shared" si="10"/>
        <v>0</v>
      </c>
      <c r="AE33" s="748">
        <f t="shared" si="11"/>
        <v>0</v>
      </c>
      <c r="AF33" s="748">
        <f t="shared" si="12"/>
        <v>0</v>
      </c>
      <c r="AH33" s="748">
        <f t="shared" si="30"/>
        <v>0</v>
      </c>
      <c r="AI33" s="748">
        <f t="shared" si="31"/>
        <v>0</v>
      </c>
      <c r="AJ33" s="748">
        <f t="shared" si="32"/>
        <v>0</v>
      </c>
      <c r="AK33" s="748">
        <f t="shared" si="33"/>
        <v>0</v>
      </c>
      <c r="AL33" s="748">
        <f t="shared" si="34"/>
        <v>0</v>
      </c>
      <c r="AN33" s="753"/>
      <c r="AO33" s="747"/>
      <c r="AP33" s="747"/>
      <c r="AQ33" s="747"/>
      <c r="AR33" s="747"/>
      <c r="AS33" s="747"/>
      <c r="AU33" s="748">
        <f t="shared" si="13"/>
        <v>0</v>
      </c>
      <c r="AV33" s="748">
        <f t="shared" si="14"/>
        <v>0</v>
      </c>
      <c r="AW33" s="748">
        <f t="shared" si="15"/>
        <v>0</v>
      </c>
      <c r="AX33" s="748">
        <f t="shared" si="16"/>
        <v>0</v>
      </c>
      <c r="AY33" s="748">
        <f t="shared" si="17"/>
        <v>0</v>
      </c>
      <c r="BA33" s="748">
        <f t="shared" si="35"/>
        <v>0</v>
      </c>
      <c r="BB33" s="748">
        <f t="shared" si="36"/>
        <v>0</v>
      </c>
      <c r="BC33" s="748">
        <f t="shared" si="37"/>
        <v>0</v>
      </c>
      <c r="BD33" s="748">
        <f t="shared" si="38"/>
        <v>0</v>
      </c>
      <c r="BE33" s="748">
        <f t="shared" si="39"/>
        <v>0</v>
      </c>
      <c r="BG33" s="748">
        <f t="shared" si="40"/>
        <v>0</v>
      </c>
      <c r="BH33" s="748">
        <f t="shared" si="41"/>
        <v>0</v>
      </c>
      <c r="BI33" s="748">
        <f t="shared" si="42"/>
        <v>0</v>
      </c>
      <c r="BJ33" s="748">
        <f t="shared" si="43"/>
        <v>0</v>
      </c>
      <c r="BK33" s="748">
        <f t="shared" si="44"/>
        <v>0</v>
      </c>
      <c r="BM33" s="748">
        <f t="shared" si="45"/>
        <v>0</v>
      </c>
      <c r="BN33" s="748">
        <f t="shared" si="46"/>
        <v>0</v>
      </c>
      <c r="BO33" s="748">
        <f t="shared" si="47"/>
        <v>0</v>
      </c>
      <c r="BP33" s="748">
        <f t="shared" si="48"/>
        <v>0</v>
      </c>
      <c r="BQ33" s="748">
        <f t="shared" si="49"/>
        <v>0</v>
      </c>
      <c r="BS33" s="748">
        <f t="shared" si="50"/>
        <v>0</v>
      </c>
      <c r="BT33" s="748">
        <f t="shared" si="51"/>
        <v>0</v>
      </c>
      <c r="BU33" s="748">
        <f t="shared" si="52"/>
        <v>0</v>
      </c>
      <c r="BV33" s="748">
        <f t="shared" si="53"/>
        <v>0</v>
      </c>
      <c r="BW33" s="748">
        <f t="shared" si="54"/>
        <v>0</v>
      </c>
      <c r="BY33" s="748">
        <f t="shared" si="55"/>
        <v>0</v>
      </c>
      <c r="BZ33" s="748">
        <f t="shared" si="56"/>
        <v>0</v>
      </c>
      <c r="CA33" s="748">
        <f t="shared" si="57"/>
        <v>0</v>
      </c>
      <c r="CB33" s="748">
        <f t="shared" si="58"/>
        <v>0</v>
      </c>
      <c r="CC33" s="748">
        <f t="shared" si="59"/>
        <v>0</v>
      </c>
      <c r="CE33" s="754">
        <f t="shared" si="60"/>
        <v>0</v>
      </c>
      <c r="CF33" s="754">
        <f t="shared" si="60"/>
        <v>0</v>
      </c>
      <c r="CG33" s="750"/>
      <c r="CH33" s="753"/>
      <c r="CI33" s="753"/>
      <c r="CJ33" s="753"/>
      <c r="CK33" s="753"/>
      <c r="CL33" s="748">
        <f t="shared" si="61"/>
        <v>0</v>
      </c>
      <c r="CM33" s="748">
        <f t="shared" si="62"/>
        <v>0</v>
      </c>
      <c r="CN33" s="748">
        <f t="shared" si="63"/>
        <v>0</v>
      </c>
      <c r="CO33" s="748">
        <f t="shared" si="64"/>
        <v>0</v>
      </c>
      <c r="CP33" s="748">
        <f t="shared" si="65"/>
        <v>0</v>
      </c>
      <c r="CQ33" s="728"/>
      <c r="CR33" s="748">
        <f t="shared" si="66"/>
        <v>0</v>
      </c>
      <c r="CS33" s="748">
        <f t="shared" si="67"/>
        <v>0</v>
      </c>
      <c r="CT33" s="748">
        <f t="shared" si="68"/>
        <v>0</v>
      </c>
      <c r="CU33" s="748">
        <f t="shared" si="69"/>
        <v>0</v>
      </c>
      <c r="CV33" s="748">
        <f t="shared" si="70"/>
        <v>0</v>
      </c>
      <c r="CW33" s="728"/>
      <c r="CX33" s="748">
        <f t="shared" si="71"/>
        <v>0</v>
      </c>
      <c r="CY33" s="748">
        <f t="shared" si="72"/>
        <v>0</v>
      </c>
      <c r="CZ33" s="748">
        <f t="shared" si="73"/>
        <v>0</v>
      </c>
      <c r="DA33" s="748">
        <f t="shared" si="74"/>
        <v>0</v>
      </c>
      <c r="DB33" s="748">
        <f t="shared" si="75"/>
        <v>0</v>
      </c>
      <c r="DD33" s="754">
        <f t="shared" si="76"/>
        <v>0</v>
      </c>
      <c r="DE33" s="753"/>
      <c r="DF33" s="753"/>
      <c r="DG33" s="753"/>
      <c r="DH33" s="753"/>
      <c r="DI33" s="816">
        <f t="shared" si="77"/>
        <v>0</v>
      </c>
      <c r="DJ33" s="748">
        <f t="shared" si="18"/>
        <v>0</v>
      </c>
      <c r="DK33" s="748">
        <f t="shared" si="78"/>
        <v>0</v>
      </c>
      <c r="DL33" s="748">
        <f t="shared" si="79"/>
        <v>0</v>
      </c>
      <c r="DM33" s="748">
        <f t="shared" si="80"/>
        <v>0</v>
      </c>
      <c r="DN33" s="748">
        <f t="shared" si="81"/>
        <v>0</v>
      </c>
      <c r="DQ33" s="753"/>
      <c r="DR33" s="753"/>
      <c r="DS33" s="753"/>
      <c r="DT33" s="753"/>
      <c r="DU33" s="753"/>
      <c r="DV33" s="753"/>
      <c r="DW33" s="748">
        <f t="shared" si="19"/>
        <v>0</v>
      </c>
      <c r="DX33" s="748">
        <f t="shared" si="20"/>
        <v>0</v>
      </c>
      <c r="DY33" s="748">
        <f t="shared" si="21"/>
        <v>0</v>
      </c>
      <c r="DZ33" s="748">
        <f t="shared" si="22"/>
        <v>0</v>
      </c>
      <c r="EA33" s="748">
        <f t="shared" si="23"/>
        <v>0</v>
      </c>
    </row>
    <row r="34" spans="1:256">
      <c r="B34" s="815"/>
      <c r="C34" s="752"/>
      <c r="D34" s="753"/>
      <c r="E34" s="753"/>
      <c r="F34" s="1610" t="str">
        <f t="shared" si="24"/>
        <v/>
      </c>
      <c r="G34" s="753"/>
      <c r="H34" s="753"/>
      <c r="I34" s="753"/>
      <c r="J34" s="753"/>
      <c r="K34" s="753"/>
      <c r="L34" s="746">
        <f t="shared" si="25"/>
        <v>0</v>
      </c>
      <c r="M34" s="746">
        <f t="shared" si="26"/>
        <v>0</v>
      </c>
      <c r="N34" s="746">
        <f t="shared" si="27"/>
        <v>0</v>
      </c>
      <c r="O34" s="746">
        <f t="shared" si="28"/>
        <v>0</v>
      </c>
      <c r="P34" s="747"/>
      <c r="Q34" s="747"/>
      <c r="R34" s="747"/>
      <c r="S34" s="747"/>
      <c r="T34" s="747"/>
      <c r="V34" s="748">
        <f t="shared" si="3"/>
        <v>0</v>
      </c>
      <c r="W34" s="748">
        <f t="shared" si="4"/>
        <v>0</v>
      </c>
      <c r="X34" s="748">
        <f t="shared" si="5"/>
        <v>0</v>
      </c>
      <c r="Y34" s="748">
        <f t="shared" si="6"/>
        <v>0</v>
      </c>
      <c r="Z34" s="748">
        <f t="shared" si="7"/>
        <v>0</v>
      </c>
      <c r="AA34" s="708">
        <f t="shared" si="29"/>
        <v>0</v>
      </c>
      <c r="AB34" s="748">
        <f t="shared" si="8"/>
        <v>0</v>
      </c>
      <c r="AC34" s="748">
        <f t="shared" si="9"/>
        <v>0</v>
      </c>
      <c r="AD34" s="748">
        <f t="shared" si="10"/>
        <v>0</v>
      </c>
      <c r="AE34" s="748">
        <f t="shared" si="11"/>
        <v>0</v>
      </c>
      <c r="AF34" s="748">
        <f t="shared" si="12"/>
        <v>0</v>
      </c>
      <c r="AH34" s="748">
        <f t="shared" si="30"/>
        <v>0</v>
      </c>
      <c r="AI34" s="748">
        <f t="shared" si="31"/>
        <v>0</v>
      </c>
      <c r="AJ34" s="748">
        <f t="shared" si="32"/>
        <v>0</v>
      </c>
      <c r="AK34" s="748">
        <f t="shared" si="33"/>
        <v>0</v>
      </c>
      <c r="AL34" s="748">
        <f t="shared" si="34"/>
        <v>0</v>
      </c>
      <c r="AN34" s="753"/>
      <c r="AO34" s="747"/>
      <c r="AP34" s="747"/>
      <c r="AQ34" s="747"/>
      <c r="AR34" s="747"/>
      <c r="AS34" s="747"/>
      <c r="AU34" s="748">
        <f t="shared" si="13"/>
        <v>0</v>
      </c>
      <c r="AV34" s="748">
        <f t="shared" si="14"/>
        <v>0</v>
      </c>
      <c r="AW34" s="748">
        <f t="shared" si="15"/>
        <v>0</v>
      </c>
      <c r="AX34" s="748">
        <f t="shared" si="16"/>
        <v>0</v>
      </c>
      <c r="AY34" s="748">
        <f t="shared" si="17"/>
        <v>0</v>
      </c>
      <c r="BA34" s="748">
        <f t="shared" si="35"/>
        <v>0</v>
      </c>
      <c r="BB34" s="748">
        <f t="shared" si="36"/>
        <v>0</v>
      </c>
      <c r="BC34" s="748">
        <f t="shared" si="37"/>
        <v>0</v>
      </c>
      <c r="BD34" s="748">
        <f t="shared" si="38"/>
        <v>0</v>
      </c>
      <c r="BE34" s="748">
        <f t="shared" si="39"/>
        <v>0</v>
      </c>
      <c r="BG34" s="748">
        <f t="shared" si="40"/>
        <v>0</v>
      </c>
      <c r="BH34" s="748">
        <f t="shared" si="41"/>
        <v>0</v>
      </c>
      <c r="BI34" s="748">
        <f t="shared" si="42"/>
        <v>0</v>
      </c>
      <c r="BJ34" s="748">
        <f t="shared" si="43"/>
        <v>0</v>
      </c>
      <c r="BK34" s="748">
        <f t="shared" si="44"/>
        <v>0</v>
      </c>
      <c r="BM34" s="748">
        <f t="shared" si="45"/>
        <v>0</v>
      </c>
      <c r="BN34" s="748">
        <f t="shared" si="46"/>
        <v>0</v>
      </c>
      <c r="BO34" s="748">
        <f t="shared" si="47"/>
        <v>0</v>
      </c>
      <c r="BP34" s="748">
        <f t="shared" si="48"/>
        <v>0</v>
      </c>
      <c r="BQ34" s="748">
        <f t="shared" si="49"/>
        <v>0</v>
      </c>
      <c r="BS34" s="748">
        <f t="shared" si="50"/>
        <v>0</v>
      </c>
      <c r="BT34" s="748">
        <f t="shared" si="51"/>
        <v>0</v>
      </c>
      <c r="BU34" s="748">
        <f t="shared" si="52"/>
        <v>0</v>
      </c>
      <c r="BV34" s="748">
        <f t="shared" si="53"/>
        <v>0</v>
      </c>
      <c r="BW34" s="748">
        <f t="shared" si="54"/>
        <v>0</v>
      </c>
      <c r="BY34" s="748">
        <f t="shared" si="55"/>
        <v>0</v>
      </c>
      <c r="BZ34" s="748">
        <f t="shared" si="56"/>
        <v>0</v>
      </c>
      <c r="CA34" s="748">
        <f t="shared" si="57"/>
        <v>0</v>
      </c>
      <c r="CB34" s="748">
        <f t="shared" si="58"/>
        <v>0</v>
      </c>
      <c r="CC34" s="748">
        <f t="shared" si="59"/>
        <v>0</v>
      </c>
      <c r="CE34" s="754">
        <f t="shared" si="60"/>
        <v>0</v>
      </c>
      <c r="CF34" s="754">
        <f t="shared" si="60"/>
        <v>0</v>
      </c>
      <c r="CG34" s="750"/>
      <c r="CH34" s="753"/>
      <c r="CI34" s="753"/>
      <c r="CJ34" s="753"/>
      <c r="CK34" s="753"/>
      <c r="CL34" s="748">
        <f t="shared" si="61"/>
        <v>0</v>
      </c>
      <c r="CM34" s="748">
        <f t="shared" si="62"/>
        <v>0</v>
      </c>
      <c r="CN34" s="748">
        <f t="shared" si="63"/>
        <v>0</v>
      </c>
      <c r="CO34" s="748">
        <f t="shared" si="64"/>
        <v>0</v>
      </c>
      <c r="CP34" s="748">
        <f t="shared" si="65"/>
        <v>0</v>
      </c>
      <c r="CQ34" s="728"/>
      <c r="CR34" s="748">
        <f t="shared" si="66"/>
        <v>0</v>
      </c>
      <c r="CS34" s="748">
        <f t="shared" si="67"/>
        <v>0</v>
      </c>
      <c r="CT34" s="748">
        <f t="shared" si="68"/>
        <v>0</v>
      </c>
      <c r="CU34" s="748">
        <f t="shared" si="69"/>
        <v>0</v>
      </c>
      <c r="CV34" s="748">
        <f t="shared" si="70"/>
        <v>0</v>
      </c>
      <c r="CW34" s="728"/>
      <c r="CX34" s="748">
        <f t="shared" si="71"/>
        <v>0</v>
      </c>
      <c r="CY34" s="748">
        <f t="shared" si="72"/>
        <v>0</v>
      </c>
      <c r="CZ34" s="748">
        <f t="shared" si="73"/>
        <v>0</v>
      </c>
      <c r="DA34" s="748">
        <f t="shared" si="74"/>
        <v>0</v>
      </c>
      <c r="DB34" s="748">
        <f t="shared" si="75"/>
        <v>0</v>
      </c>
      <c r="DD34" s="754">
        <f t="shared" si="76"/>
        <v>0</v>
      </c>
      <c r="DE34" s="753"/>
      <c r="DF34" s="753"/>
      <c r="DG34" s="753"/>
      <c r="DH34" s="753"/>
      <c r="DI34" s="816">
        <f t="shared" si="77"/>
        <v>0</v>
      </c>
      <c r="DJ34" s="748">
        <f t="shared" si="18"/>
        <v>0</v>
      </c>
      <c r="DK34" s="748">
        <f t="shared" si="78"/>
        <v>0</v>
      </c>
      <c r="DL34" s="748">
        <f t="shared" si="79"/>
        <v>0</v>
      </c>
      <c r="DM34" s="748">
        <f t="shared" si="80"/>
        <v>0</v>
      </c>
      <c r="DN34" s="748">
        <f t="shared" si="81"/>
        <v>0</v>
      </c>
      <c r="DQ34" s="753"/>
      <c r="DR34" s="753"/>
      <c r="DS34" s="753"/>
      <c r="DT34" s="753"/>
      <c r="DU34" s="753"/>
      <c r="DV34" s="753"/>
      <c r="DW34" s="748">
        <f t="shared" si="19"/>
        <v>0</v>
      </c>
      <c r="DX34" s="748">
        <f t="shared" si="20"/>
        <v>0</v>
      </c>
      <c r="DY34" s="748">
        <f t="shared" si="21"/>
        <v>0</v>
      </c>
      <c r="DZ34" s="748">
        <f t="shared" si="22"/>
        <v>0</v>
      </c>
      <c r="EA34" s="748">
        <f t="shared" si="23"/>
        <v>0</v>
      </c>
    </row>
    <row r="35" spans="1:256" s="778" customFormat="1">
      <c r="A35" s="708"/>
      <c r="B35" s="815"/>
      <c r="C35" s="752"/>
      <c r="D35" s="753"/>
      <c r="E35" s="753"/>
      <c r="F35" s="1610" t="str">
        <f t="shared" si="24"/>
        <v/>
      </c>
      <c r="G35" s="753"/>
      <c r="H35" s="753"/>
      <c r="I35" s="753"/>
      <c r="J35" s="753"/>
      <c r="K35" s="753"/>
      <c r="L35" s="746">
        <f t="shared" si="25"/>
        <v>0</v>
      </c>
      <c r="M35" s="746">
        <f t="shared" si="26"/>
        <v>0</v>
      </c>
      <c r="N35" s="746">
        <f t="shared" si="27"/>
        <v>0</v>
      </c>
      <c r="O35" s="746">
        <f t="shared" si="28"/>
        <v>0</v>
      </c>
      <c r="P35" s="747"/>
      <c r="Q35" s="747"/>
      <c r="R35" s="747"/>
      <c r="S35" s="747"/>
      <c r="T35" s="747"/>
      <c r="U35" s="708"/>
      <c r="V35" s="748">
        <f t="shared" si="3"/>
        <v>0</v>
      </c>
      <c r="W35" s="748">
        <f t="shared" si="4"/>
        <v>0</v>
      </c>
      <c r="X35" s="748">
        <f t="shared" si="5"/>
        <v>0</v>
      </c>
      <c r="Y35" s="748">
        <f t="shared" si="6"/>
        <v>0</v>
      </c>
      <c r="Z35" s="748">
        <f t="shared" si="7"/>
        <v>0</v>
      </c>
      <c r="AA35" s="708">
        <f t="shared" si="29"/>
        <v>0</v>
      </c>
      <c r="AB35" s="748">
        <f t="shared" si="8"/>
        <v>0</v>
      </c>
      <c r="AC35" s="748">
        <f t="shared" si="9"/>
        <v>0</v>
      </c>
      <c r="AD35" s="748">
        <f t="shared" si="10"/>
        <v>0</v>
      </c>
      <c r="AE35" s="748">
        <f t="shared" si="11"/>
        <v>0</v>
      </c>
      <c r="AF35" s="748">
        <f t="shared" si="12"/>
        <v>0</v>
      </c>
      <c r="AG35" s="708"/>
      <c r="AH35" s="748">
        <f t="shared" si="30"/>
        <v>0</v>
      </c>
      <c r="AI35" s="748">
        <f t="shared" si="31"/>
        <v>0</v>
      </c>
      <c r="AJ35" s="748">
        <f t="shared" si="32"/>
        <v>0</v>
      </c>
      <c r="AK35" s="748">
        <f t="shared" si="33"/>
        <v>0</v>
      </c>
      <c r="AL35" s="748">
        <f t="shared" si="34"/>
        <v>0</v>
      </c>
      <c r="AM35" s="708"/>
      <c r="AN35" s="753"/>
      <c r="AO35" s="747"/>
      <c r="AP35" s="747"/>
      <c r="AQ35" s="747"/>
      <c r="AR35" s="747"/>
      <c r="AS35" s="747"/>
      <c r="AT35" s="708"/>
      <c r="AU35" s="748">
        <f t="shared" si="13"/>
        <v>0</v>
      </c>
      <c r="AV35" s="748">
        <f t="shared" si="14"/>
        <v>0</v>
      </c>
      <c r="AW35" s="748">
        <f t="shared" si="15"/>
        <v>0</v>
      </c>
      <c r="AX35" s="748">
        <f t="shared" si="16"/>
        <v>0</v>
      </c>
      <c r="AY35" s="748">
        <f t="shared" si="17"/>
        <v>0</v>
      </c>
      <c r="AZ35" s="708"/>
      <c r="BA35" s="748">
        <f t="shared" si="35"/>
        <v>0</v>
      </c>
      <c r="BB35" s="748">
        <f t="shared" si="36"/>
        <v>0</v>
      </c>
      <c r="BC35" s="748">
        <f t="shared" si="37"/>
        <v>0</v>
      </c>
      <c r="BD35" s="748">
        <f t="shared" si="38"/>
        <v>0</v>
      </c>
      <c r="BE35" s="748">
        <f t="shared" si="39"/>
        <v>0</v>
      </c>
      <c r="BF35" s="708"/>
      <c r="BG35" s="748">
        <f t="shared" si="40"/>
        <v>0</v>
      </c>
      <c r="BH35" s="748">
        <f t="shared" si="41"/>
        <v>0</v>
      </c>
      <c r="BI35" s="748">
        <f t="shared" si="42"/>
        <v>0</v>
      </c>
      <c r="BJ35" s="748">
        <f t="shared" si="43"/>
        <v>0</v>
      </c>
      <c r="BK35" s="748">
        <f t="shared" si="44"/>
        <v>0</v>
      </c>
      <c r="BL35" s="708"/>
      <c r="BM35" s="748">
        <f t="shared" si="45"/>
        <v>0</v>
      </c>
      <c r="BN35" s="748">
        <f t="shared" si="46"/>
        <v>0</v>
      </c>
      <c r="BO35" s="748">
        <f t="shared" si="47"/>
        <v>0</v>
      </c>
      <c r="BP35" s="748">
        <f t="shared" si="48"/>
        <v>0</v>
      </c>
      <c r="BQ35" s="748">
        <f t="shared" si="49"/>
        <v>0</v>
      </c>
      <c r="BR35" s="708"/>
      <c r="BS35" s="748">
        <f t="shared" si="50"/>
        <v>0</v>
      </c>
      <c r="BT35" s="748">
        <f t="shared" si="51"/>
        <v>0</v>
      </c>
      <c r="BU35" s="748">
        <f t="shared" si="52"/>
        <v>0</v>
      </c>
      <c r="BV35" s="748">
        <f t="shared" si="53"/>
        <v>0</v>
      </c>
      <c r="BW35" s="748">
        <f t="shared" si="54"/>
        <v>0</v>
      </c>
      <c r="BX35" s="708"/>
      <c r="BY35" s="748">
        <f t="shared" si="55"/>
        <v>0</v>
      </c>
      <c r="BZ35" s="748">
        <f t="shared" si="56"/>
        <v>0</v>
      </c>
      <c r="CA35" s="748">
        <f t="shared" si="57"/>
        <v>0</v>
      </c>
      <c r="CB35" s="748">
        <f t="shared" si="58"/>
        <v>0</v>
      </c>
      <c r="CC35" s="748">
        <f t="shared" si="59"/>
        <v>0</v>
      </c>
      <c r="CD35" s="708"/>
      <c r="CE35" s="754">
        <f t="shared" si="60"/>
        <v>0</v>
      </c>
      <c r="CF35" s="754">
        <f t="shared" si="60"/>
        <v>0</v>
      </c>
      <c r="CG35" s="750"/>
      <c r="CH35" s="753"/>
      <c r="CI35" s="753"/>
      <c r="CJ35" s="753"/>
      <c r="CK35" s="753"/>
      <c r="CL35" s="748">
        <f t="shared" si="61"/>
        <v>0</v>
      </c>
      <c r="CM35" s="748">
        <f t="shared" si="62"/>
        <v>0</v>
      </c>
      <c r="CN35" s="748">
        <f t="shared" si="63"/>
        <v>0</v>
      </c>
      <c r="CO35" s="748">
        <f t="shared" si="64"/>
        <v>0</v>
      </c>
      <c r="CP35" s="748">
        <f t="shared" si="65"/>
        <v>0</v>
      </c>
      <c r="CQ35" s="728"/>
      <c r="CR35" s="748">
        <f t="shared" si="66"/>
        <v>0</v>
      </c>
      <c r="CS35" s="748">
        <f t="shared" si="67"/>
        <v>0</v>
      </c>
      <c r="CT35" s="748">
        <f t="shared" si="68"/>
        <v>0</v>
      </c>
      <c r="CU35" s="748">
        <f t="shared" si="69"/>
        <v>0</v>
      </c>
      <c r="CV35" s="748">
        <f t="shared" si="70"/>
        <v>0</v>
      </c>
      <c r="CW35" s="728"/>
      <c r="CX35" s="748">
        <f t="shared" si="71"/>
        <v>0</v>
      </c>
      <c r="CY35" s="748">
        <f t="shared" si="72"/>
        <v>0</v>
      </c>
      <c r="CZ35" s="748">
        <f t="shared" si="73"/>
        <v>0</v>
      </c>
      <c r="DA35" s="748">
        <f t="shared" si="74"/>
        <v>0</v>
      </c>
      <c r="DB35" s="748">
        <f t="shared" si="75"/>
        <v>0</v>
      </c>
      <c r="DC35" s="708"/>
      <c r="DD35" s="754">
        <f t="shared" si="76"/>
        <v>0</v>
      </c>
      <c r="DE35" s="753"/>
      <c r="DF35" s="753"/>
      <c r="DG35" s="753"/>
      <c r="DH35" s="753"/>
      <c r="DI35" s="816">
        <f t="shared" si="77"/>
        <v>0</v>
      </c>
      <c r="DJ35" s="748">
        <f t="shared" si="18"/>
        <v>0</v>
      </c>
      <c r="DK35" s="748">
        <f t="shared" si="78"/>
        <v>0</v>
      </c>
      <c r="DL35" s="748">
        <f t="shared" si="79"/>
        <v>0</v>
      </c>
      <c r="DM35" s="748">
        <f t="shared" si="80"/>
        <v>0</v>
      </c>
      <c r="DN35" s="748">
        <f t="shared" si="81"/>
        <v>0</v>
      </c>
      <c r="DO35" s="708"/>
      <c r="DP35" s="708"/>
      <c r="DQ35" s="753"/>
      <c r="DR35" s="753"/>
      <c r="DS35" s="753"/>
      <c r="DT35" s="753"/>
      <c r="DU35" s="753"/>
      <c r="DV35" s="753"/>
      <c r="DW35" s="748">
        <f t="shared" si="19"/>
        <v>0</v>
      </c>
      <c r="DX35" s="748">
        <f t="shared" si="20"/>
        <v>0</v>
      </c>
      <c r="DY35" s="748">
        <f t="shared" si="21"/>
        <v>0</v>
      </c>
      <c r="DZ35" s="748">
        <f t="shared" si="22"/>
        <v>0</v>
      </c>
      <c r="EA35" s="748">
        <f t="shared" si="23"/>
        <v>0</v>
      </c>
      <c r="EB35" s="708"/>
      <c r="EC35" s="708"/>
      <c r="ED35" s="708"/>
      <c r="EE35" s="708"/>
      <c r="EF35" s="708"/>
      <c r="EG35" s="708"/>
      <c r="EH35" s="708"/>
      <c r="EI35" s="708"/>
      <c r="EJ35" s="708"/>
      <c r="EK35" s="708"/>
      <c r="EL35" s="708"/>
      <c r="EM35" s="708"/>
      <c r="EN35" s="708"/>
      <c r="EO35" s="708"/>
      <c r="EP35" s="708"/>
      <c r="EQ35" s="708"/>
      <c r="ER35" s="708"/>
      <c r="ES35" s="708"/>
      <c r="ET35" s="708"/>
      <c r="EU35" s="708"/>
      <c r="EV35" s="708"/>
      <c r="EW35" s="708"/>
      <c r="EX35" s="708"/>
      <c r="EY35" s="708"/>
      <c r="EZ35" s="708"/>
      <c r="FA35" s="708"/>
      <c r="FB35" s="708"/>
      <c r="FC35" s="708"/>
      <c r="FD35" s="708"/>
      <c r="FE35" s="708"/>
      <c r="FF35" s="708"/>
      <c r="FG35" s="708"/>
      <c r="FH35" s="708"/>
      <c r="FI35" s="708"/>
      <c r="FJ35" s="708"/>
      <c r="FK35" s="708"/>
      <c r="FL35" s="708"/>
      <c r="FM35" s="708"/>
      <c r="FN35" s="708"/>
      <c r="FO35" s="708"/>
      <c r="FP35" s="708"/>
      <c r="FQ35" s="708"/>
      <c r="FR35" s="708"/>
      <c r="FS35" s="708"/>
      <c r="FT35" s="708"/>
      <c r="FU35" s="708"/>
      <c r="FV35" s="708"/>
      <c r="FW35" s="708"/>
      <c r="FX35" s="708"/>
      <c r="FY35" s="708"/>
      <c r="FZ35" s="708"/>
      <c r="GA35" s="708"/>
      <c r="GB35" s="708"/>
      <c r="GC35" s="708"/>
      <c r="GD35" s="708"/>
      <c r="GE35" s="708"/>
      <c r="GF35" s="708"/>
      <c r="GG35" s="708"/>
      <c r="GH35" s="708"/>
      <c r="GI35" s="708"/>
      <c r="GJ35" s="708"/>
      <c r="GK35" s="708"/>
      <c r="GL35" s="708"/>
      <c r="GM35" s="708"/>
      <c r="GN35" s="708"/>
      <c r="GO35" s="708"/>
      <c r="GP35" s="708"/>
      <c r="GQ35" s="708"/>
      <c r="GR35" s="708"/>
      <c r="GS35" s="708"/>
      <c r="GT35" s="708"/>
      <c r="GU35" s="708"/>
      <c r="GV35" s="708"/>
      <c r="GW35" s="708"/>
      <c r="GX35" s="708"/>
      <c r="GY35" s="708"/>
      <c r="GZ35" s="708"/>
      <c r="HA35" s="708"/>
      <c r="HB35" s="708"/>
      <c r="HC35" s="708"/>
      <c r="HD35" s="708"/>
      <c r="HE35" s="708"/>
      <c r="HF35" s="708"/>
      <c r="HG35" s="708"/>
      <c r="HH35" s="708"/>
      <c r="HI35" s="708"/>
      <c r="HJ35" s="708"/>
      <c r="HK35" s="708"/>
      <c r="HL35" s="708"/>
      <c r="HM35" s="708"/>
      <c r="HN35" s="708"/>
      <c r="HO35" s="708"/>
      <c r="HP35" s="708"/>
      <c r="HQ35" s="708"/>
      <c r="HR35" s="708"/>
      <c r="HS35" s="708"/>
      <c r="HT35" s="708"/>
      <c r="HU35" s="708"/>
      <c r="HV35" s="708"/>
      <c r="HW35" s="708"/>
      <c r="HX35" s="708"/>
      <c r="HY35" s="708"/>
      <c r="HZ35" s="708"/>
      <c r="IA35" s="708"/>
      <c r="IB35" s="708"/>
      <c r="IC35" s="708"/>
      <c r="ID35" s="708"/>
      <c r="IE35" s="708"/>
      <c r="IF35" s="708"/>
      <c r="IG35" s="708"/>
      <c r="IH35" s="708"/>
      <c r="II35" s="708"/>
      <c r="IJ35" s="708"/>
      <c r="IK35" s="708"/>
      <c r="IL35" s="708"/>
      <c r="IM35" s="708"/>
      <c r="IN35" s="708"/>
      <c r="IO35" s="708"/>
      <c r="IP35" s="708"/>
      <c r="IQ35" s="708"/>
      <c r="IR35" s="708"/>
      <c r="IS35" s="708"/>
      <c r="IT35" s="708"/>
      <c r="IU35" s="708"/>
      <c r="IV35" s="708"/>
    </row>
    <row r="36" spans="1:256">
      <c r="B36" s="815"/>
      <c r="C36" s="752"/>
      <c r="D36" s="753"/>
      <c r="E36" s="753"/>
      <c r="F36" s="1610" t="str">
        <f t="shared" si="24"/>
        <v/>
      </c>
      <c r="G36" s="753"/>
      <c r="H36" s="753"/>
      <c r="I36" s="753"/>
      <c r="J36" s="753"/>
      <c r="K36" s="753"/>
      <c r="L36" s="746">
        <f t="shared" si="25"/>
        <v>0</v>
      </c>
      <c r="M36" s="746">
        <f t="shared" si="26"/>
        <v>0</v>
      </c>
      <c r="N36" s="746">
        <f t="shared" si="27"/>
        <v>0</v>
      </c>
      <c r="O36" s="746">
        <f t="shared" si="28"/>
        <v>0</v>
      </c>
      <c r="P36" s="747"/>
      <c r="Q36" s="747"/>
      <c r="R36" s="747"/>
      <c r="S36" s="747"/>
      <c r="T36" s="747"/>
      <c r="V36" s="748">
        <f t="shared" si="3"/>
        <v>0</v>
      </c>
      <c r="W36" s="748">
        <f t="shared" si="4"/>
        <v>0</v>
      </c>
      <c r="X36" s="748">
        <f t="shared" si="5"/>
        <v>0</v>
      </c>
      <c r="Y36" s="748">
        <f t="shared" si="6"/>
        <v>0</v>
      </c>
      <c r="Z36" s="748">
        <f t="shared" si="7"/>
        <v>0</v>
      </c>
      <c r="AA36" s="708">
        <f t="shared" si="29"/>
        <v>0</v>
      </c>
      <c r="AB36" s="748">
        <f t="shared" si="8"/>
        <v>0</v>
      </c>
      <c r="AC36" s="748">
        <f t="shared" si="9"/>
        <v>0</v>
      </c>
      <c r="AD36" s="748">
        <f t="shared" si="10"/>
        <v>0</v>
      </c>
      <c r="AE36" s="748">
        <f t="shared" si="11"/>
        <v>0</v>
      </c>
      <c r="AF36" s="748">
        <f t="shared" si="12"/>
        <v>0</v>
      </c>
      <c r="AH36" s="748">
        <f t="shared" si="30"/>
        <v>0</v>
      </c>
      <c r="AI36" s="748">
        <f t="shared" si="31"/>
        <v>0</v>
      </c>
      <c r="AJ36" s="748">
        <f t="shared" si="32"/>
        <v>0</v>
      </c>
      <c r="AK36" s="748">
        <f t="shared" si="33"/>
        <v>0</v>
      </c>
      <c r="AL36" s="748">
        <f t="shared" si="34"/>
        <v>0</v>
      </c>
      <c r="AN36" s="753"/>
      <c r="AO36" s="747"/>
      <c r="AP36" s="747"/>
      <c r="AQ36" s="747"/>
      <c r="AR36" s="747"/>
      <c r="AS36" s="747"/>
      <c r="AU36" s="748">
        <f t="shared" si="13"/>
        <v>0</v>
      </c>
      <c r="AV36" s="748">
        <f t="shared" si="14"/>
        <v>0</v>
      </c>
      <c r="AW36" s="748">
        <f t="shared" si="15"/>
        <v>0</v>
      </c>
      <c r="AX36" s="748">
        <f t="shared" si="16"/>
        <v>0</v>
      </c>
      <c r="AY36" s="748">
        <f t="shared" si="17"/>
        <v>0</v>
      </c>
      <c r="BA36" s="748">
        <f t="shared" si="35"/>
        <v>0</v>
      </c>
      <c r="BB36" s="748">
        <f t="shared" si="36"/>
        <v>0</v>
      </c>
      <c r="BC36" s="748">
        <f t="shared" si="37"/>
        <v>0</v>
      </c>
      <c r="BD36" s="748">
        <f t="shared" si="38"/>
        <v>0</v>
      </c>
      <c r="BE36" s="748">
        <f t="shared" si="39"/>
        <v>0</v>
      </c>
      <c r="BG36" s="748">
        <f t="shared" si="40"/>
        <v>0</v>
      </c>
      <c r="BH36" s="748">
        <f t="shared" si="41"/>
        <v>0</v>
      </c>
      <c r="BI36" s="748">
        <f t="shared" si="42"/>
        <v>0</v>
      </c>
      <c r="BJ36" s="748">
        <f t="shared" si="43"/>
        <v>0</v>
      </c>
      <c r="BK36" s="748">
        <f t="shared" si="44"/>
        <v>0</v>
      </c>
      <c r="BM36" s="748">
        <f t="shared" si="45"/>
        <v>0</v>
      </c>
      <c r="BN36" s="748">
        <f t="shared" si="46"/>
        <v>0</v>
      </c>
      <c r="BO36" s="748">
        <f t="shared" si="47"/>
        <v>0</v>
      </c>
      <c r="BP36" s="748">
        <f t="shared" si="48"/>
        <v>0</v>
      </c>
      <c r="BQ36" s="748">
        <f t="shared" si="49"/>
        <v>0</v>
      </c>
      <c r="BS36" s="748">
        <f t="shared" si="50"/>
        <v>0</v>
      </c>
      <c r="BT36" s="748">
        <f t="shared" si="51"/>
        <v>0</v>
      </c>
      <c r="BU36" s="748">
        <f t="shared" si="52"/>
        <v>0</v>
      </c>
      <c r="BV36" s="748">
        <f t="shared" si="53"/>
        <v>0</v>
      </c>
      <c r="BW36" s="748">
        <f t="shared" si="54"/>
        <v>0</v>
      </c>
      <c r="BY36" s="748">
        <f t="shared" si="55"/>
        <v>0</v>
      </c>
      <c r="BZ36" s="748">
        <f t="shared" si="56"/>
        <v>0</v>
      </c>
      <c r="CA36" s="748">
        <f t="shared" si="57"/>
        <v>0</v>
      </c>
      <c r="CB36" s="748">
        <f t="shared" si="58"/>
        <v>0</v>
      </c>
      <c r="CC36" s="748">
        <f t="shared" si="59"/>
        <v>0</v>
      </c>
      <c r="CE36" s="754">
        <f t="shared" si="60"/>
        <v>0</v>
      </c>
      <c r="CF36" s="754">
        <f t="shared" si="60"/>
        <v>0</v>
      </c>
      <c r="CG36" s="750"/>
      <c r="CH36" s="753"/>
      <c r="CI36" s="753"/>
      <c r="CJ36" s="753"/>
      <c r="CK36" s="753"/>
      <c r="CL36" s="748">
        <f t="shared" si="61"/>
        <v>0</v>
      </c>
      <c r="CM36" s="748">
        <f t="shared" si="62"/>
        <v>0</v>
      </c>
      <c r="CN36" s="748">
        <f t="shared" si="63"/>
        <v>0</v>
      </c>
      <c r="CO36" s="748">
        <f t="shared" si="64"/>
        <v>0</v>
      </c>
      <c r="CP36" s="748">
        <f t="shared" si="65"/>
        <v>0</v>
      </c>
      <c r="CQ36" s="728"/>
      <c r="CR36" s="748">
        <f t="shared" si="66"/>
        <v>0</v>
      </c>
      <c r="CS36" s="748">
        <f t="shared" si="67"/>
        <v>0</v>
      </c>
      <c r="CT36" s="748">
        <f t="shared" si="68"/>
        <v>0</v>
      </c>
      <c r="CU36" s="748">
        <f t="shared" si="69"/>
        <v>0</v>
      </c>
      <c r="CV36" s="748">
        <f t="shared" si="70"/>
        <v>0</v>
      </c>
      <c r="CW36" s="728"/>
      <c r="CX36" s="748">
        <f t="shared" si="71"/>
        <v>0</v>
      </c>
      <c r="CY36" s="748">
        <f t="shared" si="72"/>
        <v>0</v>
      </c>
      <c r="CZ36" s="748">
        <f t="shared" si="73"/>
        <v>0</v>
      </c>
      <c r="DA36" s="748">
        <f t="shared" si="74"/>
        <v>0</v>
      </c>
      <c r="DB36" s="748">
        <f t="shared" si="75"/>
        <v>0</v>
      </c>
      <c r="DD36" s="754">
        <f t="shared" si="76"/>
        <v>0</v>
      </c>
      <c r="DE36" s="753"/>
      <c r="DF36" s="753"/>
      <c r="DG36" s="753"/>
      <c r="DH36" s="753"/>
      <c r="DI36" s="816">
        <f t="shared" si="77"/>
        <v>0</v>
      </c>
      <c r="DJ36" s="748">
        <f t="shared" si="18"/>
        <v>0</v>
      </c>
      <c r="DK36" s="748">
        <f t="shared" si="78"/>
        <v>0</v>
      </c>
      <c r="DL36" s="748">
        <f t="shared" si="79"/>
        <v>0</v>
      </c>
      <c r="DM36" s="748">
        <f t="shared" si="80"/>
        <v>0</v>
      </c>
      <c r="DN36" s="748">
        <f t="shared" si="81"/>
        <v>0</v>
      </c>
      <c r="DQ36" s="753"/>
      <c r="DR36" s="753"/>
      <c r="DS36" s="753"/>
      <c r="DT36" s="753"/>
      <c r="DU36" s="753"/>
      <c r="DV36" s="753"/>
      <c r="DW36" s="748">
        <f t="shared" si="19"/>
        <v>0</v>
      </c>
      <c r="DX36" s="748">
        <f t="shared" si="20"/>
        <v>0</v>
      </c>
      <c r="DY36" s="748">
        <f t="shared" si="21"/>
        <v>0</v>
      </c>
      <c r="DZ36" s="748">
        <f t="shared" si="22"/>
        <v>0</v>
      </c>
      <c r="EA36" s="748">
        <f t="shared" si="23"/>
        <v>0</v>
      </c>
    </row>
    <row r="37" spans="1:256">
      <c r="B37" s="815"/>
      <c r="C37" s="752"/>
      <c r="D37" s="753"/>
      <c r="E37" s="753"/>
      <c r="F37" s="1610" t="str">
        <f t="shared" si="24"/>
        <v/>
      </c>
      <c r="G37" s="753"/>
      <c r="H37" s="753"/>
      <c r="I37" s="753"/>
      <c r="J37" s="753"/>
      <c r="K37" s="753"/>
      <c r="L37" s="746">
        <f t="shared" si="25"/>
        <v>0</v>
      </c>
      <c r="M37" s="746">
        <f t="shared" si="26"/>
        <v>0</v>
      </c>
      <c r="N37" s="746">
        <f t="shared" si="27"/>
        <v>0</v>
      </c>
      <c r="O37" s="746">
        <f t="shared" si="28"/>
        <v>0</v>
      </c>
      <c r="P37" s="747"/>
      <c r="Q37" s="747"/>
      <c r="R37" s="747"/>
      <c r="S37" s="747"/>
      <c r="T37" s="747"/>
      <c r="V37" s="748">
        <f t="shared" si="3"/>
        <v>0</v>
      </c>
      <c r="W37" s="748">
        <f t="shared" si="4"/>
        <v>0</v>
      </c>
      <c r="X37" s="748">
        <f t="shared" si="5"/>
        <v>0</v>
      </c>
      <c r="Y37" s="748">
        <f t="shared" si="6"/>
        <v>0</v>
      </c>
      <c r="Z37" s="748">
        <f t="shared" si="7"/>
        <v>0</v>
      </c>
      <c r="AA37" s="708">
        <f t="shared" si="29"/>
        <v>0</v>
      </c>
      <c r="AB37" s="748">
        <f t="shared" si="8"/>
        <v>0</v>
      </c>
      <c r="AC37" s="748">
        <f t="shared" si="9"/>
        <v>0</v>
      </c>
      <c r="AD37" s="748">
        <f t="shared" si="10"/>
        <v>0</v>
      </c>
      <c r="AE37" s="748">
        <f t="shared" si="11"/>
        <v>0</v>
      </c>
      <c r="AF37" s="748">
        <f t="shared" si="12"/>
        <v>0</v>
      </c>
      <c r="AH37" s="748">
        <f t="shared" si="30"/>
        <v>0</v>
      </c>
      <c r="AI37" s="748">
        <f t="shared" si="31"/>
        <v>0</v>
      </c>
      <c r="AJ37" s="748">
        <f t="shared" si="32"/>
        <v>0</v>
      </c>
      <c r="AK37" s="748">
        <f t="shared" si="33"/>
        <v>0</v>
      </c>
      <c r="AL37" s="748">
        <f t="shared" si="34"/>
        <v>0</v>
      </c>
      <c r="AN37" s="753"/>
      <c r="AO37" s="747"/>
      <c r="AP37" s="747"/>
      <c r="AQ37" s="747"/>
      <c r="AR37" s="747"/>
      <c r="AS37" s="747"/>
      <c r="AU37" s="748">
        <f t="shared" si="13"/>
        <v>0</v>
      </c>
      <c r="AV37" s="748">
        <f t="shared" si="14"/>
        <v>0</v>
      </c>
      <c r="AW37" s="748">
        <f t="shared" si="15"/>
        <v>0</v>
      </c>
      <c r="AX37" s="748">
        <f t="shared" si="16"/>
        <v>0</v>
      </c>
      <c r="AY37" s="748">
        <f t="shared" si="17"/>
        <v>0</v>
      </c>
      <c r="BA37" s="748">
        <f t="shared" si="35"/>
        <v>0</v>
      </c>
      <c r="BB37" s="748">
        <f t="shared" si="36"/>
        <v>0</v>
      </c>
      <c r="BC37" s="748">
        <f t="shared" si="37"/>
        <v>0</v>
      </c>
      <c r="BD37" s="748">
        <f t="shared" si="38"/>
        <v>0</v>
      </c>
      <c r="BE37" s="748">
        <f t="shared" si="39"/>
        <v>0</v>
      </c>
      <c r="BG37" s="748">
        <f t="shared" si="40"/>
        <v>0</v>
      </c>
      <c r="BH37" s="748">
        <f t="shared" si="41"/>
        <v>0</v>
      </c>
      <c r="BI37" s="748">
        <f t="shared" si="42"/>
        <v>0</v>
      </c>
      <c r="BJ37" s="748">
        <f t="shared" si="43"/>
        <v>0</v>
      </c>
      <c r="BK37" s="748">
        <f t="shared" si="44"/>
        <v>0</v>
      </c>
      <c r="BM37" s="748">
        <f t="shared" si="45"/>
        <v>0</v>
      </c>
      <c r="BN37" s="748">
        <f t="shared" si="46"/>
        <v>0</v>
      </c>
      <c r="BO37" s="748">
        <f t="shared" si="47"/>
        <v>0</v>
      </c>
      <c r="BP37" s="748">
        <f t="shared" si="48"/>
        <v>0</v>
      </c>
      <c r="BQ37" s="748">
        <f t="shared" si="49"/>
        <v>0</v>
      </c>
      <c r="BS37" s="748">
        <f t="shared" si="50"/>
        <v>0</v>
      </c>
      <c r="BT37" s="748">
        <f t="shared" si="51"/>
        <v>0</v>
      </c>
      <c r="BU37" s="748">
        <f t="shared" si="52"/>
        <v>0</v>
      </c>
      <c r="BV37" s="748">
        <f t="shared" si="53"/>
        <v>0</v>
      </c>
      <c r="BW37" s="748">
        <f t="shared" si="54"/>
        <v>0</v>
      </c>
      <c r="BY37" s="748">
        <f t="shared" si="55"/>
        <v>0</v>
      </c>
      <c r="BZ37" s="748">
        <f t="shared" si="56"/>
        <v>0</v>
      </c>
      <c r="CA37" s="748">
        <f t="shared" si="57"/>
        <v>0</v>
      </c>
      <c r="CB37" s="748">
        <f t="shared" si="58"/>
        <v>0</v>
      </c>
      <c r="CC37" s="748">
        <f t="shared" si="59"/>
        <v>0</v>
      </c>
      <c r="CE37" s="754">
        <f t="shared" si="60"/>
        <v>0</v>
      </c>
      <c r="CF37" s="754">
        <f t="shared" si="60"/>
        <v>0</v>
      </c>
      <c r="CG37" s="750"/>
      <c r="CH37" s="753"/>
      <c r="CI37" s="753"/>
      <c r="CJ37" s="753"/>
      <c r="CK37" s="753"/>
      <c r="CL37" s="748">
        <f t="shared" si="61"/>
        <v>0</v>
      </c>
      <c r="CM37" s="748">
        <f t="shared" si="62"/>
        <v>0</v>
      </c>
      <c r="CN37" s="748">
        <f t="shared" si="63"/>
        <v>0</v>
      </c>
      <c r="CO37" s="748">
        <f t="shared" si="64"/>
        <v>0</v>
      </c>
      <c r="CP37" s="748">
        <f t="shared" si="65"/>
        <v>0</v>
      </c>
      <c r="CQ37" s="728"/>
      <c r="CR37" s="748">
        <f t="shared" si="66"/>
        <v>0</v>
      </c>
      <c r="CS37" s="748">
        <f t="shared" si="67"/>
        <v>0</v>
      </c>
      <c r="CT37" s="748">
        <f t="shared" si="68"/>
        <v>0</v>
      </c>
      <c r="CU37" s="748">
        <f t="shared" si="69"/>
        <v>0</v>
      </c>
      <c r="CV37" s="748">
        <f t="shared" si="70"/>
        <v>0</v>
      </c>
      <c r="CW37" s="728"/>
      <c r="CX37" s="748">
        <f t="shared" si="71"/>
        <v>0</v>
      </c>
      <c r="CY37" s="748">
        <f t="shared" si="72"/>
        <v>0</v>
      </c>
      <c r="CZ37" s="748">
        <f t="shared" si="73"/>
        <v>0</v>
      </c>
      <c r="DA37" s="748">
        <f t="shared" si="74"/>
        <v>0</v>
      </c>
      <c r="DB37" s="748">
        <f t="shared" si="75"/>
        <v>0</v>
      </c>
      <c r="DD37" s="754">
        <f t="shared" si="76"/>
        <v>0</v>
      </c>
      <c r="DE37" s="753"/>
      <c r="DF37" s="753"/>
      <c r="DG37" s="753"/>
      <c r="DH37" s="753"/>
      <c r="DI37" s="816">
        <f t="shared" si="77"/>
        <v>0</v>
      </c>
      <c r="DJ37" s="748">
        <f t="shared" si="18"/>
        <v>0</v>
      </c>
      <c r="DK37" s="748">
        <f t="shared" si="78"/>
        <v>0</v>
      </c>
      <c r="DL37" s="748">
        <f t="shared" si="79"/>
        <v>0</v>
      </c>
      <c r="DM37" s="748">
        <f t="shared" si="80"/>
        <v>0</v>
      </c>
      <c r="DN37" s="748">
        <f t="shared" si="81"/>
        <v>0</v>
      </c>
      <c r="DQ37" s="753"/>
      <c r="DR37" s="753"/>
      <c r="DS37" s="753"/>
      <c r="DT37" s="753"/>
      <c r="DU37" s="753"/>
      <c r="DV37" s="753"/>
      <c r="DW37" s="748">
        <f t="shared" si="19"/>
        <v>0</v>
      </c>
      <c r="DX37" s="748">
        <f t="shared" si="20"/>
        <v>0</v>
      </c>
      <c r="DY37" s="748">
        <f t="shared" si="21"/>
        <v>0</v>
      </c>
      <c r="DZ37" s="748">
        <f t="shared" si="22"/>
        <v>0</v>
      </c>
      <c r="EA37" s="748">
        <f t="shared" si="23"/>
        <v>0</v>
      </c>
    </row>
    <row r="38" spans="1:256">
      <c r="B38" s="815"/>
      <c r="C38" s="752"/>
      <c r="D38" s="753"/>
      <c r="E38" s="753"/>
      <c r="F38" s="1610" t="str">
        <f t="shared" si="24"/>
        <v/>
      </c>
      <c r="G38" s="753"/>
      <c r="H38" s="753"/>
      <c r="I38" s="753"/>
      <c r="J38" s="753"/>
      <c r="K38" s="753"/>
      <c r="L38" s="746">
        <f t="shared" si="25"/>
        <v>0</v>
      </c>
      <c r="M38" s="746">
        <f t="shared" si="26"/>
        <v>0</v>
      </c>
      <c r="N38" s="746">
        <f t="shared" si="27"/>
        <v>0</v>
      </c>
      <c r="O38" s="746">
        <f t="shared" si="28"/>
        <v>0</v>
      </c>
      <c r="P38" s="747"/>
      <c r="Q38" s="747"/>
      <c r="R38" s="747"/>
      <c r="S38" s="747"/>
      <c r="T38" s="747"/>
      <c r="V38" s="748">
        <f t="shared" si="3"/>
        <v>0</v>
      </c>
      <c r="W38" s="748">
        <f t="shared" si="4"/>
        <v>0</v>
      </c>
      <c r="X38" s="748">
        <f t="shared" si="5"/>
        <v>0</v>
      </c>
      <c r="Y38" s="748">
        <f t="shared" si="6"/>
        <v>0</v>
      </c>
      <c r="Z38" s="748">
        <f t="shared" si="7"/>
        <v>0</v>
      </c>
      <c r="AA38" s="708">
        <f t="shared" si="29"/>
        <v>0</v>
      </c>
      <c r="AB38" s="748">
        <f t="shared" si="8"/>
        <v>0</v>
      </c>
      <c r="AC38" s="748">
        <f t="shared" si="9"/>
        <v>0</v>
      </c>
      <c r="AD38" s="748">
        <f t="shared" si="10"/>
        <v>0</v>
      </c>
      <c r="AE38" s="748">
        <f t="shared" si="11"/>
        <v>0</v>
      </c>
      <c r="AF38" s="748">
        <f t="shared" si="12"/>
        <v>0</v>
      </c>
      <c r="AH38" s="748">
        <f t="shared" si="30"/>
        <v>0</v>
      </c>
      <c r="AI38" s="748">
        <f t="shared" si="31"/>
        <v>0</v>
      </c>
      <c r="AJ38" s="748">
        <f t="shared" si="32"/>
        <v>0</v>
      </c>
      <c r="AK38" s="748">
        <f t="shared" si="33"/>
        <v>0</v>
      </c>
      <c r="AL38" s="748">
        <f t="shared" si="34"/>
        <v>0</v>
      </c>
      <c r="AN38" s="753"/>
      <c r="AO38" s="747"/>
      <c r="AP38" s="747"/>
      <c r="AQ38" s="747"/>
      <c r="AR38" s="747"/>
      <c r="AS38" s="747"/>
      <c r="AU38" s="748">
        <f t="shared" si="13"/>
        <v>0</v>
      </c>
      <c r="AV38" s="748">
        <f t="shared" si="14"/>
        <v>0</v>
      </c>
      <c r="AW38" s="748">
        <f t="shared" si="15"/>
        <v>0</v>
      </c>
      <c r="AX38" s="748">
        <f t="shared" si="16"/>
        <v>0</v>
      </c>
      <c r="AY38" s="748">
        <f t="shared" si="17"/>
        <v>0</v>
      </c>
      <c r="BA38" s="748">
        <f t="shared" si="35"/>
        <v>0</v>
      </c>
      <c r="BB38" s="748">
        <f t="shared" si="36"/>
        <v>0</v>
      </c>
      <c r="BC38" s="748">
        <f t="shared" si="37"/>
        <v>0</v>
      </c>
      <c r="BD38" s="748">
        <f t="shared" si="38"/>
        <v>0</v>
      </c>
      <c r="BE38" s="748">
        <f t="shared" si="39"/>
        <v>0</v>
      </c>
      <c r="BG38" s="748">
        <f t="shared" si="40"/>
        <v>0</v>
      </c>
      <c r="BH38" s="748">
        <f t="shared" si="41"/>
        <v>0</v>
      </c>
      <c r="BI38" s="748">
        <f t="shared" si="42"/>
        <v>0</v>
      </c>
      <c r="BJ38" s="748">
        <f t="shared" si="43"/>
        <v>0</v>
      </c>
      <c r="BK38" s="748">
        <f t="shared" si="44"/>
        <v>0</v>
      </c>
      <c r="BM38" s="748">
        <f t="shared" si="45"/>
        <v>0</v>
      </c>
      <c r="BN38" s="748">
        <f t="shared" si="46"/>
        <v>0</v>
      </c>
      <c r="BO38" s="748">
        <f t="shared" si="47"/>
        <v>0</v>
      </c>
      <c r="BP38" s="748">
        <f t="shared" si="48"/>
        <v>0</v>
      </c>
      <c r="BQ38" s="748">
        <f t="shared" si="49"/>
        <v>0</v>
      </c>
      <c r="BS38" s="748">
        <f t="shared" si="50"/>
        <v>0</v>
      </c>
      <c r="BT38" s="748">
        <f t="shared" si="51"/>
        <v>0</v>
      </c>
      <c r="BU38" s="748">
        <f t="shared" si="52"/>
        <v>0</v>
      </c>
      <c r="BV38" s="748">
        <f t="shared" si="53"/>
        <v>0</v>
      </c>
      <c r="BW38" s="748">
        <f t="shared" si="54"/>
        <v>0</v>
      </c>
      <c r="BY38" s="748">
        <f t="shared" si="55"/>
        <v>0</v>
      </c>
      <c r="BZ38" s="748">
        <f t="shared" si="56"/>
        <v>0</v>
      </c>
      <c r="CA38" s="748">
        <f t="shared" si="57"/>
        <v>0</v>
      </c>
      <c r="CB38" s="748">
        <f t="shared" si="58"/>
        <v>0</v>
      </c>
      <c r="CC38" s="748">
        <f t="shared" si="59"/>
        <v>0</v>
      </c>
      <c r="CE38" s="754">
        <f t="shared" si="60"/>
        <v>0</v>
      </c>
      <c r="CF38" s="754">
        <f t="shared" si="60"/>
        <v>0</v>
      </c>
      <c r="CG38" s="750"/>
      <c r="CH38" s="753"/>
      <c r="CI38" s="753"/>
      <c r="CJ38" s="753"/>
      <c r="CK38" s="753"/>
      <c r="CL38" s="748">
        <f t="shared" si="61"/>
        <v>0</v>
      </c>
      <c r="CM38" s="748">
        <f t="shared" si="62"/>
        <v>0</v>
      </c>
      <c r="CN38" s="748">
        <f t="shared" si="63"/>
        <v>0</v>
      </c>
      <c r="CO38" s="748">
        <f t="shared" si="64"/>
        <v>0</v>
      </c>
      <c r="CP38" s="748">
        <f t="shared" si="65"/>
        <v>0</v>
      </c>
      <c r="CQ38" s="728"/>
      <c r="CR38" s="748">
        <f t="shared" si="66"/>
        <v>0</v>
      </c>
      <c r="CS38" s="748">
        <f t="shared" si="67"/>
        <v>0</v>
      </c>
      <c r="CT38" s="748">
        <f t="shared" si="68"/>
        <v>0</v>
      </c>
      <c r="CU38" s="748">
        <f t="shared" si="69"/>
        <v>0</v>
      </c>
      <c r="CV38" s="748">
        <f t="shared" si="70"/>
        <v>0</v>
      </c>
      <c r="CW38" s="728"/>
      <c r="CX38" s="748">
        <f t="shared" si="71"/>
        <v>0</v>
      </c>
      <c r="CY38" s="748">
        <f t="shared" si="72"/>
        <v>0</v>
      </c>
      <c r="CZ38" s="748">
        <f t="shared" si="73"/>
        <v>0</v>
      </c>
      <c r="DA38" s="748">
        <f t="shared" si="74"/>
        <v>0</v>
      </c>
      <c r="DB38" s="748">
        <f t="shared" si="75"/>
        <v>0</v>
      </c>
      <c r="DD38" s="754">
        <f t="shared" si="76"/>
        <v>0</v>
      </c>
      <c r="DE38" s="753"/>
      <c r="DF38" s="753"/>
      <c r="DG38" s="753"/>
      <c r="DH38" s="753"/>
      <c r="DI38" s="816">
        <f t="shared" si="77"/>
        <v>0</v>
      </c>
      <c r="DJ38" s="748">
        <f t="shared" si="18"/>
        <v>0</v>
      </c>
      <c r="DK38" s="748">
        <f t="shared" si="78"/>
        <v>0</v>
      </c>
      <c r="DL38" s="748">
        <f t="shared" si="79"/>
        <v>0</v>
      </c>
      <c r="DM38" s="748">
        <f t="shared" si="80"/>
        <v>0</v>
      </c>
      <c r="DN38" s="748">
        <f t="shared" si="81"/>
        <v>0</v>
      </c>
      <c r="DQ38" s="753"/>
      <c r="DR38" s="753"/>
      <c r="DS38" s="753"/>
      <c r="DT38" s="753"/>
      <c r="DU38" s="753"/>
      <c r="DV38" s="753"/>
      <c r="DW38" s="748">
        <f t="shared" si="19"/>
        <v>0</v>
      </c>
      <c r="DX38" s="748">
        <f t="shared" si="20"/>
        <v>0</v>
      </c>
      <c r="DY38" s="748">
        <f t="shared" si="21"/>
        <v>0</v>
      </c>
      <c r="DZ38" s="748">
        <f t="shared" si="22"/>
        <v>0</v>
      </c>
      <c r="EA38" s="748">
        <f t="shared" si="23"/>
        <v>0</v>
      </c>
    </row>
    <row r="39" spans="1:256">
      <c r="B39" s="817"/>
      <c r="C39" s="755"/>
      <c r="D39" s="756"/>
      <c r="E39" s="756"/>
      <c r="F39" s="1611" t="str">
        <f t="shared" si="24"/>
        <v/>
      </c>
      <c r="G39" s="756"/>
      <c r="H39" s="756"/>
      <c r="I39" s="756"/>
      <c r="J39" s="756"/>
      <c r="K39" s="753"/>
      <c r="L39" s="757">
        <f t="shared" si="25"/>
        <v>0</v>
      </c>
      <c r="M39" s="757">
        <f t="shared" si="26"/>
        <v>0</v>
      </c>
      <c r="N39" s="757">
        <f t="shared" si="27"/>
        <v>0</v>
      </c>
      <c r="O39" s="757">
        <f t="shared" si="28"/>
        <v>0</v>
      </c>
      <c r="P39" s="758"/>
      <c r="Q39" s="758"/>
      <c r="R39" s="758"/>
      <c r="S39" s="758"/>
      <c r="T39" s="758"/>
      <c r="U39" s="759"/>
      <c r="V39" s="760">
        <f t="shared" si="3"/>
        <v>0</v>
      </c>
      <c r="W39" s="760">
        <f t="shared" si="4"/>
        <v>0</v>
      </c>
      <c r="X39" s="760">
        <f t="shared" si="5"/>
        <v>0</v>
      </c>
      <c r="Y39" s="760">
        <f t="shared" si="6"/>
        <v>0</v>
      </c>
      <c r="Z39" s="760">
        <f t="shared" si="7"/>
        <v>0</v>
      </c>
      <c r="AA39" s="708">
        <f t="shared" si="29"/>
        <v>0</v>
      </c>
      <c r="AB39" s="760">
        <f t="shared" si="8"/>
        <v>0</v>
      </c>
      <c r="AC39" s="760">
        <f t="shared" si="9"/>
        <v>0</v>
      </c>
      <c r="AD39" s="760">
        <f t="shared" si="10"/>
        <v>0</v>
      </c>
      <c r="AE39" s="760">
        <f t="shared" si="11"/>
        <v>0</v>
      </c>
      <c r="AF39" s="760">
        <f t="shared" si="12"/>
        <v>0</v>
      </c>
      <c r="AH39" s="760">
        <f t="shared" si="30"/>
        <v>0</v>
      </c>
      <c r="AI39" s="760">
        <f t="shared" si="31"/>
        <v>0</v>
      </c>
      <c r="AJ39" s="760">
        <f t="shared" si="32"/>
        <v>0</v>
      </c>
      <c r="AK39" s="760">
        <f t="shared" si="33"/>
        <v>0</v>
      </c>
      <c r="AL39" s="760">
        <f t="shared" si="34"/>
        <v>0</v>
      </c>
      <c r="AN39" s="756"/>
      <c r="AO39" s="758"/>
      <c r="AP39" s="747"/>
      <c r="AQ39" s="747"/>
      <c r="AR39" s="747"/>
      <c r="AS39" s="747"/>
      <c r="AU39" s="760">
        <f t="shared" si="13"/>
        <v>0</v>
      </c>
      <c r="AV39" s="748">
        <f t="shared" si="14"/>
        <v>0</v>
      </c>
      <c r="AW39" s="748">
        <f t="shared" si="15"/>
        <v>0</v>
      </c>
      <c r="AX39" s="748">
        <f t="shared" si="16"/>
        <v>0</v>
      </c>
      <c r="AY39" s="748">
        <f t="shared" si="17"/>
        <v>0</v>
      </c>
      <c r="BA39" s="760">
        <f t="shared" si="35"/>
        <v>0</v>
      </c>
      <c r="BB39" s="748">
        <f t="shared" si="36"/>
        <v>0</v>
      </c>
      <c r="BC39" s="748">
        <f t="shared" si="37"/>
        <v>0</v>
      </c>
      <c r="BD39" s="748">
        <f t="shared" si="38"/>
        <v>0</v>
      </c>
      <c r="BE39" s="748">
        <f t="shared" si="39"/>
        <v>0</v>
      </c>
      <c r="BG39" s="760">
        <f t="shared" si="40"/>
        <v>0</v>
      </c>
      <c r="BH39" s="748">
        <f t="shared" si="41"/>
        <v>0</v>
      </c>
      <c r="BI39" s="748">
        <f t="shared" si="42"/>
        <v>0</v>
      </c>
      <c r="BJ39" s="748">
        <f t="shared" si="43"/>
        <v>0</v>
      </c>
      <c r="BK39" s="748">
        <f t="shared" si="44"/>
        <v>0</v>
      </c>
      <c r="BM39" s="760">
        <f t="shared" si="45"/>
        <v>0</v>
      </c>
      <c r="BN39" s="748">
        <f t="shared" si="46"/>
        <v>0</v>
      </c>
      <c r="BO39" s="748">
        <f t="shared" si="47"/>
        <v>0</v>
      </c>
      <c r="BP39" s="748">
        <f t="shared" si="48"/>
        <v>0</v>
      </c>
      <c r="BQ39" s="748">
        <f t="shared" si="49"/>
        <v>0</v>
      </c>
      <c r="BS39" s="760">
        <f t="shared" si="50"/>
        <v>0</v>
      </c>
      <c r="BT39" s="748">
        <f t="shared" si="51"/>
        <v>0</v>
      </c>
      <c r="BU39" s="748">
        <f t="shared" si="52"/>
        <v>0</v>
      </c>
      <c r="BV39" s="748">
        <f t="shared" si="53"/>
        <v>0</v>
      </c>
      <c r="BW39" s="748">
        <f t="shared" si="54"/>
        <v>0</v>
      </c>
      <c r="BY39" s="760">
        <f t="shared" si="55"/>
        <v>0</v>
      </c>
      <c r="BZ39" s="748">
        <f t="shared" si="56"/>
        <v>0</v>
      </c>
      <c r="CA39" s="748">
        <f t="shared" si="57"/>
        <v>0</v>
      </c>
      <c r="CB39" s="748">
        <f t="shared" si="58"/>
        <v>0</v>
      </c>
      <c r="CC39" s="748">
        <f t="shared" si="59"/>
        <v>0</v>
      </c>
      <c r="CE39" s="761">
        <f t="shared" si="60"/>
        <v>0</v>
      </c>
      <c r="CF39" s="761">
        <f t="shared" si="60"/>
        <v>0</v>
      </c>
      <c r="CG39" s="762"/>
      <c r="CH39" s="756"/>
      <c r="CI39" s="756"/>
      <c r="CJ39" s="756"/>
      <c r="CK39" s="756"/>
      <c r="CL39" s="760">
        <f t="shared" si="61"/>
        <v>0</v>
      </c>
      <c r="CM39" s="760">
        <f t="shared" si="62"/>
        <v>0</v>
      </c>
      <c r="CN39" s="760">
        <f t="shared" si="63"/>
        <v>0</v>
      </c>
      <c r="CO39" s="760">
        <f t="shared" si="64"/>
        <v>0</v>
      </c>
      <c r="CP39" s="760">
        <f t="shared" si="65"/>
        <v>0</v>
      </c>
      <c r="CQ39" s="728"/>
      <c r="CR39" s="760">
        <f t="shared" si="66"/>
        <v>0</v>
      </c>
      <c r="CS39" s="760">
        <f t="shared" si="67"/>
        <v>0</v>
      </c>
      <c r="CT39" s="760">
        <f t="shared" si="68"/>
        <v>0</v>
      </c>
      <c r="CU39" s="760">
        <f t="shared" si="69"/>
        <v>0</v>
      </c>
      <c r="CV39" s="760">
        <f t="shared" si="70"/>
        <v>0</v>
      </c>
      <c r="CW39" s="728"/>
      <c r="CX39" s="760">
        <f t="shared" si="71"/>
        <v>0</v>
      </c>
      <c r="CY39" s="760">
        <f t="shared" si="72"/>
        <v>0</v>
      </c>
      <c r="CZ39" s="760">
        <f t="shared" si="73"/>
        <v>0</v>
      </c>
      <c r="DA39" s="760">
        <f t="shared" si="74"/>
        <v>0</v>
      </c>
      <c r="DB39" s="760">
        <f t="shared" si="75"/>
        <v>0</v>
      </c>
      <c r="DD39" s="761">
        <f t="shared" si="76"/>
        <v>0</v>
      </c>
      <c r="DE39" s="756"/>
      <c r="DF39" s="756"/>
      <c r="DG39" s="756"/>
      <c r="DH39" s="756"/>
      <c r="DI39" s="818">
        <f t="shared" si="77"/>
        <v>0</v>
      </c>
      <c r="DJ39" s="760">
        <f t="shared" si="18"/>
        <v>0</v>
      </c>
      <c r="DK39" s="760">
        <f t="shared" si="78"/>
        <v>0</v>
      </c>
      <c r="DL39" s="760">
        <f t="shared" si="79"/>
        <v>0</v>
      </c>
      <c r="DM39" s="760">
        <f t="shared" si="80"/>
        <v>0</v>
      </c>
      <c r="DN39" s="760">
        <f t="shared" si="81"/>
        <v>0</v>
      </c>
      <c r="DQ39" s="756"/>
      <c r="DR39" s="756"/>
      <c r="DS39" s="756"/>
      <c r="DT39" s="756"/>
      <c r="DU39" s="756"/>
      <c r="DV39" s="756"/>
      <c r="DW39" s="760">
        <f t="shared" si="19"/>
        <v>0</v>
      </c>
      <c r="DX39" s="760">
        <f t="shared" si="20"/>
        <v>0</v>
      </c>
      <c r="DY39" s="760">
        <f t="shared" si="21"/>
        <v>0</v>
      </c>
      <c r="DZ39" s="760">
        <f t="shared" si="22"/>
        <v>0</v>
      </c>
      <c r="EA39" s="760">
        <f t="shared" si="23"/>
        <v>0</v>
      </c>
    </row>
    <row r="40" spans="1:256">
      <c r="B40" s="448"/>
      <c r="C40" s="448"/>
      <c r="D40" s="448"/>
      <c r="E40" s="448"/>
      <c r="F40" s="763"/>
      <c r="G40" s="763"/>
      <c r="H40" s="763"/>
      <c r="I40" s="763"/>
      <c r="J40" s="763"/>
      <c r="K40" s="764"/>
      <c r="L40" s="728"/>
      <c r="M40" s="728"/>
      <c r="N40" s="728"/>
      <c r="O40" s="819" t="str">
        <f>IF(Info="FR",O41,O42)</f>
        <v>Effectif -Prévu au budget :</v>
      </c>
      <c r="P40" s="820">
        <f>SUMIF($D$15:$D$39,"yes",P$15:P$39)</f>
        <v>0</v>
      </c>
      <c r="Q40" s="820">
        <f>SUMIF($D$15:$D$39,"yes",Q$15:Q$39)</f>
        <v>0</v>
      </c>
      <c r="R40" s="820">
        <f>SUMIF($D$15:$D$39,"yes",R$15:R$39)</f>
        <v>0</v>
      </c>
      <c r="S40" s="820">
        <f>SUMIF($D$15:$D$39,"yes",S$15:S$39)</f>
        <v>0</v>
      </c>
      <c r="T40" s="820">
        <f>SUMIF($D$15:$D$39,"yes",T$15:T$39)</f>
        <v>0</v>
      </c>
      <c r="V40" s="759"/>
      <c r="W40" s="759"/>
      <c r="X40" s="759"/>
      <c r="Y40" s="759"/>
      <c r="Z40" s="759"/>
      <c r="AC40" s="449"/>
      <c r="AD40" s="449"/>
      <c r="AE40" s="449"/>
      <c r="AF40" s="449"/>
      <c r="AI40" s="777"/>
      <c r="AJ40" s="777"/>
      <c r="AK40" s="777"/>
      <c r="AL40" s="777"/>
      <c r="AP40" s="449"/>
      <c r="AQ40" s="449"/>
      <c r="AR40" s="449"/>
      <c r="AS40" s="449"/>
      <c r="AV40" s="449"/>
      <c r="AW40" s="449"/>
      <c r="AX40" s="449"/>
      <c r="AY40" s="449"/>
      <c r="BB40" s="449"/>
      <c r="BC40" s="449"/>
      <c r="BD40" s="449"/>
      <c r="BE40" s="449"/>
      <c r="BH40" s="449"/>
      <c r="BI40" s="449"/>
      <c r="BJ40" s="449"/>
      <c r="BK40" s="449"/>
      <c r="BN40" s="449"/>
      <c r="BO40" s="449"/>
      <c r="BP40" s="449"/>
      <c r="BQ40" s="449"/>
      <c r="BT40" s="449"/>
      <c r="BU40" s="449"/>
      <c r="BV40" s="449"/>
      <c r="BW40" s="449"/>
      <c r="BZ40" s="449"/>
      <c r="CA40" s="449"/>
      <c r="CB40" s="449"/>
      <c r="CC40" s="449"/>
      <c r="DU40" s="728"/>
      <c r="DV40" s="819" t="str">
        <f>IF(Info="FR",DV41,DV42)</f>
        <v>Prévu au budget :</v>
      </c>
      <c r="DW40" s="821">
        <f>SUMIF($DS$15:$DS$39,"yes",DW$15:DW$39)</f>
        <v>5000</v>
      </c>
      <c r="DX40" s="821">
        <f>SUMIF($DS$15:$DS$39,"yes",DX$15:DX$39)</f>
        <v>5050</v>
      </c>
      <c r="DY40" s="821">
        <f>SUMIF($DS$15:$DS$39,"yes",DY$15:DY$39)</f>
        <v>5100.5</v>
      </c>
      <c r="DZ40" s="821">
        <f>SUMIF($DS$15:$DS$39,"yes",DZ$15:DZ$39)</f>
        <v>5151.5050000000001</v>
      </c>
      <c r="EA40" s="821">
        <f>SUMIF($DS$15:$DS$39,"yes",EA$15:EA$39)</f>
        <v>5203.0200500000001</v>
      </c>
    </row>
    <row r="41" spans="1:256">
      <c r="B41" s="448"/>
      <c r="C41" s="448"/>
      <c r="D41" s="448"/>
      <c r="E41" s="448"/>
      <c r="F41" s="763"/>
      <c r="G41" s="763"/>
      <c r="H41" s="763"/>
      <c r="I41" s="763"/>
      <c r="J41" s="763"/>
      <c r="K41" s="728"/>
      <c r="L41" s="728"/>
      <c r="M41" s="728"/>
      <c r="N41" s="728"/>
      <c r="O41" s="801" t="s">
        <v>473</v>
      </c>
      <c r="Q41" s="777"/>
      <c r="R41" s="777"/>
      <c r="S41" s="777"/>
      <c r="T41" s="777"/>
      <c r="V41" s="759"/>
      <c r="W41" s="759"/>
      <c r="X41" s="759"/>
      <c r="Y41" s="759"/>
      <c r="Z41" s="759"/>
      <c r="AC41" s="777"/>
      <c r="AD41" s="777"/>
      <c r="AE41" s="777"/>
      <c r="AF41" s="777"/>
      <c r="AI41" s="777"/>
      <c r="AJ41" s="777"/>
      <c r="AK41" s="777"/>
      <c r="AL41" s="777"/>
      <c r="AP41" s="777"/>
      <c r="AQ41" s="777"/>
      <c r="AR41" s="777"/>
      <c r="AS41" s="777"/>
      <c r="AV41" s="777"/>
      <c r="AW41" s="777"/>
      <c r="AX41" s="777"/>
      <c r="AY41" s="777"/>
      <c r="BB41" s="777"/>
      <c r="BC41" s="777"/>
      <c r="BD41" s="777"/>
      <c r="BE41" s="777"/>
      <c r="BH41" s="777"/>
      <c r="BI41" s="777"/>
      <c r="BJ41" s="777"/>
      <c r="BK41" s="777"/>
      <c r="BN41" s="777"/>
      <c r="BO41" s="777"/>
      <c r="BP41" s="777"/>
      <c r="BQ41" s="777"/>
      <c r="BT41" s="777"/>
      <c r="BU41" s="777"/>
      <c r="BV41" s="777"/>
      <c r="BW41" s="777"/>
      <c r="BZ41" s="777"/>
      <c r="CA41" s="777"/>
      <c r="CB41" s="777"/>
      <c r="CC41" s="777"/>
      <c r="DU41" s="728"/>
      <c r="DV41" s="801" t="s">
        <v>432</v>
      </c>
      <c r="DX41" s="777"/>
      <c r="DY41" s="777"/>
      <c r="DZ41" s="777"/>
      <c r="EA41" s="777"/>
    </row>
    <row r="42" spans="1:256">
      <c r="B42" s="448"/>
      <c r="C42" s="448"/>
      <c r="D42" s="448"/>
      <c r="E42" s="448">
        <v>1</v>
      </c>
      <c r="F42" s="763">
        <f>+E42+1</f>
        <v>2</v>
      </c>
      <c r="G42" s="448">
        <f t="shared" ref="G42:BR42" si="82">+F42+1</f>
        <v>3</v>
      </c>
      <c r="H42" s="448">
        <f t="shared" si="82"/>
        <v>4</v>
      </c>
      <c r="I42" s="448">
        <f t="shared" si="82"/>
        <v>5</v>
      </c>
      <c r="J42" s="448">
        <f t="shared" si="82"/>
        <v>6</v>
      </c>
      <c r="K42" s="448">
        <f t="shared" si="82"/>
        <v>7</v>
      </c>
      <c r="L42" s="448">
        <f t="shared" si="82"/>
        <v>8</v>
      </c>
      <c r="M42" s="448">
        <f t="shared" si="82"/>
        <v>9</v>
      </c>
      <c r="N42" s="448">
        <f t="shared" si="82"/>
        <v>10</v>
      </c>
      <c r="O42" s="448">
        <f t="shared" si="82"/>
        <v>11</v>
      </c>
      <c r="P42" s="448">
        <f t="shared" si="82"/>
        <v>12</v>
      </c>
      <c r="Q42" s="448">
        <f t="shared" si="82"/>
        <v>13</v>
      </c>
      <c r="R42" s="448">
        <f t="shared" si="82"/>
        <v>14</v>
      </c>
      <c r="S42" s="448">
        <f t="shared" si="82"/>
        <v>15</v>
      </c>
      <c r="T42" s="448">
        <f t="shared" si="82"/>
        <v>16</v>
      </c>
      <c r="U42" s="448">
        <f t="shared" si="82"/>
        <v>17</v>
      </c>
      <c r="V42" s="448">
        <f t="shared" si="82"/>
        <v>18</v>
      </c>
      <c r="W42" s="448">
        <f t="shared" si="82"/>
        <v>19</v>
      </c>
      <c r="X42" s="448">
        <f t="shared" si="82"/>
        <v>20</v>
      </c>
      <c r="Y42" s="448">
        <f t="shared" si="82"/>
        <v>21</v>
      </c>
      <c r="Z42" s="448">
        <f t="shared" si="82"/>
        <v>22</v>
      </c>
      <c r="AA42" s="448">
        <f t="shared" si="82"/>
        <v>23</v>
      </c>
      <c r="AB42" s="448">
        <f t="shared" si="82"/>
        <v>24</v>
      </c>
      <c r="AC42" s="448">
        <f t="shared" si="82"/>
        <v>25</v>
      </c>
      <c r="AD42" s="448">
        <f t="shared" si="82"/>
        <v>26</v>
      </c>
      <c r="AE42" s="448">
        <f t="shared" si="82"/>
        <v>27</v>
      </c>
      <c r="AF42" s="448">
        <f t="shared" si="82"/>
        <v>28</v>
      </c>
      <c r="AG42" s="448">
        <f t="shared" si="82"/>
        <v>29</v>
      </c>
      <c r="AH42" s="448">
        <f t="shared" si="82"/>
        <v>30</v>
      </c>
      <c r="AI42" s="448">
        <f t="shared" si="82"/>
        <v>31</v>
      </c>
      <c r="AJ42" s="448">
        <f t="shared" si="82"/>
        <v>32</v>
      </c>
      <c r="AK42" s="448">
        <f t="shared" si="82"/>
        <v>33</v>
      </c>
      <c r="AL42" s="448">
        <f t="shared" si="82"/>
        <v>34</v>
      </c>
      <c r="AM42" s="448">
        <f t="shared" si="82"/>
        <v>35</v>
      </c>
      <c r="AN42" s="448">
        <f t="shared" si="82"/>
        <v>36</v>
      </c>
      <c r="AO42" s="448">
        <f t="shared" si="82"/>
        <v>37</v>
      </c>
      <c r="AP42" s="448">
        <f t="shared" si="82"/>
        <v>38</v>
      </c>
      <c r="AQ42" s="448">
        <f t="shared" si="82"/>
        <v>39</v>
      </c>
      <c r="AR42" s="448">
        <f t="shared" si="82"/>
        <v>40</v>
      </c>
      <c r="AS42" s="448">
        <f t="shared" si="82"/>
        <v>41</v>
      </c>
      <c r="AT42" s="448">
        <f t="shared" si="82"/>
        <v>42</v>
      </c>
      <c r="AU42" s="448">
        <f t="shared" si="82"/>
        <v>43</v>
      </c>
      <c r="AV42" s="448">
        <f t="shared" si="82"/>
        <v>44</v>
      </c>
      <c r="AW42" s="448">
        <f t="shared" si="82"/>
        <v>45</v>
      </c>
      <c r="AX42" s="448">
        <f t="shared" si="82"/>
        <v>46</v>
      </c>
      <c r="AY42" s="448">
        <f t="shared" si="82"/>
        <v>47</v>
      </c>
      <c r="AZ42" s="448">
        <f t="shared" si="82"/>
        <v>48</v>
      </c>
      <c r="BA42" s="448">
        <f t="shared" si="82"/>
        <v>49</v>
      </c>
      <c r="BB42" s="448">
        <f t="shared" si="82"/>
        <v>50</v>
      </c>
      <c r="BC42" s="448">
        <f t="shared" si="82"/>
        <v>51</v>
      </c>
      <c r="BD42" s="448">
        <f t="shared" si="82"/>
        <v>52</v>
      </c>
      <c r="BE42" s="448">
        <f t="shared" si="82"/>
        <v>53</v>
      </c>
      <c r="BF42" s="448">
        <f t="shared" si="82"/>
        <v>54</v>
      </c>
      <c r="BG42" s="448">
        <f t="shared" si="82"/>
        <v>55</v>
      </c>
      <c r="BH42" s="448">
        <f t="shared" si="82"/>
        <v>56</v>
      </c>
      <c r="BI42" s="448">
        <f t="shared" si="82"/>
        <v>57</v>
      </c>
      <c r="BJ42" s="448">
        <f t="shared" si="82"/>
        <v>58</v>
      </c>
      <c r="BK42" s="448">
        <f t="shared" si="82"/>
        <v>59</v>
      </c>
      <c r="BL42" s="448">
        <f t="shared" si="82"/>
        <v>60</v>
      </c>
      <c r="BM42" s="448">
        <f t="shared" si="82"/>
        <v>61</v>
      </c>
      <c r="BN42" s="448">
        <f t="shared" si="82"/>
        <v>62</v>
      </c>
      <c r="BO42" s="448">
        <f t="shared" si="82"/>
        <v>63</v>
      </c>
      <c r="BP42" s="448">
        <f t="shared" si="82"/>
        <v>64</v>
      </c>
      <c r="BQ42" s="448">
        <f t="shared" si="82"/>
        <v>65</v>
      </c>
      <c r="BR42" s="448">
        <f t="shared" si="82"/>
        <v>66</v>
      </c>
      <c r="BS42" s="448">
        <f t="shared" ref="BS42:EA42" si="83">+BR42+1</f>
        <v>67</v>
      </c>
      <c r="BT42" s="448">
        <f t="shared" si="83"/>
        <v>68</v>
      </c>
      <c r="BU42" s="448">
        <f t="shared" si="83"/>
        <v>69</v>
      </c>
      <c r="BV42" s="448">
        <f t="shared" si="83"/>
        <v>70</v>
      </c>
      <c r="BW42" s="448">
        <f t="shared" si="83"/>
        <v>71</v>
      </c>
      <c r="BX42" s="448">
        <f t="shared" si="83"/>
        <v>72</v>
      </c>
      <c r="BY42" s="448">
        <f t="shared" si="83"/>
        <v>73</v>
      </c>
      <c r="BZ42" s="448">
        <f t="shared" si="83"/>
        <v>74</v>
      </c>
      <c r="CA42" s="448">
        <f t="shared" si="83"/>
        <v>75</v>
      </c>
      <c r="CB42" s="448">
        <f t="shared" si="83"/>
        <v>76</v>
      </c>
      <c r="CC42" s="448">
        <f t="shared" si="83"/>
        <v>77</v>
      </c>
      <c r="CD42" s="448">
        <f t="shared" si="83"/>
        <v>78</v>
      </c>
      <c r="CE42" s="448">
        <f t="shared" si="83"/>
        <v>79</v>
      </c>
      <c r="CF42" s="448">
        <f t="shared" si="83"/>
        <v>80</v>
      </c>
      <c r="CG42" s="448">
        <f t="shared" si="83"/>
        <v>81</v>
      </c>
      <c r="CH42" s="448">
        <f t="shared" si="83"/>
        <v>82</v>
      </c>
      <c r="CI42" s="448">
        <f t="shared" si="83"/>
        <v>83</v>
      </c>
      <c r="CJ42" s="448">
        <f t="shared" si="83"/>
        <v>84</v>
      </c>
      <c r="CK42" s="448">
        <f t="shared" si="83"/>
        <v>85</v>
      </c>
      <c r="CL42" s="448">
        <f t="shared" si="83"/>
        <v>86</v>
      </c>
      <c r="CM42" s="448">
        <f t="shared" si="83"/>
        <v>87</v>
      </c>
      <c r="CN42" s="448">
        <f t="shared" si="83"/>
        <v>88</v>
      </c>
      <c r="CO42" s="448">
        <f t="shared" si="83"/>
        <v>89</v>
      </c>
      <c r="CP42" s="448">
        <f t="shared" si="83"/>
        <v>90</v>
      </c>
      <c r="CQ42" s="448">
        <f t="shared" si="83"/>
        <v>91</v>
      </c>
      <c r="CR42" s="448">
        <f t="shared" si="83"/>
        <v>92</v>
      </c>
      <c r="CS42" s="448">
        <f t="shared" si="83"/>
        <v>93</v>
      </c>
      <c r="CT42" s="448">
        <f t="shared" si="83"/>
        <v>94</v>
      </c>
      <c r="CU42" s="448">
        <f t="shared" si="83"/>
        <v>95</v>
      </c>
      <c r="CV42" s="448">
        <f t="shared" si="83"/>
        <v>96</v>
      </c>
      <c r="CW42" s="448">
        <f t="shared" si="83"/>
        <v>97</v>
      </c>
      <c r="CX42" s="448">
        <f t="shared" si="83"/>
        <v>98</v>
      </c>
      <c r="CY42" s="448">
        <f t="shared" si="83"/>
        <v>99</v>
      </c>
      <c r="CZ42" s="448">
        <f t="shared" si="83"/>
        <v>100</v>
      </c>
      <c r="DA42" s="448">
        <f t="shared" si="83"/>
        <v>101</v>
      </c>
      <c r="DB42" s="448">
        <f t="shared" si="83"/>
        <v>102</v>
      </c>
      <c r="DC42" s="448">
        <f t="shared" si="83"/>
        <v>103</v>
      </c>
      <c r="DD42" s="448">
        <f t="shared" si="83"/>
        <v>104</v>
      </c>
      <c r="DE42" s="448">
        <f t="shared" si="83"/>
        <v>105</v>
      </c>
      <c r="DF42" s="448">
        <f t="shared" si="83"/>
        <v>106</v>
      </c>
      <c r="DG42" s="448">
        <f t="shared" si="83"/>
        <v>107</v>
      </c>
      <c r="DH42" s="448">
        <f t="shared" si="83"/>
        <v>108</v>
      </c>
      <c r="DI42" s="448">
        <f t="shared" si="83"/>
        <v>109</v>
      </c>
      <c r="DJ42" s="448">
        <f t="shared" si="83"/>
        <v>110</v>
      </c>
      <c r="DK42" s="448">
        <f t="shared" si="83"/>
        <v>111</v>
      </c>
      <c r="DL42" s="448">
        <f t="shared" si="83"/>
        <v>112</v>
      </c>
      <c r="DM42" s="448">
        <f t="shared" si="83"/>
        <v>113</v>
      </c>
      <c r="DN42" s="448">
        <f t="shared" si="83"/>
        <v>114</v>
      </c>
      <c r="DO42" s="448">
        <f t="shared" si="83"/>
        <v>115</v>
      </c>
      <c r="DP42" s="448">
        <f t="shared" si="83"/>
        <v>116</v>
      </c>
      <c r="DQ42" s="448">
        <f t="shared" si="83"/>
        <v>117</v>
      </c>
      <c r="DR42" s="448">
        <f t="shared" si="83"/>
        <v>118</v>
      </c>
      <c r="DS42" s="448">
        <f t="shared" si="83"/>
        <v>119</v>
      </c>
      <c r="DT42" s="448">
        <f t="shared" si="83"/>
        <v>120</v>
      </c>
      <c r="DU42" s="448">
        <f t="shared" si="83"/>
        <v>121</v>
      </c>
      <c r="DV42" s="448">
        <f t="shared" si="83"/>
        <v>122</v>
      </c>
      <c r="DW42" s="448">
        <f t="shared" si="83"/>
        <v>123</v>
      </c>
      <c r="DX42" s="448">
        <f t="shared" si="83"/>
        <v>124</v>
      </c>
      <c r="DY42" s="448">
        <f t="shared" si="83"/>
        <v>125</v>
      </c>
      <c r="DZ42" s="448">
        <f t="shared" si="83"/>
        <v>126</v>
      </c>
      <c r="EA42" s="448">
        <f t="shared" si="83"/>
        <v>127</v>
      </c>
      <c r="EB42" s="448"/>
      <c r="EC42" s="448"/>
    </row>
    <row r="43" spans="1:256">
      <c r="A43" s="765"/>
      <c r="B43" s="765"/>
      <c r="C43" s="765"/>
      <c r="D43" s="765"/>
      <c r="E43" s="765"/>
      <c r="F43" s="766"/>
      <c r="G43" s="766"/>
      <c r="H43" s="766"/>
      <c r="I43" s="766"/>
      <c r="J43" s="766"/>
      <c r="K43" s="765"/>
      <c r="L43" s="765"/>
      <c r="M43" s="765"/>
      <c r="N43" s="765"/>
      <c r="O43" s="765"/>
      <c r="P43" s="767" t="str">
        <f xml:space="preserve"> "Effectif"&amp;"/"&amp;Headcount</f>
        <v>Effectif/Inscrits</v>
      </c>
      <c r="Q43" s="765"/>
      <c r="R43" s="765"/>
      <c r="S43" s="765"/>
      <c r="T43" s="765"/>
      <c r="U43" s="765"/>
      <c r="V43" s="767" t="str">
        <f>+V12</f>
        <v>Salaires et Charges</v>
      </c>
      <c r="W43" s="765"/>
      <c r="X43" s="765"/>
      <c r="Y43" s="765"/>
      <c r="Z43" s="765"/>
      <c r="AA43" s="765"/>
      <c r="AB43" s="767" t="str">
        <f>+AB12</f>
        <v>Interim</v>
      </c>
      <c r="AC43" s="765"/>
      <c r="AD43" s="765"/>
      <c r="AE43" s="765"/>
      <c r="AF43" s="765"/>
      <c r="AG43" s="765"/>
      <c r="AH43" s="767" t="str">
        <f>+AH12</f>
        <v>Frais d'embauche</v>
      </c>
      <c r="AI43" s="765"/>
      <c r="AJ43" s="765"/>
      <c r="AK43" s="765"/>
      <c r="AL43" s="765"/>
      <c r="AM43" s="765"/>
      <c r="AN43" s="768"/>
      <c r="AO43" s="767" t="str">
        <f>+AO12</f>
        <v>Prov. pour Primes</v>
      </c>
      <c r="AP43" s="765"/>
      <c r="AQ43" s="765"/>
      <c r="AR43" s="765"/>
      <c r="AS43" s="765"/>
      <c r="AT43" s="765"/>
      <c r="AU43" s="767" t="str">
        <f>+AU12</f>
        <v>Formation</v>
      </c>
      <c r="AV43" s="765"/>
      <c r="AW43" s="765"/>
      <c r="AX43" s="765"/>
      <c r="AY43" s="765"/>
      <c r="AZ43" s="765"/>
      <c r="BA43" s="767" t="str">
        <f>+BA12</f>
        <v>Cantine</v>
      </c>
      <c r="BB43" s="765"/>
      <c r="BC43" s="765"/>
      <c r="BD43" s="765"/>
      <c r="BE43" s="765"/>
      <c r="BF43" s="765"/>
      <c r="BG43" s="767" t="str">
        <f>+BG12</f>
        <v>Divers Frais de Perso.</v>
      </c>
      <c r="BH43" s="765"/>
      <c r="BI43" s="765"/>
      <c r="BJ43" s="765"/>
      <c r="BK43" s="765"/>
      <c r="BL43" s="765"/>
      <c r="BM43" s="767" t="str">
        <f>+BM12</f>
        <v>Autres</v>
      </c>
      <c r="BN43" s="765"/>
      <c r="BO43" s="765"/>
      <c r="BP43" s="765"/>
      <c r="BQ43" s="765"/>
      <c r="BR43" s="765"/>
      <c r="BS43" s="767" t="str">
        <f>+BS12</f>
        <v>Autres</v>
      </c>
      <c r="BT43" s="765"/>
      <c r="BU43" s="765"/>
      <c r="BV43" s="765"/>
      <c r="BW43" s="765"/>
      <c r="BX43" s="765"/>
      <c r="BY43" s="767" t="str">
        <f>+BY12</f>
        <v>Autres</v>
      </c>
      <c r="BZ43" s="765"/>
      <c r="CA43" s="765"/>
      <c r="CB43" s="765"/>
      <c r="CC43" s="765"/>
      <c r="CD43" s="765"/>
      <c r="CE43" s="765"/>
      <c r="CF43" s="765"/>
      <c r="CG43" s="768"/>
      <c r="CH43" s="765"/>
      <c r="CI43" s="765"/>
      <c r="CJ43" s="765"/>
      <c r="CK43" s="765"/>
      <c r="CL43" s="767" t="str">
        <f>+CL12</f>
        <v>Loyer de Voitures</v>
      </c>
      <c r="CM43" s="765"/>
      <c r="CN43" s="765"/>
      <c r="CO43" s="765"/>
      <c r="CP43" s="765"/>
      <c r="CQ43" s="765"/>
      <c r="CR43" s="767" t="str">
        <f>+CR12</f>
        <v>Gasoline</v>
      </c>
      <c r="CS43" s="765"/>
      <c r="CT43" s="765"/>
      <c r="CU43" s="765"/>
      <c r="CV43" s="765"/>
      <c r="CW43" s="765"/>
      <c r="CX43" s="767" t="str">
        <f>+CX12</f>
        <v>Cout telecom portable</v>
      </c>
      <c r="CY43" s="765"/>
      <c r="CZ43" s="765"/>
      <c r="DA43" s="765"/>
      <c r="DB43" s="765"/>
      <c r="DC43" s="765"/>
      <c r="DD43" s="765"/>
      <c r="DE43" s="765"/>
      <c r="DF43" s="765"/>
      <c r="DG43" s="765"/>
      <c r="DH43" s="765"/>
      <c r="DI43" s="765"/>
      <c r="DJ43" s="767" t="str">
        <f>+DJ12</f>
        <v>Frais de Deplacement</v>
      </c>
      <c r="DK43" s="765"/>
      <c r="DL43" s="765"/>
      <c r="DM43" s="765"/>
      <c r="DN43" s="765"/>
      <c r="DO43" s="765"/>
      <c r="DP43" s="765"/>
      <c r="DQ43" s="765"/>
      <c r="DR43" s="765"/>
      <c r="DS43" s="765"/>
      <c r="DT43" s="765"/>
      <c r="DU43" s="765"/>
      <c r="DV43" s="765"/>
      <c r="DW43" s="765"/>
      <c r="DX43" s="765"/>
      <c r="DY43" s="765"/>
      <c r="DZ43" s="765"/>
      <c r="EA43" s="765"/>
      <c r="EB43" s="765"/>
      <c r="EC43" s="765"/>
      <c r="ED43" s="765"/>
      <c r="EE43" s="765"/>
      <c r="EF43" s="765"/>
      <c r="EG43" s="765"/>
      <c r="EH43" s="765"/>
      <c r="EI43" s="765"/>
      <c r="EJ43" s="765"/>
      <c r="EK43" s="765"/>
      <c r="EL43" s="765"/>
      <c r="EM43" s="765"/>
      <c r="EN43" s="765"/>
      <c r="EO43" s="765"/>
      <c r="EP43" s="765"/>
      <c r="EQ43" s="765"/>
      <c r="ER43" s="765"/>
      <c r="ES43" s="765"/>
      <c r="ET43" s="765"/>
      <c r="EU43" s="765"/>
      <c r="EV43" s="765"/>
      <c r="EW43" s="765"/>
      <c r="EX43" s="765"/>
      <c r="EY43" s="765"/>
      <c r="EZ43" s="765"/>
      <c r="FA43" s="765"/>
      <c r="FB43" s="765"/>
      <c r="FC43" s="765"/>
      <c r="FD43" s="765"/>
      <c r="FE43" s="765"/>
      <c r="FF43" s="765"/>
      <c r="FG43" s="765"/>
      <c r="FH43" s="765"/>
      <c r="FI43" s="765"/>
      <c r="FJ43" s="765"/>
      <c r="FK43" s="765"/>
      <c r="FL43" s="765"/>
      <c r="FM43" s="765"/>
      <c r="FN43" s="765"/>
      <c r="FO43" s="765"/>
      <c r="FP43" s="765"/>
      <c r="FQ43" s="765"/>
      <c r="FR43" s="765"/>
      <c r="FS43" s="765"/>
      <c r="FT43" s="765"/>
      <c r="FU43" s="765"/>
      <c r="FV43" s="765"/>
      <c r="FW43" s="765"/>
      <c r="FX43" s="765"/>
      <c r="FY43" s="765"/>
      <c r="FZ43" s="765"/>
      <c r="GA43" s="765"/>
      <c r="GB43" s="765"/>
      <c r="GC43" s="765"/>
      <c r="GD43" s="765"/>
      <c r="GE43" s="765"/>
      <c r="GF43" s="765"/>
      <c r="GG43" s="765"/>
      <c r="GH43" s="765"/>
      <c r="GI43" s="765"/>
      <c r="GJ43" s="765"/>
      <c r="GK43" s="765"/>
      <c r="GL43" s="765"/>
      <c r="GM43" s="765"/>
      <c r="GN43" s="765"/>
      <c r="GO43" s="765"/>
      <c r="GP43" s="765"/>
      <c r="GQ43" s="765"/>
      <c r="GR43" s="765"/>
      <c r="GS43" s="765"/>
      <c r="GT43" s="765"/>
      <c r="GU43" s="765"/>
      <c r="GV43" s="765"/>
      <c r="GW43" s="765"/>
      <c r="GX43" s="765"/>
      <c r="GY43" s="765"/>
      <c r="GZ43" s="765"/>
      <c r="HA43" s="765"/>
      <c r="HB43" s="765"/>
      <c r="HC43" s="765"/>
      <c r="HD43" s="765"/>
      <c r="HE43" s="765"/>
      <c r="HF43" s="765"/>
      <c r="HG43" s="765"/>
      <c r="HH43" s="765"/>
      <c r="HI43" s="765"/>
      <c r="HJ43" s="765"/>
      <c r="HK43" s="765"/>
      <c r="HL43" s="765"/>
      <c r="HM43" s="765"/>
      <c r="HN43" s="765"/>
      <c r="HO43" s="765"/>
      <c r="HP43" s="765"/>
      <c r="HQ43" s="765"/>
      <c r="HR43" s="765"/>
      <c r="HS43" s="765"/>
      <c r="HT43" s="765"/>
      <c r="HU43" s="765"/>
      <c r="HV43" s="765"/>
      <c r="HW43" s="765"/>
      <c r="HX43" s="765"/>
      <c r="HY43" s="765"/>
      <c r="HZ43" s="765"/>
      <c r="IA43" s="765"/>
      <c r="IB43" s="765"/>
      <c r="IC43" s="765"/>
      <c r="ID43" s="765"/>
      <c r="IE43" s="765"/>
      <c r="IF43" s="765"/>
      <c r="IG43" s="765"/>
      <c r="IH43" s="765"/>
      <c r="II43" s="765"/>
      <c r="IJ43" s="765"/>
      <c r="IK43" s="765"/>
      <c r="IL43" s="765"/>
      <c r="IM43" s="765"/>
      <c r="IN43" s="765"/>
      <c r="IO43" s="765"/>
      <c r="IP43" s="765"/>
      <c r="IQ43" s="765"/>
      <c r="IR43" s="765"/>
      <c r="IS43" s="765"/>
      <c r="IT43" s="765"/>
      <c r="IU43" s="765"/>
      <c r="IV43" s="765"/>
    </row>
    <row r="44" spans="1:256">
      <c r="E44" s="822" t="s">
        <v>164</v>
      </c>
      <c r="F44" s="712" t="str">
        <f t="shared" ref="F44:F65" si="84">+E44&amp;Headcount</f>
        <v>ACTIVITEInscrits</v>
      </c>
      <c r="G44" s="712"/>
      <c r="H44" s="712"/>
      <c r="I44" s="712"/>
      <c r="P44" s="823">
        <f t="shared" ref="P44:T65" si="85">SUMIF($F$15:$F$39,$F44,P$15:P$39)</f>
        <v>0</v>
      </c>
      <c r="Q44" s="823">
        <f t="shared" si="85"/>
        <v>0</v>
      </c>
      <c r="R44" s="823">
        <f t="shared" si="85"/>
        <v>0</v>
      </c>
      <c r="S44" s="823">
        <f t="shared" si="85"/>
        <v>0</v>
      </c>
      <c r="T44" s="823">
        <f t="shared" si="85"/>
        <v>0</v>
      </c>
      <c r="V44" s="769">
        <f t="shared" ref="V44:Z65" si="86">SUMIF($E$15:$E$39,$E44,V$15:V$39)</f>
        <v>0</v>
      </c>
      <c r="W44" s="769">
        <f t="shared" si="86"/>
        <v>0</v>
      </c>
      <c r="X44" s="769">
        <f t="shared" si="86"/>
        <v>0</v>
      </c>
      <c r="Y44" s="769">
        <f t="shared" si="86"/>
        <v>0</v>
      </c>
      <c r="Z44" s="769">
        <f t="shared" si="86"/>
        <v>0</v>
      </c>
      <c r="AB44" s="769">
        <f t="shared" ref="AB44:AF65" si="87">SUMIF($E$15:$E$39,$E44,AB$15:AB$39)</f>
        <v>0</v>
      </c>
      <c r="AC44" s="769">
        <f t="shared" si="87"/>
        <v>0</v>
      </c>
      <c r="AD44" s="769">
        <f t="shared" si="87"/>
        <v>0</v>
      </c>
      <c r="AE44" s="769">
        <f t="shared" si="87"/>
        <v>0</v>
      </c>
      <c r="AF44" s="769">
        <f t="shared" si="87"/>
        <v>0</v>
      </c>
      <c r="AH44" s="769">
        <f t="shared" ref="AH44:AL65" si="88">SUMIF($E$15:$E$39,$E44,AH$15:AH$39)</f>
        <v>0</v>
      </c>
      <c r="AI44" s="769">
        <f t="shared" si="88"/>
        <v>0</v>
      </c>
      <c r="AJ44" s="769">
        <f t="shared" si="88"/>
        <v>0</v>
      </c>
      <c r="AK44" s="769">
        <f t="shared" si="88"/>
        <v>0</v>
      </c>
      <c r="AL44" s="769">
        <f t="shared" si="88"/>
        <v>0</v>
      </c>
      <c r="AN44" s="768"/>
      <c r="AO44" s="769">
        <f t="shared" ref="AO44:AS65" si="89">SUMIF($E$15:$E$39,$E44,AO$15:AO$39)</f>
        <v>0</v>
      </c>
      <c r="AP44" s="769">
        <f t="shared" si="89"/>
        <v>0</v>
      </c>
      <c r="AQ44" s="769">
        <f t="shared" si="89"/>
        <v>0</v>
      </c>
      <c r="AR44" s="769">
        <f t="shared" si="89"/>
        <v>0</v>
      </c>
      <c r="AS44" s="769">
        <f t="shared" si="89"/>
        <v>0</v>
      </c>
      <c r="AU44" s="769">
        <f t="shared" ref="AU44:AY65" si="90">SUMIF($E$15:$E$39,$E44,AU$15:AU$39)</f>
        <v>0</v>
      </c>
      <c r="AV44" s="769">
        <f t="shared" si="90"/>
        <v>0</v>
      </c>
      <c r="AW44" s="769">
        <f t="shared" si="90"/>
        <v>0</v>
      </c>
      <c r="AX44" s="769">
        <f t="shared" si="90"/>
        <v>0</v>
      </c>
      <c r="AY44" s="769">
        <f t="shared" si="90"/>
        <v>0</v>
      </c>
      <c r="BA44" s="769">
        <f t="shared" ref="BA44:BE65" si="91">SUMIF($E$15:$E$39,$E44,BA$15:BA$39)</f>
        <v>0</v>
      </c>
      <c r="BB44" s="769">
        <f t="shared" si="91"/>
        <v>0</v>
      </c>
      <c r="BC44" s="769">
        <f t="shared" si="91"/>
        <v>0</v>
      </c>
      <c r="BD44" s="769">
        <f t="shared" si="91"/>
        <v>0</v>
      </c>
      <c r="BE44" s="769">
        <f t="shared" si="91"/>
        <v>0</v>
      </c>
      <c r="BG44" s="769">
        <f t="shared" ref="BG44:BK65" si="92">SUMIF($E$15:$E$39,$E44,BG$15:BG$39)</f>
        <v>0</v>
      </c>
      <c r="BH44" s="769">
        <f t="shared" si="92"/>
        <v>0</v>
      </c>
      <c r="BI44" s="769">
        <f t="shared" si="92"/>
        <v>0</v>
      </c>
      <c r="BJ44" s="769">
        <f t="shared" si="92"/>
        <v>0</v>
      </c>
      <c r="BK44" s="769">
        <f t="shared" si="92"/>
        <v>0</v>
      </c>
      <c r="BM44" s="769">
        <f t="shared" ref="BM44:BQ65" si="93">SUMIF($E$15:$E$39,$E44,BM$15:BM$39)</f>
        <v>0</v>
      </c>
      <c r="BN44" s="769">
        <f t="shared" si="93"/>
        <v>0</v>
      </c>
      <c r="BO44" s="769">
        <f t="shared" si="93"/>
        <v>0</v>
      </c>
      <c r="BP44" s="769">
        <f t="shared" si="93"/>
        <v>0</v>
      </c>
      <c r="BQ44" s="769">
        <f t="shared" si="93"/>
        <v>0</v>
      </c>
      <c r="BS44" s="769">
        <f t="shared" ref="BS44:BW65" si="94">SUMIF($E$15:$E$39,$E44,BS$15:BS$39)</f>
        <v>0</v>
      </c>
      <c r="BT44" s="769">
        <f t="shared" si="94"/>
        <v>0</v>
      </c>
      <c r="BU44" s="769">
        <f t="shared" si="94"/>
        <v>0</v>
      </c>
      <c r="BV44" s="769">
        <f t="shared" si="94"/>
        <v>0</v>
      </c>
      <c r="BW44" s="769">
        <f t="shared" si="94"/>
        <v>0</v>
      </c>
      <c r="BY44" s="769">
        <f t="shared" ref="BY44:CC65" si="95">SUMIF($E$15:$E$39,$E44,BY$15:BY$39)</f>
        <v>0</v>
      </c>
      <c r="BZ44" s="769">
        <f t="shared" si="95"/>
        <v>0</v>
      </c>
      <c r="CA44" s="769">
        <f t="shared" si="95"/>
        <v>0</v>
      </c>
      <c r="CB44" s="769">
        <f t="shared" si="95"/>
        <v>0</v>
      </c>
      <c r="CC44" s="769">
        <f t="shared" si="95"/>
        <v>0</v>
      </c>
      <c r="CL44" s="769">
        <f t="shared" ref="CL44:CP65" si="96">SUMIF($E$15:$E$39,$E44,CL$15:CL$39)</f>
        <v>0</v>
      </c>
      <c r="CM44" s="769">
        <f t="shared" si="96"/>
        <v>0</v>
      </c>
      <c r="CN44" s="769">
        <f t="shared" si="96"/>
        <v>0</v>
      </c>
      <c r="CO44" s="769">
        <f t="shared" si="96"/>
        <v>0</v>
      </c>
      <c r="CP44" s="769">
        <f t="shared" si="96"/>
        <v>0</v>
      </c>
      <c r="CR44" s="769">
        <f t="shared" ref="CR44:CV65" si="97">SUMIF($E$15:$E$39,$E44,CR$15:CR$39)</f>
        <v>0</v>
      </c>
      <c r="CS44" s="769">
        <f t="shared" si="97"/>
        <v>0</v>
      </c>
      <c r="CT44" s="769">
        <f t="shared" si="97"/>
        <v>0</v>
      </c>
      <c r="CU44" s="769">
        <f t="shared" si="97"/>
        <v>0</v>
      </c>
      <c r="CV44" s="769">
        <f t="shared" si="97"/>
        <v>0</v>
      </c>
      <c r="CX44" s="769">
        <f t="shared" ref="CX44:DB65" si="98">SUMIF($E$15:$E$39,$E44,CX$15:CX$39)</f>
        <v>0</v>
      </c>
      <c r="CY44" s="769">
        <f t="shared" si="98"/>
        <v>0</v>
      </c>
      <c r="CZ44" s="769">
        <f t="shared" si="98"/>
        <v>0</v>
      </c>
      <c r="DA44" s="769">
        <f t="shared" si="98"/>
        <v>0</v>
      </c>
      <c r="DB44" s="769">
        <f t="shared" si="98"/>
        <v>0</v>
      </c>
      <c r="DJ44" s="769">
        <f t="shared" ref="DJ44:DN65" si="99">SUMIF($E$15:$E$39,$E44,DJ$15:DJ$39)</f>
        <v>0</v>
      </c>
      <c r="DK44" s="769">
        <f t="shared" si="99"/>
        <v>0</v>
      </c>
      <c r="DL44" s="769">
        <f t="shared" si="99"/>
        <v>0</v>
      </c>
      <c r="DM44" s="769">
        <f t="shared" si="99"/>
        <v>0</v>
      </c>
      <c r="DN44" s="769">
        <f t="shared" si="99"/>
        <v>0</v>
      </c>
    </row>
    <row r="45" spans="1:256">
      <c r="E45" s="822" t="s">
        <v>923</v>
      </c>
      <c r="F45" s="712" t="str">
        <f t="shared" si="84"/>
        <v>FVLInscrits</v>
      </c>
      <c r="G45" s="712"/>
      <c r="H45" s="712"/>
      <c r="I45" s="712"/>
      <c r="P45" s="823">
        <f t="shared" si="85"/>
        <v>0</v>
      </c>
      <c r="Q45" s="823">
        <f t="shared" si="85"/>
        <v>0</v>
      </c>
      <c r="R45" s="823">
        <f t="shared" si="85"/>
        <v>0</v>
      </c>
      <c r="S45" s="823">
        <f t="shared" si="85"/>
        <v>0</v>
      </c>
      <c r="T45" s="823">
        <f t="shared" si="85"/>
        <v>0</v>
      </c>
      <c r="V45" s="769">
        <f t="shared" si="86"/>
        <v>0</v>
      </c>
      <c r="W45" s="769">
        <f t="shared" si="86"/>
        <v>0</v>
      </c>
      <c r="X45" s="769">
        <f t="shared" si="86"/>
        <v>0</v>
      </c>
      <c r="Y45" s="769">
        <f t="shared" si="86"/>
        <v>0</v>
      </c>
      <c r="Z45" s="769">
        <f t="shared" si="86"/>
        <v>0</v>
      </c>
      <c r="AB45" s="769">
        <f t="shared" si="87"/>
        <v>0</v>
      </c>
      <c r="AC45" s="769">
        <f t="shared" si="87"/>
        <v>0</v>
      </c>
      <c r="AD45" s="769">
        <f t="shared" si="87"/>
        <v>0</v>
      </c>
      <c r="AE45" s="769">
        <f t="shared" si="87"/>
        <v>0</v>
      </c>
      <c r="AF45" s="769">
        <f t="shared" si="87"/>
        <v>0</v>
      </c>
      <c r="AH45" s="769">
        <f t="shared" si="88"/>
        <v>0</v>
      </c>
      <c r="AI45" s="769">
        <f t="shared" si="88"/>
        <v>0</v>
      </c>
      <c r="AJ45" s="769">
        <f t="shared" si="88"/>
        <v>0</v>
      </c>
      <c r="AK45" s="769">
        <f t="shared" si="88"/>
        <v>0</v>
      </c>
      <c r="AL45" s="769">
        <f t="shared" si="88"/>
        <v>0</v>
      </c>
      <c r="AN45" s="768"/>
      <c r="AO45" s="769">
        <f t="shared" si="89"/>
        <v>0</v>
      </c>
      <c r="AP45" s="769">
        <f t="shared" si="89"/>
        <v>0</v>
      </c>
      <c r="AQ45" s="769">
        <f t="shared" si="89"/>
        <v>0</v>
      </c>
      <c r="AR45" s="769">
        <f t="shared" si="89"/>
        <v>0</v>
      </c>
      <c r="AS45" s="769">
        <f t="shared" si="89"/>
        <v>0</v>
      </c>
      <c r="AU45" s="769">
        <f t="shared" si="90"/>
        <v>0</v>
      </c>
      <c r="AV45" s="769">
        <f t="shared" si="90"/>
        <v>0</v>
      </c>
      <c r="AW45" s="769">
        <f t="shared" si="90"/>
        <v>0</v>
      </c>
      <c r="AX45" s="769">
        <f t="shared" si="90"/>
        <v>0</v>
      </c>
      <c r="AY45" s="769">
        <f t="shared" si="90"/>
        <v>0</v>
      </c>
      <c r="BA45" s="769">
        <f t="shared" si="91"/>
        <v>0</v>
      </c>
      <c r="BB45" s="769">
        <f t="shared" si="91"/>
        <v>0</v>
      </c>
      <c r="BC45" s="769">
        <f t="shared" si="91"/>
        <v>0</v>
      </c>
      <c r="BD45" s="769">
        <f t="shared" si="91"/>
        <v>0</v>
      </c>
      <c r="BE45" s="769">
        <f t="shared" si="91"/>
        <v>0</v>
      </c>
      <c r="BG45" s="769">
        <f t="shared" si="92"/>
        <v>0</v>
      </c>
      <c r="BH45" s="769">
        <f t="shared" si="92"/>
        <v>0</v>
      </c>
      <c r="BI45" s="769">
        <f t="shared" si="92"/>
        <v>0</v>
      </c>
      <c r="BJ45" s="769">
        <f t="shared" si="92"/>
        <v>0</v>
      </c>
      <c r="BK45" s="769">
        <f t="shared" si="92"/>
        <v>0</v>
      </c>
      <c r="BM45" s="769">
        <f t="shared" si="93"/>
        <v>0</v>
      </c>
      <c r="BN45" s="769">
        <f t="shared" si="93"/>
        <v>0</v>
      </c>
      <c r="BO45" s="769">
        <f t="shared" si="93"/>
        <v>0</v>
      </c>
      <c r="BP45" s="769">
        <f t="shared" si="93"/>
        <v>0</v>
      </c>
      <c r="BQ45" s="769">
        <f t="shared" si="93"/>
        <v>0</v>
      </c>
      <c r="BS45" s="769">
        <f t="shared" si="94"/>
        <v>0</v>
      </c>
      <c r="BT45" s="769">
        <f t="shared" si="94"/>
        <v>0</v>
      </c>
      <c r="BU45" s="769">
        <f t="shared" si="94"/>
        <v>0</v>
      </c>
      <c r="BV45" s="769">
        <f t="shared" si="94"/>
        <v>0</v>
      </c>
      <c r="BW45" s="769">
        <f t="shared" si="94"/>
        <v>0</v>
      </c>
      <c r="BY45" s="769">
        <f t="shared" si="95"/>
        <v>0</v>
      </c>
      <c r="BZ45" s="769">
        <f t="shared" si="95"/>
        <v>0</v>
      </c>
      <c r="CA45" s="769">
        <f t="shared" si="95"/>
        <v>0</v>
      </c>
      <c r="CB45" s="769">
        <f t="shared" si="95"/>
        <v>0</v>
      </c>
      <c r="CC45" s="769">
        <f t="shared" si="95"/>
        <v>0</v>
      </c>
      <c r="CL45" s="769">
        <f t="shared" si="96"/>
        <v>0</v>
      </c>
      <c r="CM45" s="769">
        <f t="shared" si="96"/>
        <v>0</v>
      </c>
      <c r="CN45" s="769">
        <f t="shared" si="96"/>
        <v>0</v>
      </c>
      <c r="CO45" s="769">
        <f t="shared" si="96"/>
        <v>0</v>
      </c>
      <c r="CP45" s="769">
        <f t="shared" si="96"/>
        <v>0</v>
      </c>
      <c r="CR45" s="769">
        <f t="shared" si="97"/>
        <v>0</v>
      </c>
      <c r="CS45" s="769">
        <f t="shared" si="97"/>
        <v>0</v>
      </c>
      <c r="CT45" s="769">
        <f t="shared" si="97"/>
        <v>0</v>
      </c>
      <c r="CU45" s="769">
        <f t="shared" si="97"/>
        <v>0</v>
      </c>
      <c r="CV45" s="769">
        <f t="shared" si="97"/>
        <v>0</v>
      </c>
      <c r="CX45" s="769">
        <f t="shared" si="98"/>
        <v>0</v>
      </c>
      <c r="CY45" s="769">
        <f t="shared" si="98"/>
        <v>0</v>
      </c>
      <c r="CZ45" s="769">
        <f t="shared" si="98"/>
        <v>0</v>
      </c>
      <c r="DA45" s="769">
        <f t="shared" si="98"/>
        <v>0</v>
      </c>
      <c r="DB45" s="769">
        <f t="shared" si="98"/>
        <v>0</v>
      </c>
      <c r="DJ45" s="769">
        <f t="shared" si="99"/>
        <v>0</v>
      </c>
      <c r="DK45" s="769">
        <f t="shared" si="99"/>
        <v>0</v>
      </c>
      <c r="DL45" s="769">
        <f t="shared" si="99"/>
        <v>0</v>
      </c>
      <c r="DM45" s="769">
        <f t="shared" si="99"/>
        <v>0</v>
      </c>
      <c r="DN45" s="769">
        <f t="shared" si="99"/>
        <v>0</v>
      </c>
    </row>
    <row r="46" spans="1:256">
      <c r="E46" s="822" t="s">
        <v>162</v>
      </c>
      <c r="F46" s="712" t="str">
        <f t="shared" si="84"/>
        <v>DIVInscrits</v>
      </c>
      <c r="G46" s="712"/>
      <c r="H46" s="712"/>
      <c r="I46" s="712"/>
      <c r="P46" s="823">
        <f t="shared" si="85"/>
        <v>0</v>
      </c>
      <c r="Q46" s="823">
        <f t="shared" si="85"/>
        <v>0</v>
      </c>
      <c r="R46" s="823">
        <f t="shared" si="85"/>
        <v>0</v>
      </c>
      <c r="S46" s="823">
        <f t="shared" si="85"/>
        <v>0</v>
      </c>
      <c r="T46" s="823">
        <f t="shared" si="85"/>
        <v>0</v>
      </c>
      <c r="V46" s="769">
        <f t="shared" si="86"/>
        <v>0</v>
      </c>
      <c r="W46" s="769">
        <f t="shared" si="86"/>
        <v>0</v>
      </c>
      <c r="X46" s="769">
        <f t="shared" si="86"/>
        <v>0</v>
      </c>
      <c r="Y46" s="769">
        <f t="shared" si="86"/>
        <v>0</v>
      </c>
      <c r="Z46" s="769">
        <f t="shared" si="86"/>
        <v>0</v>
      </c>
      <c r="AB46" s="769">
        <f t="shared" si="87"/>
        <v>0</v>
      </c>
      <c r="AC46" s="769">
        <f t="shared" si="87"/>
        <v>0</v>
      </c>
      <c r="AD46" s="769">
        <f t="shared" si="87"/>
        <v>0</v>
      </c>
      <c r="AE46" s="769">
        <f t="shared" si="87"/>
        <v>0</v>
      </c>
      <c r="AF46" s="769">
        <f t="shared" si="87"/>
        <v>0</v>
      </c>
      <c r="AH46" s="769">
        <f t="shared" si="88"/>
        <v>0</v>
      </c>
      <c r="AI46" s="769">
        <f t="shared" si="88"/>
        <v>0</v>
      </c>
      <c r="AJ46" s="769">
        <f t="shared" si="88"/>
        <v>0</v>
      </c>
      <c r="AK46" s="769">
        <f t="shared" si="88"/>
        <v>0</v>
      </c>
      <c r="AL46" s="769">
        <f t="shared" si="88"/>
        <v>0</v>
      </c>
      <c r="AN46" s="768"/>
      <c r="AO46" s="769">
        <f t="shared" si="89"/>
        <v>0</v>
      </c>
      <c r="AP46" s="769">
        <f t="shared" si="89"/>
        <v>0</v>
      </c>
      <c r="AQ46" s="769">
        <f t="shared" si="89"/>
        <v>0</v>
      </c>
      <c r="AR46" s="769">
        <f t="shared" si="89"/>
        <v>0</v>
      </c>
      <c r="AS46" s="769">
        <f t="shared" si="89"/>
        <v>0</v>
      </c>
      <c r="AU46" s="769">
        <f t="shared" si="90"/>
        <v>0</v>
      </c>
      <c r="AV46" s="769">
        <f t="shared" si="90"/>
        <v>0</v>
      </c>
      <c r="AW46" s="769">
        <f t="shared" si="90"/>
        <v>0</v>
      </c>
      <c r="AX46" s="769">
        <f t="shared" si="90"/>
        <v>0</v>
      </c>
      <c r="AY46" s="769">
        <f t="shared" si="90"/>
        <v>0</v>
      </c>
      <c r="BA46" s="769">
        <f t="shared" si="91"/>
        <v>0</v>
      </c>
      <c r="BB46" s="769">
        <f t="shared" si="91"/>
        <v>0</v>
      </c>
      <c r="BC46" s="769">
        <f t="shared" si="91"/>
        <v>0</v>
      </c>
      <c r="BD46" s="769">
        <f t="shared" si="91"/>
        <v>0</v>
      </c>
      <c r="BE46" s="769">
        <f t="shared" si="91"/>
        <v>0</v>
      </c>
      <c r="BG46" s="769">
        <f t="shared" si="92"/>
        <v>0</v>
      </c>
      <c r="BH46" s="769">
        <f t="shared" si="92"/>
        <v>0</v>
      </c>
      <c r="BI46" s="769">
        <f t="shared" si="92"/>
        <v>0</v>
      </c>
      <c r="BJ46" s="769">
        <f t="shared" si="92"/>
        <v>0</v>
      </c>
      <c r="BK46" s="769">
        <f t="shared" si="92"/>
        <v>0</v>
      </c>
      <c r="BM46" s="769">
        <f t="shared" si="93"/>
        <v>0</v>
      </c>
      <c r="BN46" s="769">
        <f t="shared" si="93"/>
        <v>0</v>
      </c>
      <c r="BO46" s="769">
        <f t="shared" si="93"/>
        <v>0</v>
      </c>
      <c r="BP46" s="769">
        <f t="shared" si="93"/>
        <v>0</v>
      </c>
      <c r="BQ46" s="769">
        <f t="shared" si="93"/>
        <v>0</v>
      </c>
      <c r="BS46" s="769">
        <f t="shared" si="94"/>
        <v>0</v>
      </c>
      <c r="BT46" s="769">
        <f t="shared" si="94"/>
        <v>0</v>
      </c>
      <c r="BU46" s="769">
        <f t="shared" si="94"/>
        <v>0</v>
      </c>
      <c r="BV46" s="769">
        <f t="shared" si="94"/>
        <v>0</v>
      </c>
      <c r="BW46" s="769">
        <f t="shared" si="94"/>
        <v>0</v>
      </c>
      <c r="BY46" s="769">
        <f t="shared" si="95"/>
        <v>0</v>
      </c>
      <c r="BZ46" s="769">
        <f t="shared" si="95"/>
        <v>0</v>
      </c>
      <c r="CA46" s="769">
        <f t="shared" si="95"/>
        <v>0</v>
      </c>
      <c r="CB46" s="769">
        <f t="shared" si="95"/>
        <v>0</v>
      </c>
      <c r="CC46" s="769">
        <f t="shared" si="95"/>
        <v>0</v>
      </c>
      <c r="CL46" s="769">
        <f t="shared" si="96"/>
        <v>0</v>
      </c>
      <c r="CM46" s="769">
        <f t="shared" si="96"/>
        <v>0</v>
      </c>
      <c r="CN46" s="769">
        <f t="shared" si="96"/>
        <v>0</v>
      </c>
      <c r="CO46" s="769">
        <f t="shared" si="96"/>
        <v>0</v>
      </c>
      <c r="CP46" s="769">
        <f t="shared" si="96"/>
        <v>0</v>
      </c>
      <c r="CR46" s="769">
        <f t="shared" si="97"/>
        <v>0</v>
      </c>
      <c r="CS46" s="769">
        <f t="shared" si="97"/>
        <v>0</v>
      </c>
      <c r="CT46" s="769">
        <f t="shared" si="97"/>
        <v>0</v>
      </c>
      <c r="CU46" s="769">
        <f t="shared" si="97"/>
        <v>0</v>
      </c>
      <c r="CV46" s="769">
        <f t="shared" si="97"/>
        <v>0</v>
      </c>
      <c r="CX46" s="769">
        <f t="shared" si="98"/>
        <v>0</v>
      </c>
      <c r="CY46" s="769">
        <f t="shared" si="98"/>
        <v>0</v>
      </c>
      <c r="CZ46" s="769">
        <f t="shared" si="98"/>
        <v>0</v>
      </c>
      <c r="DA46" s="769">
        <f t="shared" si="98"/>
        <v>0</v>
      </c>
      <c r="DB46" s="769">
        <f t="shared" si="98"/>
        <v>0</v>
      </c>
      <c r="DJ46" s="769">
        <f t="shared" si="99"/>
        <v>0</v>
      </c>
      <c r="DK46" s="769">
        <f t="shared" si="99"/>
        <v>0</v>
      </c>
      <c r="DL46" s="769">
        <f t="shared" si="99"/>
        <v>0</v>
      </c>
      <c r="DM46" s="769">
        <f t="shared" si="99"/>
        <v>0</v>
      </c>
      <c r="DN46" s="769">
        <f t="shared" si="99"/>
        <v>0</v>
      </c>
    </row>
    <row r="47" spans="1:256">
      <c r="E47" s="822" t="s">
        <v>161</v>
      </c>
      <c r="F47" s="712" t="str">
        <f t="shared" si="84"/>
        <v>CTPInscrits</v>
      </c>
      <c r="G47" s="712"/>
      <c r="H47" s="712"/>
      <c r="I47" s="712"/>
      <c r="P47" s="823">
        <f t="shared" si="85"/>
        <v>0</v>
      </c>
      <c r="Q47" s="823">
        <f t="shared" si="85"/>
        <v>0</v>
      </c>
      <c r="R47" s="823">
        <f t="shared" si="85"/>
        <v>0</v>
      </c>
      <c r="S47" s="823">
        <f t="shared" si="85"/>
        <v>0</v>
      </c>
      <c r="T47" s="823">
        <f t="shared" si="85"/>
        <v>0</v>
      </c>
      <c r="V47" s="769">
        <f t="shared" si="86"/>
        <v>0</v>
      </c>
      <c r="W47" s="769">
        <f t="shared" si="86"/>
        <v>0</v>
      </c>
      <c r="X47" s="769">
        <f t="shared" si="86"/>
        <v>0</v>
      </c>
      <c r="Y47" s="769">
        <f t="shared" si="86"/>
        <v>0</v>
      </c>
      <c r="Z47" s="769">
        <f t="shared" si="86"/>
        <v>0</v>
      </c>
      <c r="AB47" s="769">
        <f t="shared" si="87"/>
        <v>0</v>
      </c>
      <c r="AC47" s="769">
        <f t="shared" si="87"/>
        <v>0</v>
      </c>
      <c r="AD47" s="769">
        <f t="shared" si="87"/>
        <v>0</v>
      </c>
      <c r="AE47" s="769">
        <f t="shared" si="87"/>
        <v>0</v>
      </c>
      <c r="AF47" s="769">
        <f t="shared" si="87"/>
        <v>0</v>
      </c>
      <c r="AH47" s="769">
        <f t="shared" si="88"/>
        <v>0</v>
      </c>
      <c r="AI47" s="769">
        <f t="shared" si="88"/>
        <v>0</v>
      </c>
      <c r="AJ47" s="769">
        <f t="shared" si="88"/>
        <v>0</v>
      </c>
      <c r="AK47" s="769">
        <f t="shared" si="88"/>
        <v>0</v>
      </c>
      <c r="AL47" s="769">
        <f t="shared" si="88"/>
        <v>0</v>
      </c>
      <c r="AN47" s="768"/>
      <c r="AO47" s="769">
        <f t="shared" si="89"/>
        <v>0</v>
      </c>
      <c r="AP47" s="769">
        <f t="shared" si="89"/>
        <v>0</v>
      </c>
      <c r="AQ47" s="769">
        <f t="shared" si="89"/>
        <v>0</v>
      </c>
      <c r="AR47" s="769">
        <f t="shared" si="89"/>
        <v>0</v>
      </c>
      <c r="AS47" s="769">
        <f t="shared" si="89"/>
        <v>0</v>
      </c>
      <c r="AU47" s="769">
        <f t="shared" si="90"/>
        <v>0</v>
      </c>
      <c r="AV47" s="769">
        <f t="shared" si="90"/>
        <v>0</v>
      </c>
      <c r="AW47" s="769">
        <f t="shared" si="90"/>
        <v>0</v>
      </c>
      <c r="AX47" s="769">
        <f t="shared" si="90"/>
        <v>0</v>
      </c>
      <c r="AY47" s="769">
        <f t="shared" si="90"/>
        <v>0</v>
      </c>
      <c r="BA47" s="769">
        <f t="shared" si="91"/>
        <v>0</v>
      </c>
      <c r="BB47" s="769">
        <f t="shared" si="91"/>
        <v>0</v>
      </c>
      <c r="BC47" s="769">
        <f t="shared" si="91"/>
        <v>0</v>
      </c>
      <c r="BD47" s="769">
        <f t="shared" si="91"/>
        <v>0</v>
      </c>
      <c r="BE47" s="769">
        <f t="shared" si="91"/>
        <v>0</v>
      </c>
      <c r="BG47" s="769">
        <f t="shared" si="92"/>
        <v>0</v>
      </c>
      <c r="BH47" s="769">
        <f t="shared" si="92"/>
        <v>0</v>
      </c>
      <c r="BI47" s="769">
        <f t="shared" si="92"/>
        <v>0</v>
      </c>
      <c r="BJ47" s="769">
        <f t="shared" si="92"/>
        <v>0</v>
      </c>
      <c r="BK47" s="769">
        <f t="shared" si="92"/>
        <v>0</v>
      </c>
      <c r="BM47" s="769">
        <f t="shared" si="93"/>
        <v>0</v>
      </c>
      <c r="BN47" s="769">
        <f t="shared" si="93"/>
        <v>0</v>
      </c>
      <c r="BO47" s="769">
        <f t="shared" si="93"/>
        <v>0</v>
      </c>
      <c r="BP47" s="769">
        <f t="shared" si="93"/>
        <v>0</v>
      </c>
      <c r="BQ47" s="769">
        <f t="shared" si="93"/>
        <v>0</v>
      </c>
      <c r="BS47" s="769">
        <f t="shared" si="94"/>
        <v>0</v>
      </c>
      <c r="BT47" s="769">
        <f t="shared" si="94"/>
        <v>0</v>
      </c>
      <c r="BU47" s="769">
        <f t="shared" si="94"/>
        <v>0</v>
      </c>
      <c r="BV47" s="769">
        <f t="shared" si="94"/>
        <v>0</v>
      </c>
      <c r="BW47" s="769">
        <f t="shared" si="94"/>
        <v>0</v>
      </c>
      <c r="BY47" s="769">
        <f t="shared" si="95"/>
        <v>0</v>
      </c>
      <c r="BZ47" s="769">
        <f t="shared" si="95"/>
        <v>0</v>
      </c>
      <c r="CA47" s="769">
        <f t="shared" si="95"/>
        <v>0</v>
      </c>
      <c r="CB47" s="769">
        <f t="shared" si="95"/>
        <v>0</v>
      </c>
      <c r="CC47" s="769">
        <f t="shared" si="95"/>
        <v>0</v>
      </c>
      <c r="CL47" s="769">
        <f t="shared" si="96"/>
        <v>0</v>
      </c>
      <c r="CM47" s="769">
        <f t="shared" si="96"/>
        <v>0</v>
      </c>
      <c r="CN47" s="769">
        <f t="shared" si="96"/>
        <v>0</v>
      </c>
      <c r="CO47" s="769">
        <f t="shared" si="96"/>
        <v>0</v>
      </c>
      <c r="CP47" s="769">
        <f t="shared" si="96"/>
        <v>0</v>
      </c>
      <c r="CR47" s="769">
        <f t="shared" si="97"/>
        <v>0</v>
      </c>
      <c r="CS47" s="769">
        <f t="shared" si="97"/>
        <v>0</v>
      </c>
      <c r="CT47" s="769">
        <f t="shared" si="97"/>
        <v>0</v>
      </c>
      <c r="CU47" s="769">
        <f t="shared" si="97"/>
        <v>0</v>
      </c>
      <c r="CV47" s="769">
        <f t="shared" si="97"/>
        <v>0</v>
      </c>
      <c r="CX47" s="769">
        <f t="shared" si="98"/>
        <v>0</v>
      </c>
      <c r="CY47" s="769">
        <f t="shared" si="98"/>
        <v>0</v>
      </c>
      <c r="CZ47" s="769">
        <f t="shared" si="98"/>
        <v>0</v>
      </c>
      <c r="DA47" s="769">
        <f t="shared" si="98"/>
        <v>0</v>
      </c>
      <c r="DB47" s="769">
        <f t="shared" si="98"/>
        <v>0</v>
      </c>
      <c r="DJ47" s="769">
        <f t="shared" si="99"/>
        <v>0</v>
      </c>
      <c r="DK47" s="769">
        <f t="shared" si="99"/>
        <v>0</v>
      </c>
      <c r="DL47" s="769">
        <f t="shared" si="99"/>
        <v>0</v>
      </c>
      <c r="DM47" s="769">
        <f t="shared" si="99"/>
        <v>0</v>
      </c>
      <c r="DN47" s="769">
        <f t="shared" si="99"/>
        <v>0</v>
      </c>
    </row>
    <row r="48" spans="1:256" s="779" customFormat="1">
      <c r="A48" s="708"/>
      <c r="B48" s="708"/>
      <c r="C48" s="708"/>
      <c r="D48" s="708"/>
      <c r="E48" s="822" t="s">
        <v>163</v>
      </c>
      <c r="F48" s="712" t="str">
        <f t="shared" si="84"/>
        <v>GMOInscrits</v>
      </c>
      <c r="G48" s="712"/>
      <c r="H48" s="712"/>
      <c r="I48" s="712"/>
      <c r="J48" s="709"/>
      <c r="K48" s="708"/>
      <c r="L48" s="708"/>
      <c r="M48" s="708"/>
      <c r="N48" s="708"/>
      <c r="O48" s="708"/>
      <c r="P48" s="823">
        <f t="shared" si="85"/>
        <v>0</v>
      </c>
      <c r="Q48" s="823">
        <f t="shared" si="85"/>
        <v>0</v>
      </c>
      <c r="R48" s="823">
        <f t="shared" si="85"/>
        <v>0</v>
      </c>
      <c r="S48" s="823">
        <f t="shared" si="85"/>
        <v>0</v>
      </c>
      <c r="T48" s="823">
        <f t="shared" si="85"/>
        <v>0</v>
      </c>
      <c r="U48" s="708"/>
      <c r="V48" s="769">
        <f t="shared" si="86"/>
        <v>0</v>
      </c>
      <c r="W48" s="769">
        <f t="shared" si="86"/>
        <v>0</v>
      </c>
      <c r="X48" s="769">
        <f t="shared" si="86"/>
        <v>0</v>
      </c>
      <c r="Y48" s="769">
        <f t="shared" si="86"/>
        <v>0</v>
      </c>
      <c r="Z48" s="769">
        <f t="shared" si="86"/>
        <v>0</v>
      </c>
      <c r="AA48" s="708"/>
      <c r="AB48" s="769">
        <f t="shared" si="87"/>
        <v>0</v>
      </c>
      <c r="AC48" s="769">
        <f t="shared" si="87"/>
        <v>0</v>
      </c>
      <c r="AD48" s="769">
        <f t="shared" si="87"/>
        <v>0</v>
      </c>
      <c r="AE48" s="769">
        <f t="shared" si="87"/>
        <v>0</v>
      </c>
      <c r="AF48" s="769">
        <f t="shared" si="87"/>
        <v>0</v>
      </c>
      <c r="AG48" s="708"/>
      <c r="AH48" s="769">
        <f t="shared" si="88"/>
        <v>0</v>
      </c>
      <c r="AI48" s="769">
        <f t="shared" si="88"/>
        <v>0</v>
      </c>
      <c r="AJ48" s="769">
        <f t="shared" si="88"/>
        <v>0</v>
      </c>
      <c r="AK48" s="769">
        <f t="shared" si="88"/>
        <v>0</v>
      </c>
      <c r="AL48" s="769">
        <f t="shared" si="88"/>
        <v>0</v>
      </c>
      <c r="AM48" s="708"/>
      <c r="AN48" s="768"/>
      <c r="AO48" s="769">
        <f t="shared" si="89"/>
        <v>0</v>
      </c>
      <c r="AP48" s="769">
        <f t="shared" si="89"/>
        <v>0</v>
      </c>
      <c r="AQ48" s="769">
        <f t="shared" si="89"/>
        <v>0</v>
      </c>
      <c r="AR48" s="769">
        <f t="shared" si="89"/>
        <v>0</v>
      </c>
      <c r="AS48" s="769">
        <f t="shared" si="89"/>
        <v>0</v>
      </c>
      <c r="AT48" s="708"/>
      <c r="AU48" s="769">
        <f t="shared" si="90"/>
        <v>0</v>
      </c>
      <c r="AV48" s="769">
        <f t="shared" si="90"/>
        <v>0</v>
      </c>
      <c r="AW48" s="769">
        <f t="shared" si="90"/>
        <v>0</v>
      </c>
      <c r="AX48" s="769">
        <f t="shared" si="90"/>
        <v>0</v>
      </c>
      <c r="AY48" s="769">
        <f t="shared" si="90"/>
        <v>0</v>
      </c>
      <c r="AZ48" s="708"/>
      <c r="BA48" s="769">
        <f t="shared" si="91"/>
        <v>0</v>
      </c>
      <c r="BB48" s="769">
        <f t="shared" si="91"/>
        <v>0</v>
      </c>
      <c r="BC48" s="769">
        <f t="shared" si="91"/>
        <v>0</v>
      </c>
      <c r="BD48" s="769">
        <f t="shared" si="91"/>
        <v>0</v>
      </c>
      <c r="BE48" s="769">
        <f t="shared" si="91"/>
        <v>0</v>
      </c>
      <c r="BF48" s="708"/>
      <c r="BG48" s="769">
        <f t="shared" si="92"/>
        <v>0</v>
      </c>
      <c r="BH48" s="769">
        <f t="shared" si="92"/>
        <v>0</v>
      </c>
      <c r="BI48" s="769">
        <f t="shared" si="92"/>
        <v>0</v>
      </c>
      <c r="BJ48" s="769">
        <f t="shared" si="92"/>
        <v>0</v>
      </c>
      <c r="BK48" s="769">
        <f t="shared" si="92"/>
        <v>0</v>
      </c>
      <c r="BL48" s="708"/>
      <c r="BM48" s="769">
        <f t="shared" si="93"/>
        <v>0</v>
      </c>
      <c r="BN48" s="769">
        <f t="shared" si="93"/>
        <v>0</v>
      </c>
      <c r="BO48" s="769">
        <f t="shared" si="93"/>
        <v>0</v>
      </c>
      <c r="BP48" s="769">
        <f t="shared" si="93"/>
        <v>0</v>
      </c>
      <c r="BQ48" s="769">
        <f t="shared" si="93"/>
        <v>0</v>
      </c>
      <c r="BR48" s="708"/>
      <c r="BS48" s="769">
        <f t="shared" si="94"/>
        <v>0</v>
      </c>
      <c r="BT48" s="769">
        <f t="shared" si="94"/>
        <v>0</v>
      </c>
      <c r="BU48" s="769">
        <f t="shared" si="94"/>
        <v>0</v>
      </c>
      <c r="BV48" s="769">
        <f t="shared" si="94"/>
        <v>0</v>
      </c>
      <c r="BW48" s="769">
        <f t="shared" si="94"/>
        <v>0</v>
      </c>
      <c r="BX48" s="708"/>
      <c r="BY48" s="769">
        <f t="shared" si="95"/>
        <v>0</v>
      </c>
      <c r="BZ48" s="769">
        <f t="shared" si="95"/>
        <v>0</v>
      </c>
      <c r="CA48" s="769">
        <f t="shared" si="95"/>
        <v>0</v>
      </c>
      <c r="CB48" s="769">
        <f t="shared" si="95"/>
        <v>0</v>
      </c>
      <c r="CC48" s="769">
        <f t="shared" si="95"/>
        <v>0</v>
      </c>
      <c r="CD48" s="708"/>
      <c r="CE48" s="708"/>
      <c r="CF48" s="708"/>
      <c r="CG48" s="712"/>
      <c r="CH48" s="708"/>
      <c r="CI48" s="708"/>
      <c r="CJ48" s="708"/>
      <c r="CK48" s="708"/>
      <c r="CL48" s="769">
        <f t="shared" si="96"/>
        <v>0</v>
      </c>
      <c r="CM48" s="769">
        <f t="shared" si="96"/>
        <v>0</v>
      </c>
      <c r="CN48" s="769">
        <f t="shared" si="96"/>
        <v>0</v>
      </c>
      <c r="CO48" s="769">
        <f t="shared" si="96"/>
        <v>0</v>
      </c>
      <c r="CP48" s="769">
        <f t="shared" si="96"/>
        <v>0</v>
      </c>
      <c r="CQ48" s="708"/>
      <c r="CR48" s="769">
        <f t="shared" si="97"/>
        <v>0</v>
      </c>
      <c r="CS48" s="769">
        <f t="shared" si="97"/>
        <v>0</v>
      </c>
      <c r="CT48" s="769">
        <f t="shared" si="97"/>
        <v>0</v>
      </c>
      <c r="CU48" s="769">
        <f t="shared" si="97"/>
        <v>0</v>
      </c>
      <c r="CV48" s="769">
        <f t="shared" si="97"/>
        <v>0</v>
      </c>
      <c r="CW48" s="708"/>
      <c r="CX48" s="769">
        <f t="shared" si="98"/>
        <v>0</v>
      </c>
      <c r="CY48" s="769">
        <f t="shared" si="98"/>
        <v>0</v>
      </c>
      <c r="CZ48" s="769">
        <f t="shared" si="98"/>
        <v>0</v>
      </c>
      <c r="DA48" s="769">
        <f t="shared" si="98"/>
        <v>0</v>
      </c>
      <c r="DB48" s="769">
        <f t="shared" si="98"/>
        <v>0</v>
      </c>
      <c r="DC48" s="708"/>
      <c r="DD48" s="708"/>
      <c r="DE48" s="708"/>
      <c r="DF48" s="708"/>
      <c r="DG48" s="708"/>
      <c r="DH48" s="708"/>
      <c r="DI48" s="708"/>
      <c r="DJ48" s="769">
        <f t="shared" si="99"/>
        <v>0</v>
      </c>
      <c r="DK48" s="769">
        <f t="shared" si="99"/>
        <v>0</v>
      </c>
      <c r="DL48" s="769">
        <f t="shared" si="99"/>
        <v>0</v>
      </c>
      <c r="DM48" s="769">
        <f t="shared" si="99"/>
        <v>0</v>
      </c>
      <c r="DN48" s="769">
        <f t="shared" si="99"/>
        <v>0</v>
      </c>
      <c r="DO48" s="708"/>
      <c r="DP48" s="708"/>
      <c r="DQ48" s="708"/>
      <c r="DR48" s="708"/>
      <c r="DS48" s="708"/>
      <c r="DT48" s="708"/>
      <c r="DU48" s="708"/>
      <c r="DV48" s="708"/>
      <c r="DW48" s="708"/>
      <c r="DX48" s="708"/>
      <c r="DY48" s="708"/>
      <c r="DZ48" s="708"/>
      <c r="EA48" s="708"/>
      <c r="EB48" s="708"/>
      <c r="EC48" s="708"/>
      <c r="ED48" s="708"/>
      <c r="EE48" s="708"/>
      <c r="EF48" s="708"/>
      <c r="EG48" s="708"/>
      <c r="EH48" s="708"/>
      <c r="EI48" s="708"/>
      <c r="EJ48" s="708"/>
      <c r="EK48" s="708"/>
      <c r="EL48" s="708"/>
      <c r="EM48" s="708"/>
      <c r="EN48" s="708"/>
      <c r="EO48" s="708"/>
      <c r="EP48" s="708"/>
      <c r="EQ48" s="708"/>
      <c r="ER48" s="708"/>
      <c r="ES48" s="708"/>
      <c r="ET48" s="708"/>
      <c r="EU48" s="708"/>
      <c r="EV48" s="708"/>
      <c r="EW48" s="708"/>
      <c r="EX48" s="708"/>
      <c r="EY48" s="708"/>
      <c r="EZ48" s="708"/>
      <c r="FA48" s="708"/>
      <c r="FB48" s="708"/>
      <c r="FC48" s="708"/>
      <c r="FD48" s="708"/>
      <c r="FE48" s="708"/>
      <c r="FF48" s="708"/>
      <c r="FG48" s="708"/>
      <c r="FH48" s="708"/>
      <c r="FI48" s="708"/>
      <c r="FJ48" s="708"/>
      <c r="FK48" s="708"/>
      <c r="FL48" s="708"/>
      <c r="FM48" s="708"/>
      <c r="FN48" s="708"/>
      <c r="FO48" s="708"/>
      <c r="FP48" s="708"/>
      <c r="FQ48" s="708"/>
      <c r="FR48" s="708"/>
      <c r="FS48" s="708"/>
      <c r="FT48" s="708"/>
      <c r="FU48" s="708"/>
      <c r="FV48" s="708"/>
      <c r="FW48" s="708"/>
      <c r="FX48" s="708"/>
      <c r="FY48" s="708"/>
      <c r="FZ48" s="708"/>
      <c r="GA48" s="708"/>
      <c r="GB48" s="708"/>
      <c r="GC48" s="708"/>
      <c r="GD48" s="708"/>
      <c r="GE48" s="708"/>
      <c r="GF48" s="708"/>
      <c r="GG48" s="708"/>
      <c r="GH48" s="708"/>
      <c r="GI48" s="708"/>
      <c r="GJ48" s="708"/>
      <c r="GK48" s="708"/>
      <c r="GL48" s="708"/>
      <c r="GM48" s="708"/>
      <c r="GN48" s="708"/>
      <c r="GO48" s="708"/>
      <c r="GP48" s="708"/>
      <c r="GQ48" s="708"/>
      <c r="GR48" s="708"/>
      <c r="GS48" s="708"/>
      <c r="GT48" s="708"/>
      <c r="GU48" s="708"/>
      <c r="GV48" s="708"/>
      <c r="GW48" s="708"/>
      <c r="GX48" s="708"/>
      <c r="GY48" s="708"/>
      <c r="GZ48" s="708"/>
      <c r="HA48" s="708"/>
      <c r="HB48" s="708"/>
      <c r="HC48" s="708"/>
      <c r="HD48" s="708"/>
      <c r="HE48" s="708"/>
      <c r="HF48" s="708"/>
      <c r="HG48" s="708"/>
      <c r="HH48" s="708"/>
      <c r="HI48" s="708"/>
      <c r="HJ48" s="708"/>
      <c r="HK48" s="708"/>
      <c r="HL48" s="708"/>
      <c r="HM48" s="708"/>
      <c r="HN48" s="708"/>
      <c r="HO48" s="708"/>
      <c r="HP48" s="708"/>
      <c r="HQ48" s="708"/>
      <c r="HR48" s="708"/>
      <c r="HS48" s="708"/>
      <c r="HT48" s="708"/>
      <c r="HU48" s="708"/>
      <c r="HV48" s="708"/>
      <c r="HW48" s="708"/>
      <c r="HX48" s="708"/>
      <c r="HY48" s="708"/>
      <c r="HZ48" s="708"/>
      <c r="IA48" s="708"/>
      <c r="IB48" s="708"/>
      <c r="IC48" s="708"/>
      <c r="ID48" s="708"/>
      <c r="IE48" s="708"/>
      <c r="IF48" s="708"/>
      <c r="IG48" s="708"/>
      <c r="IH48" s="708"/>
      <c r="II48" s="708"/>
      <c r="IJ48" s="708"/>
      <c r="IK48" s="708"/>
      <c r="IL48" s="708"/>
      <c r="IM48" s="708"/>
      <c r="IN48" s="708"/>
      <c r="IO48" s="708"/>
      <c r="IP48" s="708"/>
      <c r="IQ48" s="708"/>
      <c r="IR48" s="708"/>
      <c r="IS48" s="708"/>
      <c r="IT48" s="708"/>
      <c r="IU48" s="708"/>
      <c r="IV48" s="708"/>
    </row>
    <row r="49" spans="1:256">
      <c r="E49" s="822" t="s">
        <v>177</v>
      </c>
      <c r="F49" s="712" t="str">
        <f t="shared" si="84"/>
        <v>TLIInscrits</v>
      </c>
      <c r="G49" s="712"/>
      <c r="H49" s="712"/>
      <c r="I49" s="712"/>
      <c r="P49" s="823">
        <f t="shared" si="85"/>
        <v>0</v>
      </c>
      <c r="Q49" s="823">
        <f t="shared" si="85"/>
        <v>0</v>
      </c>
      <c r="R49" s="823">
        <f t="shared" si="85"/>
        <v>0</v>
      </c>
      <c r="S49" s="823">
        <f t="shared" si="85"/>
        <v>0</v>
      </c>
      <c r="T49" s="823">
        <f t="shared" si="85"/>
        <v>0</v>
      </c>
      <c r="V49" s="769">
        <f t="shared" si="86"/>
        <v>0</v>
      </c>
      <c r="W49" s="769">
        <f t="shared" si="86"/>
        <v>0</v>
      </c>
      <c r="X49" s="769">
        <f t="shared" si="86"/>
        <v>0</v>
      </c>
      <c r="Y49" s="769">
        <f t="shared" si="86"/>
        <v>0</v>
      </c>
      <c r="Z49" s="769">
        <f t="shared" si="86"/>
        <v>0</v>
      </c>
      <c r="AB49" s="769">
        <f t="shared" si="87"/>
        <v>0</v>
      </c>
      <c r="AC49" s="769">
        <f t="shared" si="87"/>
        <v>0</v>
      </c>
      <c r="AD49" s="769">
        <f t="shared" si="87"/>
        <v>0</v>
      </c>
      <c r="AE49" s="769">
        <f t="shared" si="87"/>
        <v>0</v>
      </c>
      <c r="AF49" s="769">
        <f t="shared" si="87"/>
        <v>0</v>
      </c>
      <c r="AH49" s="769">
        <f t="shared" si="88"/>
        <v>0</v>
      </c>
      <c r="AI49" s="769">
        <f t="shared" si="88"/>
        <v>0</v>
      </c>
      <c r="AJ49" s="769">
        <f t="shared" si="88"/>
        <v>0</v>
      </c>
      <c r="AK49" s="769">
        <f t="shared" si="88"/>
        <v>0</v>
      </c>
      <c r="AL49" s="769">
        <f t="shared" si="88"/>
        <v>0</v>
      </c>
      <c r="AN49" s="768"/>
      <c r="AO49" s="769">
        <f t="shared" si="89"/>
        <v>0</v>
      </c>
      <c r="AP49" s="769">
        <f t="shared" si="89"/>
        <v>0</v>
      </c>
      <c r="AQ49" s="769">
        <f t="shared" si="89"/>
        <v>0</v>
      </c>
      <c r="AR49" s="769">
        <f t="shared" si="89"/>
        <v>0</v>
      </c>
      <c r="AS49" s="769">
        <f t="shared" si="89"/>
        <v>0</v>
      </c>
      <c r="AU49" s="769">
        <f t="shared" si="90"/>
        <v>0</v>
      </c>
      <c r="AV49" s="769">
        <f t="shared" si="90"/>
        <v>0</v>
      </c>
      <c r="AW49" s="769">
        <f t="shared" si="90"/>
        <v>0</v>
      </c>
      <c r="AX49" s="769">
        <f t="shared" si="90"/>
        <v>0</v>
      </c>
      <c r="AY49" s="769">
        <f t="shared" si="90"/>
        <v>0</v>
      </c>
      <c r="BA49" s="769">
        <f t="shared" si="91"/>
        <v>0</v>
      </c>
      <c r="BB49" s="769">
        <f t="shared" si="91"/>
        <v>0</v>
      </c>
      <c r="BC49" s="769">
        <f t="shared" si="91"/>
        <v>0</v>
      </c>
      <c r="BD49" s="769">
        <f t="shared" si="91"/>
        <v>0</v>
      </c>
      <c r="BE49" s="769">
        <f t="shared" si="91"/>
        <v>0</v>
      </c>
      <c r="BG49" s="769">
        <f t="shared" si="92"/>
        <v>0</v>
      </c>
      <c r="BH49" s="769">
        <f t="shared" si="92"/>
        <v>0</v>
      </c>
      <c r="BI49" s="769">
        <f t="shared" si="92"/>
        <v>0</v>
      </c>
      <c r="BJ49" s="769">
        <f t="shared" si="92"/>
        <v>0</v>
      </c>
      <c r="BK49" s="769">
        <f t="shared" si="92"/>
        <v>0</v>
      </c>
      <c r="BM49" s="769">
        <f t="shared" si="93"/>
        <v>0</v>
      </c>
      <c r="BN49" s="769">
        <f t="shared" si="93"/>
        <v>0</v>
      </c>
      <c r="BO49" s="769">
        <f t="shared" si="93"/>
        <v>0</v>
      </c>
      <c r="BP49" s="769">
        <f t="shared" si="93"/>
        <v>0</v>
      </c>
      <c r="BQ49" s="769">
        <f t="shared" si="93"/>
        <v>0</v>
      </c>
      <c r="BS49" s="769">
        <f t="shared" si="94"/>
        <v>0</v>
      </c>
      <c r="BT49" s="769">
        <f t="shared" si="94"/>
        <v>0</v>
      </c>
      <c r="BU49" s="769">
        <f t="shared" si="94"/>
        <v>0</v>
      </c>
      <c r="BV49" s="769">
        <f t="shared" si="94"/>
        <v>0</v>
      </c>
      <c r="BW49" s="769">
        <f t="shared" si="94"/>
        <v>0</v>
      </c>
      <c r="BY49" s="769">
        <f t="shared" si="95"/>
        <v>0</v>
      </c>
      <c r="BZ49" s="769">
        <f t="shared" si="95"/>
        <v>0</v>
      </c>
      <c r="CA49" s="769">
        <f t="shared" si="95"/>
        <v>0</v>
      </c>
      <c r="CB49" s="769">
        <f t="shared" si="95"/>
        <v>0</v>
      </c>
      <c r="CC49" s="769">
        <f t="shared" si="95"/>
        <v>0</v>
      </c>
      <c r="CL49" s="769">
        <f t="shared" si="96"/>
        <v>0</v>
      </c>
      <c r="CM49" s="769">
        <f t="shared" si="96"/>
        <v>0</v>
      </c>
      <c r="CN49" s="769">
        <f t="shared" si="96"/>
        <v>0</v>
      </c>
      <c r="CO49" s="769">
        <f t="shared" si="96"/>
        <v>0</v>
      </c>
      <c r="CP49" s="769">
        <f t="shared" si="96"/>
        <v>0</v>
      </c>
      <c r="CR49" s="769">
        <f t="shared" si="97"/>
        <v>0</v>
      </c>
      <c r="CS49" s="769">
        <f t="shared" si="97"/>
        <v>0</v>
      </c>
      <c r="CT49" s="769">
        <f t="shared" si="97"/>
        <v>0</v>
      </c>
      <c r="CU49" s="769">
        <f t="shared" si="97"/>
        <v>0</v>
      </c>
      <c r="CV49" s="769">
        <f t="shared" si="97"/>
        <v>0</v>
      </c>
      <c r="CX49" s="769">
        <f t="shared" si="98"/>
        <v>0</v>
      </c>
      <c r="CY49" s="769">
        <f t="shared" si="98"/>
        <v>0</v>
      </c>
      <c r="CZ49" s="769">
        <f t="shared" si="98"/>
        <v>0</v>
      </c>
      <c r="DA49" s="769">
        <f t="shared" si="98"/>
        <v>0</v>
      </c>
      <c r="DB49" s="769">
        <f t="shared" si="98"/>
        <v>0</v>
      </c>
      <c r="DJ49" s="769">
        <f t="shared" si="99"/>
        <v>0</v>
      </c>
      <c r="DK49" s="769">
        <f t="shared" si="99"/>
        <v>0</v>
      </c>
      <c r="DL49" s="769">
        <f t="shared" si="99"/>
        <v>0</v>
      </c>
      <c r="DM49" s="769">
        <f t="shared" si="99"/>
        <v>0</v>
      </c>
      <c r="DN49" s="769">
        <f t="shared" si="99"/>
        <v>0</v>
      </c>
    </row>
    <row r="50" spans="1:256" s="778" customFormat="1">
      <c r="A50" s="708"/>
      <c r="B50" s="708"/>
      <c r="C50" s="708"/>
      <c r="D50" s="708"/>
      <c r="E50" s="822" t="s">
        <v>202</v>
      </c>
      <c r="F50" s="712" t="str">
        <f t="shared" si="84"/>
        <v>OVLInscrits</v>
      </c>
      <c r="G50" s="712"/>
      <c r="H50" s="712"/>
      <c r="I50" s="712"/>
      <c r="J50" s="709"/>
      <c r="K50" s="708"/>
      <c r="L50" s="708"/>
      <c r="M50" s="708"/>
      <c r="N50" s="708"/>
      <c r="O50" s="708"/>
      <c r="P50" s="823">
        <f t="shared" si="85"/>
        <v>0</v>
      </c>
      <c r="Q50" s="823">
        <f t="shared" si="85"/>
        <v>0</v>
      </c>
      <c r="R50" s="823">
        <f t="shared" si="85"/>
        <v>0</v>
      </c>
      <c r="S50" s="823">
        <f t="shared" si="85"/>
        <v>0</v>
      </c>
      <c r="T50" s="823">
        <f t="shared" si="85"/>
        <v>0</v>
      </c>
      <c r="U50" s="708"/>
      <c r="V50" s="769">
        <f t="shared" si="86"/>
        <v>0</v>
      </c>
      <c r="W50" s="769">
        <f t="shared" si="86"/>
        <v>0</v>
      </c>
      <c r="X50" s="769">
        <f t="shared" si="86"/>
        <v>0</v>
      </c>
      <c r="Y50" s="769">
        <f t="shared" si="86"/>
        <v>0</v>
      </c>
      <c r="Z50" s="769">
        <f t="shared" si="86"/>
        <v>0</v>
      </c>
      <c r="AA50" s="708"/>
      <c r="AB50" s="769">
        <f t="shared" si="87"/>
        <v>0</v>
      </c>
      <c r="AC50" s="769">
        <f t="shared" si="87"/>
        <v>0</v>
      </c>
      <c r="AD50" s="769">
        <f t="shared" si="87"/>
        <v>0</v>
      </c>
      <c r="AE50" s="769">
        <f t="shared" si="87"/>
        <v>0</v>
      </c>
      <c r="AF50" s="769">
        <f t="shared" si="87"/>
        <v>0</v>
      </c>
      <c r="AG50" s="708"/>
      <c r="AH50" s="769">
        <f t="shared" si="88"/>
        <v>0</v>
      </c>
      <c r="AI50" s="769">
        <f t="shared" si="88"/>
        <v>0</v>
      </c>
      <c r="AJ50" s="769">
        <f t="shared" si="88"/>
        <v>0</v>
      </c>
      <c r="AK50" s="769">
        <f t="shared" si="88"/>
        <v>0</v>
      </c>
      <c r="AL50" s="769">
        <f t="shared" si="88"/>
        <v>0</v>
      </c>
      <c r="AM50" s="708"/>
      <c r="AN50" s="768"/>
      <c r="AO50" s="769">
        <f t="shared" si="89"/>
        <v>0</v>
      </c>
      <c r="AP50" s="769">
        <f t="shared" si="89"/>
        <v>0</v>
      </c>
      <c r="AQ50" s="769">
        <f t="shared" si="89"/>
        <v>0</v>
      </c>
      <c r="AR50" s="769">
        <f t="shared" si="89"/>
        <v>0</v>
      </c>
      <c r="AS50" s="769">
        <f t="shared" si="89"/>
        <v>0</v>
      </c>
      <c r="AT50" s="708"/>
      <c r="AU50" s="769">
        <f t="shared" si="90"/>
        <v>0</v>
      </c>
      <c r="AV50" s="769">
        <f t="shared" si="90"/>
        <v>0</v>
      </c>
      <c r="AW50" s="769">
        <f t="shared" si="90"/>
        <v>0</v>
      </c>
      <c r="AX50" s="769">
        <f t="shared" si="90"/>
        <v>0</v>
      </c>
      <c r="AY50" s="769">
        <f t="shared" si="90"/>
        <v>0</v>
      </c>
      <c r="AZ50" s="708"/>
      <c r="BA50" s="769">
        <f t="shared" si="91"/>
        <v>0</v>
      </c>
      <c r="BB50" s="769">
        <f t="shared" si="91"/>
        <v>0</v>
      </c>
      <c r="BC50" s="769">
        <f t="shared" si="91"/>
        <v>0</v>
      </c>
      <c r="BD50" s="769">
        <f t="shared" si="91"/>
        <v>0</v>
      </c>
      <c r="BE50" s="769">
        <f t="shared" si="91"/>
        <v>0</v>
      </c>
      <c r="BF50" s="708"/>
      <c r="BG50" s="769">
        <f t="shared" si="92"/>
        <v>0</v>
      </c>
      <c r="BH50" s="769">
        <f t="shared" si="92"/>
        <v>0</v>
      </c>
      <c r="BI50" s="769">
        <f t="shared" si="92"/>
        <v>0</v>
      </c>
      <c r="BJ50" s="769">
        <f t="shared" si="92"/>
        <v>0</v>
      </c>
      <c r="BK50" s="769">
        <f t="shared" si="92"/>
        <v>0</v>
      </c>
      <c r="BL50" s="708"/>
      <c r="BM50" s="769">
        <f t="shared" si="93"/>
        <v>0</v>
      </c>
      <c r="BN50" s="769">
        <f t="shared" si="93"/>
        <v>0</v>
      </c>
      <c r="BO50" s="769">
        <f t="shared" si="93"/>
        <v>0</v>
      </c>
      <c r="BP50" s="769">
        <f t="shared" si="93"/>
        <v>0</v>
      </c>
      <c r="BQ50" s="769">
        <f t="shared" si="93"/>
        <v>0</v>
      </c>
      <c r="BR50" s="708"/>
      <c r="BS50" s="769">
        <f t="shared" si="94"/>
        <v>0</v>
      </c>
      <c r="BT50" s="769">
        <f t="shared" si="94"/>
        <v>0</v>
      </c>
      <c r="BU50" s="769">
        <f t="shared" si="94"/>
        <v>0</v>
      </c>
      <c r="BV50" s="769">
        <f t="shared" si="94"/>
        <v>0</v>
      </c>
      <c r="BW50" s="769">
        <f t="shared" si="94"/>
        <v>0</v>
      </c>
      <c r="BX50" s="708"/>
      <c r="BY50" s="769">
        <f t="shared" si="95"/>
        <v>0</v>
      </c>
      <c r="BZ50" s="769">
        <f t="shared" si="95"/>
        <v>0</v>
      </c>
      <c r="CA50" s="769">
        <f t="shared" si="95"/>
        <v>0</v>
      </c>
      <c r="CB50" s="769">
        <f t="shared" si="95"/>
        <v>0</v>
      </c>
      <c r="CC50" s="769">
        <f t="shared" si="95"/>
        <v>0</v>
      </c>
      <c r="CD50" s="708"/>
      <c r="CE50" s="708"/>
      <c r="CF50" s="708"/>
      <c r="CG50" s="712"/>
      <c r="CH50" s="708"/>
      <c r="CI50" s="708"/>
      <c r="CJ50" s="708"/>
      <c r="CK50" s="708"/>
      <c r="CL50" s="769">
        <f t="shared" si="96"/>
        <v>0</v>
      </c>
      <c r="CM50" s="769">
        <f t="shared" si="96"/>
        <v>0</v>
      </c>
      <c r="CN50" s="769">
        <f t="shared" si="96"/>
        <v>0</v>
      </c>
      <c r="CO50" s="769">
        <f t="shared" si="96"/>
        <v>0</v>
      </c>
      <c r="CP50" s="769">
        <f t="shared" si="96"/>
        <v>0</v>
      </c>
      <c r="CQ50" s="708"/>
      <c r="CR50" s="769">
        <f t="shared" si="97"/>
        <v>0</v>
      </c>
      <c r="CS50" s="769">
        <f t="shared" si="97"/>
        <v>0</v>
      </c>
      <c r="CT50" s="769">
        <f t="shared" si="97"/>
        <v>0</v>
      </c>
      <c r="CU50" s="769">
        <f t="shared" si="97"/>
        <v>0</v>
      </c>
      <c r="CV50" s="769">
        <f t="shared" si="97"/>
        <v>0</v>
      </c>
      <c r="CW50" s="708"/>
      <c r="CX50" s="769">
        <f t="shared" si="98"/>
        <v>0</v>
      </c>
      <c r="CY50" s="769">
        <f t="shared" si="98"/>
        <v>0</v>
      </c>
      <c r="CZ50" s="769">
        <f t="shared" si="98"/>
        <v>0</v>
      </c>
      <c r="DA50" s="769">
        <f t="shared" si="98"/>
        <v>0</v>
      </c>
      <c r="DB50" s="769">
        <f t="shared" si="98"/>
        <v>0</v>
      </c>
      <c r="DC50" s="708"/>
      <c r="DD50" s="708"/>
      <c r="DE50" s="708"/>
      <c r="DF50" s="708"/>
      <c r="DG50" s="708"/>
      <c r="DH50" s="708"/>
      <c r="DI50" s="708"/>
      <c r="DJ50" s="769">
        <f t="shared" si="99"/>
        <v>0</v>
      </c>
      <c r="DK50" s="769">
        <f t="shared" si="99"/>
        <v>0</v>
      </c>
      <c r="DL50" s="769">
        <f t="shared" si="99"/>
        <v>0</v>
      </c>
      <c r="DM50" s="769">
        <f t="shared" si="99"/>
        <v>0</v>
      </c>
      <c r="DN50" s="769">
        <f t="shared" si="99"/>
        <v>0</v>
      </c>
      <c r="DO50" s="708"/>
      <c r="DP50" s="708"/>
      <c r="DQ50" s="708"/>
      <c r="DR50" s="708"/>
      <c r="DS50" s="708"/>
      <c r="DT50" s="708"/>
      <c r="DU50" s="708"/>
      <c r="DV50" s="708"/>
      <c r="DW50" s="708"/>
      <c r="DX50" s="708"/>
      <c r="DY50" s="708"/>
      <c r="DZ50" s="708"/>
      <c r="EA50" s="708"/>
      <c r="EB50" s="708"/>
      <c r="EC50" s="708"/>
      <c r="ED50" s="708"/>
      <c r="EE50" s="708"/>
      <c r="EF50" s="708"/>
      <c r="EG50" s="708"/>
      <c r="EH50" s="708"/>
      <c r="EI50" s="708"/>
      <c r="EJ50" s="708"/>
      <c r="EK50" s="708"/>
      <c r="EL50" s="708"/>
      <c r="EM50" s="708"/>
      <c r="EN50" s="708"/>
      <c r="EO50" s="708"/>
      <c r="EP50" s="708"/>
      <c r="EQ50" s="708"/>
      <c r="ER50" s="708"/>
      <c r="ES50" s="708"/>
      <c r="ET50" s="708"/>
      <c r="EU50" s="708"/>
      <c r="EV50" s="708"/>
      <c r="EW50" s="708"/>
      <c r="EX50" s="708"/>
      <c r="EY50" s="708"/>
      <c r="EZ50" s="708"/>
      <c r="FA50" s="708"/>
      <c r="FB50" s="708"/>
      <c r="FC50" s="708"/>
      <c r="FD50" s="708"/>
      <c r="FE50" s="708"/>
      <c r="FF50" s="708"/>
      <c r="FG50" s="708"/>
      <c r="FH50" s="708"/>
      <c r="FI50" s="708"/>
      <c r="FJ50" s="708"/>
      <c r="FK50" s="708"/>
      <c r="FL50" s="708"/>
      <c r="FM50" s="708"/>
      <c r="FN50" s="708"/>
      <c r="FO50" s="708"/>
      <c r="FP50" s="708"/>
      <c r="FQ50" s="708"/>
      <c r="FR50" s="708"/>
      <c r="FS50" s="708"/>
      <c r="FT50" s="708"/>
      <c r="FU50" s="708"/>
      <c r="FV50" s="708"/>
      <c r="FW50" s="708"/>
      <c r="FX50" s="708"/>
      <c r="FY50" s="708"/>
      <c r="FZ50" s="708"/>
      <c r="GA50" s="708"/>
      <c r="GB50" s="708"/>
      <c r="GC50" s="708"/>
      <c r="GD50" s="708"/>
      <c r="GE50" s="708"/>
      <c r="GF50" s="708"/>
      <c r="GG50" s="708"/>
      <c r="GH50" s="708"/>
      <c r="GI50" s="708"/>
      <c r="GJ50" s="708"/>
      <c r="GK50" s="708"/>
      <c r="GL50" s="708"/>
      <c r="GM50" s="708"/>
      <c r="GN50" s="708"/>
      <c r="GO50" s="708"/>
      <c r="GP50" s="708"/>
      <c r="GQ50" s="708"/>
      <c r="GR50" s="708"/>
      <c r="GS50" s="708"/>
      <c r="GT50" s="708"/>
      <c r="GU50" s="708"/>
      <c r="GV50" s="708"/>
      <c r="GW50" s="708"/>
      <c r="GX50" s="708"/>
      <c r="GY50" s="708"/>
      <c r="GZ50" s="708"/>
      <c r="HA50" s="708"/>
      <c r="HB50" s="708"/>
      <c r="HC50" s="708"/>
      <c r="HD50" s="708"/>
      <c r="HE50" s="708"/>
      <c r="HF50" s="708"/>
      <c r="HG50" s="708"/>
      <c r="HH50" s="708"/>
      <c r="HI50" s="708"/>
      <c r="HJ50" s="708"/>
      <c r="HK50" s="708"/>
      <c r="HL50" s="708"/>
      <c r="HM50" s="708"/>
      <c r="HN50" s="708"/>
      <c r="HO50" s="708"/>
      <c r="HP50" s="708"/>
      <c r="HQ50" s="708"/>
      <c r="HR50" s="708"/>
      <c r="HS50" s="708"/>
      <c r="HT50" s="708"/>
      <c r="HU50" s="708"/>
      <c r="HV50" s="708"/>
      <c r="HW50" s="708"/>
      <c r="HX50" s="708"/>
      <c r="HY50" s="708"/>
      <c r="HZ50" s="708"/>
      <c r="IA50" s="708"/>
      <c r="IB50" s="708"/>
      <c r="IC50" s="708"/>
      <c r="ID50" s="708"/>
      <c r="IE50" s="708"/>
      <c r="IF50" s="708"/>
      <c r="IG50" s="708"/>
      <c r="IH50" s="708"/>
      <c r="II50" s="708"/>
      <c r="IJ50" s="708"/>
      <c r="IK50" s="708"/>
      <c r="IL50" s="708"/>
      <c r="IM50" s="708"/>
      <c r="IN50" s="708"/>
      <c r="IO50" s="708"/>
      <c r="IP50" s="708"/>
      <c r="IQ50" s="708"/>
      <c r="IR50" s="708"/>
      <c r="IS50" s="708"/>
      <c r="IT50" s="708"/>
      <c r="IU50" s="708"/>
      <c r="IV50" s="708"/>
    </row>
    <row r="51" spans="1:256" s="778" customFormat="1">
      <c r="A51" s="708"/>
      <c r="B51" s="708"/>
      <c r="C51" s="708"/>
      <c r="D51" s="708"/>
      <c r="E51" s="822" t="s">
        <v>928</v>
      </c>
      <c r="F51" s="712" t="str">
        <f t="shared" si="84"/>
        <v>LOTInscrits</v>
      </c>
      <c r="G51" s="712"/>
      <c r="H51" s="712"/>
      <c r="I51" s="712"/>
      <c r="J51" s="709"/>
      <c r="K51" s="708"/>
      <c r="L51" s="708"/>
      <c r="M51" s="708"/>
      <c r="N51" s="708"/>
      <c r="O51" s="708"/>
      <c r="P51" s="823"/>
      <c r="Q51" s="823"/>
      <c r="R51" s="823"/>
      <c r="S51" s="823"/>
      <c r="T51" s="823"/>
      <c r="U51" s="708"/>
      <c r="V51" s="769">
        <f t="shared" si="86"/>
        <v>0</v>
      </c>
      <c r="W51" s="769">
        <f t="shared" si="86"/>
        <v>0</v>
      </c>
      <c r="X51" s="769">
        <f t="shared" si="86"/>
        <v>0</v>
      </c>
      <c r="Y51" s="769">
        <f t="shared" si="86"/>
        <v>0</v>
      </c>
      <c r="Z51" s="769">
        <f t="shared" si="86"/>
        <v>0</v>
      </c>
      <c r="AA51" s="708"/>
      <c r="AB51" s="769">
        <f t="shared" si="87"/>
        <v>0</v>
      </c>
      <c r="AC51" s="769">
        <f t="shared" si="87"/>
        <v>0</v>
      </c>
      <c r="AD51" s="769">
        <f t="shared" si="87"/>
        <v>0</v>
      </c>
      <c r="AE51" s="769">
        <f t="shared" si="87"/>
        <v>0</v>
      </c>
      <c r="AF51" s="769">
        <f t="shared" si="87"/>
        <v>0</v>
      </c>
      <c r="AG51" s="708"/>
      <c r="AH51" s="769">
        <f t="shared" si="88"/>
        <v>0</v>
      </c>
      <c r="AI51" s="769">
        <f t="shared" si="88"/>
        <v>0</v>
      </c>
      <c r="AJ51" s="769">
        <f t="shared" si="88"/>
        <v>0</v>
      </c>
      <c r="AK51" s="769">
        <f t="shared" si="88"/>
        <v>0</v>
      </c>
      <c r="AL51" s="769">
        <f t="shared" si="88"/>
        <v>0</v>
      </c>
      <c r="AM51" s="708"/>
      <c r="AN51" s="768"/>
      <c r="AO51" s="769">
        <f t="shared" si="89"/>
        <v>0</v>
      </c>
      <c r="AP51" s="769">
        <f t="shared" si="89"/>
        <v>0</v>
      </c>
      <c r="AQ51" s="769">
        <f t="shared" si="89"/>
        <v>0</v>
      </c>
      <c r="AR51" s="769">
        <f t="shared" si="89"/>
        <v>0</v>
      </c>
      <c r="AS51" s="769">
        <f t="shared" si="89"/>
        <v>0</v>
      </c>
      <c r="AT51" s="708"/>
      <c r="AU51" s="769">
        <f t="shared" si="90"/>
        <v>0</v>
      </c>
      <c r="AV51" s="769">
        <f t="shared" si="90"/>
        <v>0</v>
      </c>
      <c r="AW51" s="769">
        <f t="shared" si="90"/>
        <v>0</v>
      </c>
      <c r="AX51" s="769">
        <f t="shared" si="90"/>
        <v>0</v>
      </c>
      <c r="AY51" s="769">
        <f t="shared" si="90"/>
        <v>0</v>
      </c>
      <c r="AZ51" s="708"/>
      <c r="BA51" s="769">
        <f t="shared" si="91"/>
        <v>0</v>
      </c>
      <c r="BB51" s="769">
        <f t="shared" si="91"/>
        <v>0</v>
      </c>
      <c r="BC51" s="769">
        <f t="shared" si="91"/>
        <v>0</v>
      </c>
      <c r="BD51" s="769">
        <f t="shared" si="91"/>
        <v>0</v>
      </c>
      <c r="BE51" s="769">
        <f t="shared" si="91"/>
        <v>0</v>
      </c>
      <c r="BF51" s="708"/>
      <c r="BG51" s="769">
        <f t="shared" si="92"/>
        <v>0</v>
      </c>
      <c r="BH51" s="769">
        <f t="shared" si="92"/>
        <v>0</v>
      </c>
      <c r="BI51" s="769">
        <f t="shared" si="92"/>
        <v>0</v>
      </c>
      <c r="BJ51" s="769">
        <f t="shared" si="92"/>
        <v>0</v>
      </c>
      <c r="BK51" s="769">
        <f t="shared" si="92"/>
        <v>0</v>
      </c>
      <c r="BL51" s="708"/>
      <c r="BM51" s="769">
        <f t="shared" si="93"/>
        <v>0</v>
      </c>
      <c r="BN51" s="769">
        <f t="shared" si="93"/>
        <v>0</v>
      </c>
      <c r="BO51" s="769">
        <f t="shared" si="93"/>
        <v>0</v>
      </c>
      <c r="BP51" s="769">
        <f t="shared" si="93"/>
        <v>0</v>
      </c>
      <c r="BQ51" s="769">
        <f t="shared" si="93"/>
        <v>0</v>
      </c>
      <c r="BR51" s="708"/>
      <c r="BS51" s="769">
        <f t="shared" si="94"/>
        <v>0</v>
      </c>
      <c r="BT51" s="769">
        <f t="shared" si="94"/>
        <v>0</v>
      </c>
      <c r="BU51" s="769">
        <f t="shared" si="94"/>
        <v>0</v>
      </c>
      <c r="BV51" s="769">
        <f t="shared" si="94"/>
        <v>0</v>
      </c>
      <c r="BW51" s="769">
        <f t="shared" si="94"/>
        <v>0</v>
      </c>
      <c r="BX51" s="708"/>
      <c r="BY51" s="769">
        <f t="shared" si="95"/>
        <v>0</v>
      </c>
      <c r="BZ51" s="769">
        <f t="shared" si="95"/>
        <v>0</v>
      </c>
      <c r="CA51" s="769">
        <f t="shared" si="95"/>
        <v>0</v>
      </c>
      <c r="CB51" s="769">
        <f t="shared" si="95"/>
        <v>0</v>
      </c>
      <c r="CC51" s="769">
        <f t="shared" si="95"/>
        <v>0</v>
      </c>
      <c r="CD51" s="708"/>
      <c r="CE51" s="708"/>
      <c r="CF51" s="708"/>
      <c r="CG51" s="712"/>
      <c r="CH51" s="708"/>
      <c r="CI51" s="708"/>
      <c r="CJ51" s="708"/>
      <c r="CK51" s="708"/>
      <c r="CL51" s="769">
        <f t="shared" si="96"/>
        <v>0</v>
      </c>
      <c r="CM51" s="769">
        <f t="shared" si="96"/>
        <v>0</v>
      </c>
      <c r="CN51" s="769">
        <f t="shared" si="96"/>
        <v>0</v>
      </c>
      <c r="CO51" s="769">
        <f t="shared" si="96"/>
        <v>0</v>
      </c>
      <c r="CP51" s="769">
        <f t="shared" si="96"/>
        <v>0</v>
      </c>
      <c r="CQ51" s="708"/>
      <c r="CR51" s="769">
        <f t="shared" si="97"/>
        <v>0</v>
      </c>
      <c r="CS51" s="769">
        <f t="shared" si="97"/>
        <v>0</v>
      </c>
      <c r="CT51" s="769">
        <f t="shared" si="97"/>
        <v>0</v>
      </c>
      <c r="CU51" s="769">
        <f t="shared" si="97"/>
        <v>0</v>
      </c>
      <c r="CV51" s="769">
        <f t="shared" si="97"/>
        <v>0</v>
      </c>
      <c r="CW51" s="708"/>
      <c r="CX51" s="769">
        <f t="shared" si="98"/>
        <v>0</v>
      </c>
      <c r="CY51" s="769">
        <f t="shared" si="98"/>
        <v>0</v>
      </c>
      <c r="CZ51" s="769">
        <f t="shared" si="98"/>
        <v>0</v>
      </c>
      <c r="DA51" s="769">
        <f t="shared" si="98"/>
        <v>0</v>
      </c>
      <c r="DB51" s="769">
        <f t="shared" si="98"/>
        <v>0</v>
      </c>
      <c r="DC51" s="708"/>
      <c r="DD51" s="708"/>
      <c r="DE51" s="708"/>
      <c r="DF51" s="708"/>
      <c r="DG51" s="708"/>
      <c r="DH51" s="708"/>
      <c r="DI51" s="708"/>
      <c r="DJ51" s="769">
        <f t="shared" si="99"/>
        <v>0</v>
      </c>
      <c r="DK51" s="769">
        <f t="shared" si="99"/>
        <v>0</v>
      </c>
      <c r="DL51" s="769">
        <f t="shared" si="99"/>
        <v>0</v>
      </c>
      <c r="DM51" s="769">
        <f t="shared" si="99"/>
        <v>0</v>
      </c>
      <c r="DN51" s="769">
        <f t="shared" si="99"/>
        <v>0</v>
      </c>
      <c r="DO51" s="708"/>
      <c r="DP51" s="708"/>
      <c r="DQ51" s="708"/>
      <c r="DR51" s="708"/>
      <c r="DS51" s="708"/>
      <c r="DT51" s="708"/>
      <c r="DU51" s="708"/>
      <c r="DV51" s="708"/>
      <c r="DW51" s="708"/>
      <c r="DX51" s="708"/>
      <c r="DY51" s="708"/>
      <c r="DZ51" s="708"/>
      <c r="EA51" s="708"/>
      <c r="EB51" s="708"/>
      <c r="EC51" s="708"/>
      <c r="ED51" s="708"/>
      <c r="EE51" s="708"/>
      <c r="EF51" s="708"/>
      <c r="EG51" s="708"/>
      <c r="EH51" s="708"/>
      <c r="EI51" s="708"/>
      <c r="EJ51" s="708"/>
      <c r="EK51" s="708"/>
      <c r="EL51" s="708"/>
      <c r="EM51" s="708"/>
      <c r="EN51" s="708"/>
      <c r="EO51" s="708"/>
      <c r="EP51" s="708"/>
      <c r="EQ51" s="708"/>
      <c r="ER51" s="708"/>
      <c r="ES51" s="708"/>
      <c r="ET51" s="708"/>
      <c r="EU51" s="708"/>
      <c r="EV51" s="708"/>
      <c r="EW51" s="708"/>
      <c r="EX51" s="708"/>
      <c r="EY51" s="708"/>
      <c r="EZ51" s="708"/>
      <c r="FA51" s="708"/>
      <c r="FB51" s="708"/>
      <c r="FC51" s="708"/>
      <c r="FD51" s="708"/>
      <c r="FE51" s="708"/>
      <c r="FF51" s="708"/>
      <c r="FG51" s="708"/>
      <c r="FH51" s="708"/>
      <c r="FI51" s="708"/>
      <c r="FJ51" s="708"/>
      <c r="FK51" s="708"/>
      <c r="FL51" s="708"/>
      <c r="FM51" s="708"/>
      <c r="FN51" s="708"/>
      <c r="FO51" s="708"/>
      <c r="FP51" s="708"/>
      <c r="FQ51" s="708"/>
      <c r="FR51" s="708"/>
      <c r="FS51" s="708"/>
      <c r="FT51" s="708"/>
      <c r="FU51" s="708"/>
      <c r="FV51" s="708"/>
      <c r="FW51" s="708"/>
      <c r="FX51" s="708"/>
      <c r="FY51" s="708"/>
      <c r="FZ51" s="708"/>
      <c r="GA51" s="708"/>
      <c r="GB51" s="708"/>
      <c r="GC51" s="708"/>
      <c r="GD51" s="708"/>
      <c r="GE51" s="708"/>
      <c r="GF51" s="708"/>
      <c r="GG51" s="708"/>
      <c r="GH51" s="708"/>
      <c r="GI51" s="708"/>
      <c r="GJ51" s="708"/>
      <c r="GK51" s="708"/>
      <c r="GL51" s="708"/>
      <c r="GM51" s="708"/>
      <c r="GN51" s="708"/>
      <c r="GO51" s="708"/>
      <c r="GP51" s="708"/>
      <c r="GQ51" s="708"/>
      <c r="GR51" s="708"/>
      <c r="GS51" s="708"/>
      <c r="GT51" s="708"/>
      <c r="GU51" s="708"/>
      <c r="GV51" s="708"/>
      <c r="GW51" s="708"/>
      <c r="GX51" s="708"/>
      <c r="GY51" s="708"/>
      <c r="GZ51" s="708"/>
      <c r="HA51" s="708"/>
      <c r="HB51" s="708"/>
      <c r="HC51" s="708"/>
      <c r="HD51" s="708"/>
      <c r="HE51" s="708"/>
      <c r="HF51" s="708"/>
      <c r="HG51" s="708"/>
      <c r="HH51" s="708"/>
      <c r="HI51" s="708"/>
      <c r="HJ51" s="708"/>
      <c r="HK51" s="708"/>
      <c r="HL51" s="708"/>
      <c r="HM51" s="708"/>
      <c r="HN51" s="708"/>
      <c r="HO51" s="708"/>
      <c r="HP51" s="708"/>
      <c r="HQ51" s="708"/>
      <c r="HR51" s="708"/>
      <c r="HS51" s="708"/>
      <c r="HT51" s="708"/>
      <c r="HU51" s="708"/>
      <c r="HV51" s="708"/>
      <c r="HW51" s="708"/>
      <c r="HX51" s="708"/>
      <c r="HY51" s="708"/>
      <c r="HZ51" s="708"/>
      <c r="IA51" s="708"/>
      <c r="IB51" s="708"/>
      <c r="IC51" s="708"/>
      <c r="ID51" s="708"/>
      <c r="IE51" s="708"/>
      <c r="IF51" s="708"/>
      <c r="IG51" s="708"/>
      <c r="IH51" s="708"/>
      <c r="II51" s="708"/>
      <c r="IJ51" s="708"/>
      <c r="IK51" s="708"/>
      <c r="IL51" s="708"/>
      <c r="IM51" s="708"/>
      <c r="IN51" s="708"/>
      <c r="IO51" s="708"/>
      <c r="IP51" s="708"/>
      <c r="IQ51" s="708"/>
      <c r="IR51" s="708"/>
      <c r="IS51" s="708"/>
      <c r="IT51" s="708"/>
      <c r="IU51" s="708"/>
      <c r="IV51" s="708"/>
    </row>
    <row r="52" spans="1:256" s="778" customFormat="1">
      <c r="A52" s="708"/>
      <c r="B52" s="708"/>
      <c r="C52" s="708"/>
      <c r="D52" s="708"/>
      <c r="E52" s="822" t="s">
        <v>929</v>
      </c>
      <c r="F52" s="712" t="str">
        <f t="shared" si="84"/>
        <v>MSGInscrits</v>
      </c>
      <c r="G52" s="712"/>
      <c r="H52" s="712"/>
      <c r="I52" s="712"/>
      <c r="J52" s="709"/>
      <c r="K52" s="708"/>
      <c r="L52" s="708"/>
      <c r="M52" s="708"/>
      <c r="N52" s="708"/>
      <c r="O52" s="708"/>
      <c r="P52" s="823"/>
      <c r="Q52" s="823"/>
      <c r="R52" s="823"/>
      <c r="S52" s="823"/>
      <c r="T52" s="823"/>
      <c r="U52" s="708"/>
      <c r="V52" s="769">
        <f t="shared" si="86"/>
        <v>0</v>
      </c>
      <c r="W52" s="769">
        <f t="shared" si="86"/>
        <v>0</v>
      </c>
      <c r="X52" s="769">
        <f t="shared" si="86"/>
        <v>0</v>
      </c>
      <c r="Y52" s="769">
        <f t="shared" si="86"/>
        <v>0</v>
      </c>
      <c r="Z52" s="769">
        <f t="shared" si="86"/>
        <v>0</v>
      </c>
      <c r="AA52" s="708"/>
      <c r="AB52" s="769">
        <f t="shared" si="87"/>
        <v>0</v>
      </c>
      <c r="AC52" s="769">
        <f t="shared" si="87"/>
        <v>0</v>
      </c>
      <c r="AD52" s="769">
        <f t="shared" si="87"/>
        <v>0</v>
      </c>
      <c r="AE52" s="769">
        <f t="shared" si="87"/>
        <v>0</v>
      </c>
      <c r="AF52" s="769">
        <f t="shared" si="87"/>
        <v>0</v>
      </c>
      <c r="AG52" s="708"/>
      <c r="AH52" s="769">
        <f t="shared" si="88"/>
        <v>0</v>
      </c>
      <c r="AI52" s="769">
        <f t="shared" si="88"/>
        <v>0</v>
      </c>
      <c r="AJ52" s="769">
        <f t="shared" si="88"/>
        <v>0</v>
      </c>
      <c r="AK52" s="769">
        <f t="shared" si="88"/>
        <v>0</v>
      </c>
      <c r="AL52" s="769">
        <f t="shared" si="88"/>
        <v>0</v>
      </c>
      <c r="AM52" s="708"/>
      <c r="AN52" s="768"/>
      <c r="AO52" s="769">
        <f t="shared" si="89"/>
        <v>0</v>
      </c>
      <c r="AP52" s="769">
        <f t="shared" si="89"/>
        <v>0</v>
      </c>
      <c r="AQ52" s="769">
        <f t="shared" si="89"/>
        <v>0</v>
      </c>
      <c r="AR52" s="769">
        <f t="shared" si="89"/>
        <v>0</v>
      </c>
      <c r="AS52" s="769">
        <f t="shared" si="89"/>
        <v>0</v>
      </c>
      <c r="AT52" s="708"/>
      <c r="AU52" s="769">
        <f t="shared" si="90"/>
        <v>0</v>
      </c>
      <c r="AV52" s="769">
        <f t="shared" si="90"/>
        <v>0</v>
      </c>
      <c r="AW52" s="769">
        <f t="shared" si="90"/>
        <v>0</v>
      </c>
      <c r="AX52" s="769">
        <f t="shared" si="90"/>
        <v>0</v>
      </c>
      <c r="AY52" s="769">
        <f t="shared" si="90"/>
        <v>0</v>
      </c>
      <c r="AZ52" s="708"/>
      <c r="BA52" s="769">
        <f t="shared" si="91"/>
        <v>0</v>
      </c>
      <c r="BB52" s="769">
        <f t="shared" si="91"/>
        <v>0</v>
      </c>
      <c r="BC52" s="769">
        <f t="shared" si="91"/>
        <v>0</v>
      </c>
      <c r="BD52" s="769">
        <f t="shared" si="91"/>
        <v>0</v>
      </c>
      <c r="BE52" s="769">
        <f t="shared" si="91"/>
        <v>0</v>
      </c>
      <c r="BF52" s="708"/>
      <c r="BG52" s="769">
        <f t="shared" si="92"/>
        <v>0</v>
      </c>
      <c r="BH52" s="769">
        <f t="shared" si="92"/>
        <v>0</v>
      </c>
      <c r="BI52" s="769">
        <f t="shared" si="92"/>
        <v>0</v>
      </c>
      <c r="BJ52" s="769">
        <f t="shared" si="92"/>
        <v>0</v>
      </c>
      <c r="BK52" s="769">
        <f t="shared" si="92"/>
        <v>0</v>
      </c>
      <c r="BL52" s="708"/>
      <c r="BM52" s="769">
        <f t="shared" si="93"/>
        <v>0</v>
      </c>
      <c r="BN52" s="769">
        <f t="shared" si="93"/>
        <v>0</v>
      </c>
      <c r="BO52" s="769">
        <f t="shared" si="93"/>
        <v>0</v>
      </c>
      <c r="BP52" s="769">
        <f t="shared" si="93"/>
        <v>0</v>
      </c>
      <c r="BQ52" s="769">
        <f t="shared" si="93"/>
        <v>0</v>
      </c>
      <c r="BR52" s="708"/>
      <c r="BS52" s="769">
        <f t="shared" si="94"/>
        <v>0</v>
      </c>
      <c r="BT52" s="769">
        <f t="shared" si="94"/>
        <v>0</v>
      </c>
      <c r="BU52" s="769">
        <f t="shared" si="94"/>
        <v>0</v>
      </c>
      <c r="BV52" s="769">
        <f t="shared" si="94"/>
        <v>0</v>
      </c>
      <c r="BW52" s="769">
        <f t="shared" si="94"/>
        <v>0</v>
      </c>
      <c r="BX52" s="708"/>
      <c r="BY52" s="769">
        <f t="shared" si="95"/>
        <v>0</v>
      </c>
      <c r="BZ52" s="769">
        <f t="shared" si="95"/>
        <v>0</v>
      </c>
      <c r="CA52" s="769">
        <f t="shared" si="95"/>
        <v>0</v>
      </c>
      <c r="CB52" s="769">
        <f t="shared" si="95"/>
        <v>0</v>
      </c>
      <c r="CC52" s="769">
        <f t="shared" si="95"/>
        <v>0</v>
      </c>
      <c r="CD52" s="708"/>
      <c r="CE52" s="708"/>
      <c r="CF52" s="708"/>
      <c r="CG52" s="712"/>
      <c r="CH52" s="708"/>
      <c r="CI52" s="708"/>
      <c r="CJ52" s="708"/>
      <c r="CK52" s="708"/>
      <c r="CL52" s="769">
        <f t="shared" si="96"/>
        <v>0</v>
      </c>
      <c r="CM52" s="769">
        <f t="shared" si="96"/>
        <v>0</v>
      </c>
      <c r="CN52" s="769">
        <f t="shared" si="96"/>
        <v>0</v>
      </c>
      <c r="CO52" s="769">
        <f t="shared" si="96"/>
        <v>0</v>
      </c>
      <c r="CP52" s="769">
        <f t="shared" si="96"/>
        <v>0</v>
      </c>
      <c r="CQ52" s="708"/>
      <c r="CR52" s="769">
        <f t="shared" si="97"/>
        <v>0</v>
      </c>
      <c r="CS52" s="769">
        <f t="shared" si="97"/>
        <v>0</v>
      </c>
      <c r="CT52" s="769">
        <f t="shared" si="97"/>
        <v>0</v>
      </c>
      <c r="CU52" s="769">
        <f t="shared" si="97"/>
        <v>0</v>
      </c>
      <c r="CV52" s="769">
        <f t="shared" si="97"/>
        <v>0</v>
      </c>
      <c r="CW52" s="708"/>
      <c r="CX52" s="769">
        <f t="shared" si="98"/>
        <v>0</v>
      </c>
      <c r="CY52" s="769">
        <f t="shared" si="98"/>
        <v>0</v>
      </c>
      <c r="CZ52" s="769">
        <f t="shared" si="98"/>
        <v>0</v>
      </c>
      <c r="DA52" s="769">
        <f t="shared" si="98"/>
        <v>0</v>
      </c>
      <c r="DB52" s="769">
        <f t="shared" si="98"/>
        <v>0</v>
      </c>
      <c r="DC52" s="708"/>
      <c r="DD52" s="708"/>
      <c r="DE52" s="708"/>
      <c r="DF52" s="708"/>
      <c r="DG52" s="708"/>
      <c r="DH52" s="708"/>
      <c r="DI52" s="708"/>
      <c r="DJ52" s="769">
        <f t="shared" si="99"/>
        <v>0</v>
      </c>
      <c r="DK52" s="769">
        <f t="shared" si="99"/>
        <v>0</v>
      </c>
      <c r="DL52" s="769">
        <f t="shared" si="99"/>
        <v>0</v>
      </c>
      <c r="DM52" s="769">
        <f t="shared" si="99"/>
        <v>0</v>
      </c>
      <c r="DN52" s="769">
        <f t="shared" si="99"/>
        <v>0</v>
      </c>
      <c r="DO52" s="708"/>
      <c r="DP52" s="708"/>
      <c r="DQ52" s="708"/>
      <c r="DR52" s="708"/>
      <c r="DS52" s="708"/>
      <c r="DT52" s="708"/>
      <c r="DU52" s="708"/>
      <c r="DV52" s="708"/>
      <c r="DW52" s="708"/>
      <c r="DX52" s="708"/>
      <c r="DY52" s="708"/>
      <c r="DZ52" s="708"/>
      <c r="EA52" s="708"/>
      <c r="EB52" s="708"/>
      <c r="EC52" s="708"/>
      <c r="ED52" s="708"/>
      <c r="EE52" s="708"/>
      <c r="EF52" s="708"/>
      <c r="EG52" s="708"/>
      <c r="EH52" s="708"/>
      <c r="EI52" s="708"/>
      <c r="EJ52" s="708"/>
      <c r="EK52" s="708"/>
      <c r="EL52" s="708"/>
      <c r="EM52" s="708"/>
      <c r="EN52" s="708"/>
      <c r="EO52" s="708"/>
      <c r="EP52" s="708"/>
      <c r="EQ52" s="708"/>
      <c r="ER52" s="708"/>
      <c r="ES52" s="708"/>
      <c r="ET52" s="708"/>
      <c r="EU52" s="708"/>
      <c r="EV52" s="708"/>
      <c r="EW52" s="708"/>
      <c r="EX52" s="708"/>
      <c r="EY52" s="708"/>
      <c r="EZ52" s="708"/>
      <c r="FA52" s="708"/>
      <c r="FB52" s="708"/>
      <c r="FC52" s="708"/>
      <c r="FD52" s="708"/>
      <c r="FE52" s="708"/>
      <c r="FF52" s="708"/>
      <c r="FG52" s="708"/>
      <c r="FH52" s="708"/>
      <c r="FI52" s="708"/>
      <c r="FJ52" s="708"/>
      <c r="FK52" s="708"/>
      <c r="FL52" s="708"/>
      <c r="FM52" s="708"/>
      <c r="FN52" s="708"/>
      <c r="FO52" s="708"/>
      <c r="FP52" s="708"/>
      <c r="FQ52" s="708"/>
      <c r="FR52" s="708"/>
      <c r="FS52" s="708"/>
      <c r="FT52" s="708"/>
      <c r="FU52" s="708"/>
      <c r="FV52" s="708"/>
      <c r="FW52" s="708"/>
      <c r="FX52" s="708"/>
      <c r="FY52" s="708"/>
      <c r="FZ52" s="708"/>
      <c r="GA52" s="708"/>
      <c r="GB52" s="708"/>
      <c r="GC52" s="708"/>
      <c r="GD52" s="708"/>
      <c r="GE52" s="708"/>
      <c r="GF52" s="708"/>
      <c r="GG52" s="708"/>
      <c r="GH52" s="708"/>
      <c r="GI52" s="708"/>
      <c r="GJ52" s="708"/>
      <c r="GK52" s="708"/>
      <c r="GL52" s="708"/>
      <c r="GM52" s="708"/>
      <c r="GN52" s="708"/>
      <c r="GO52" s="708"/>
      <c r="GP52" s="708"/>
      <c r="GQ52" s="708"/>
      <c r="GR52" s="708"/>
      <c r="GS52" s="708"/>
      <c r="GT52" s="708"/>
      <c r="GU52" s="708"/>
      <c r="GV52" s="708"/>
      <c r="GW52" s="708"/>
      <c r="GX52" s="708"/>
      <c r="GY52" s="708"/>
      <c r="GZ52" s="708"/>
      <c r="HA52" s="708"/>
      <c r="HB52" s="708"/>
      <c r="HC52" s="708"/>
      <c r="HD52" s="708"/>
      <c r="HE52" s="708"/>
      <c r="HF52" s="708"/>
      <c r="HG52" s="708"/>
      <c r="HH52" s="708"/>
      <c r="HI52" s="708"/>
      <c r="HJ52" s="708"/>
      <c r="HK52" s="708"/>
      <c r="HL52" s="708"/>
      <c r="HM52" s="708"/>
      <c r="HN52" s="708"/>
      <c r="HO52" s="708"/>
      <c r="HP52" s="708"/>
      <c r="HQ52" s="708"/>
      <c r="HR52" s="708"/>
      <c r="HS52" s="708"/>
      <c r="HT52" s="708"/>
      <c r="HU52" s="708"/>
      <c r="HV52" s="708"/>
      <c r="HW52" s="708"/>
      <c r="HX52" s="708"/>
      <c r="HY52" s="708"/>
      <c r="HZ52" s="708"/>
      <c r="IA52" s="708"/>
      <c r="IB52" s="708"/>
      <c r="IC52" s="708"/>
      <c r="ID52" s="708"/>
      <c r="IE52" s="708"/>
      <c r="IF52" s="708"/>
      <c r="IG52" s="708"/>
      <c r="IH52" s="708"/>
      <c r="II52" s="708"/>
      <c r="IJ52" s="708"/>
      <c r="IK52" s="708"/>
      <c r="IL52" s="708"/>
      <c r="IM52" s="708"/>
      <c r="IN52" s="708"/>
      <c r="IO52" s="708"/>
      <c r="IP52" s="708"/>
      <c r="IQ52" s="708"/>
      <c r="IR52" s="708"/>
      <c r="IS52" s="708"/>
      <c r="IT52" s="708"/>
      <c r="IU52" s="708"/>
      <c r="IV52" s="708"/>
    </row>
    <row r="53" spans="1:256" s="778" customFormat="1">
      <c r="A53" s="708"/>
      <c r="B53" s="708"/>
      <c r="C53" s="708"/>
      <c r="D53" s="708"/>
      <c r="E53" s="822" t="s">
        <v>930</v>
      </c>
      <c r="F53" s="712" t="str">
        <f t="shared" si="84"/>
        <v>MOYInscrits</v>
      </c>
      <c r="G53" s="712"/>
      <c r="H53" s="712"/>
      <c r="I53" s="712"/>
      <c r="J53" s="709"/>
      <c r="K53" s="708"/>
      <c r="L53" s="708"/>
      <c r="M53" s="708"/>
      <c r="N53" s="708"/>
      <c r="O53" s="708"/>
      <c r="P53" s="823"/>
      <c r="Q53" s="823"/>
      <c r="R53" s="823"/>
      <c r="S53" s="823"/>
      <c r="T53" s="823"/>
      <c r="U53" s="708"/>
      <c r="V53" s="769">
        <f t="shared" si="86"/>
        <v>0</v>
      </c>
      <c r="W53" s="769">
        <f t="shared" si="86"/>
        <v>0</v>
      </c>
      <c r="X53" s="769">
        <f t="shared" si="86"/>
        <v>0</v>
      </c>
      <c r="Y53" s="769">
        <f t="shared" si="86"/>
        <v>0</v>
      </c>
      <c r="Z53" s="769">
        <f t="shared" si="86"/>
        <v>0</v>
      </c>
      <c r="AA53" s="708"/>
      <c r="AB53" s="769">
        <f t="shared" si="87"/>
        <v>0</v>
      </c>
      <c r="AC53" s="769">
        <f t="shared" si="87"/>
        <v>0</v>
      </c>
      <c r="AD53" s="769">
        <f t="shared" si="87"/>
        <v>0</v>
      </c>
      <c r="AE53" s="769">
        <f t="shared" si="87"/>
        <v>0</v>
      </c>
      <c r="AF53" s="769">
        <f t="shared" si="87"/>
        <v>0</v>
      </c>
      <c r="AG53" s="708"/>
      <c r="AH53" s="769">
        <f t="shared" si="88"/>
        <v>0</v>
      </c>
      <c r="AI53" s="769">
        <f t="shared" si="88"/>
        <v>0</v>
      </c>
      <c r="AJ53" s="769">
        <f t="shared" si="88"/>
        <v>0</v>
      </c>
      <c r="AK53" s="769">
        <f t="shared" si="88"/>
        <v>0</v>
      </c>
      <c r="AL53" s="769">
        <f t="shared" si="88"/>
        <v>0</v>
      </c>
      <c r="AM53" s="708"/>
      <c r="AN53" s="768"/>
      <c r="AO53" s="769">
        <f t="shared" si="89"/>
        <v>0</v>
      </c>
      <c r="AP53" s="769">
        <f t="shared" si="89"/>
        <v>0</v>
      </c>
      <c r="AQ53" s="769">
        <f t="shared" si="89"/>
        <v>0</v>
      </c>
      <c r="AR53" s="769">
        <f t="shared" si="89"/>
        <v>0</v>
      </c>
      <c r="AS53" s="769">
        <f t="shared" si="89"/>
        <v>0</v>
      </c>
      <c r="AT53" s="708"/>
      <c r="AU53" s="769">
        <f t="shared" si="90"/>
        <v>0</v>
      </c>
      <c r="AV53" s="769">
        <f t="shared" si="90"/>
        <v>0</v>
      </c>
      <c r="AW53" s="769">
        <f t="shared" si="90"/>
        <v>0</v>
      </c>
      <c r="AX53" s="769">
        <f t="shared" si="90"/>
        <v>0</v>
      </c>
      <c r="AY53" s="769">
        <f t="shared" si="90"/>
        <v>0</v>
      </c>
      <c r="AZ53" s="708"/>
      <c r="BA53" s="769">
        <f t="shared" si="91"/>
        <v>0</v>
      </c>
      <c r="BB53" s="769">
        <f t="shared" si="91"/>
        <v>0</v>
      </c>
      <c r="BC53" s="769">
        <f t="shared" si="91"/>
        <v>0</v>
      </c>
      <c r="BD53" s="769">
        <f t="shared" si="91"/>
        <v>0</v>
      </c>
      <c r="BE53" s="769">
        <f t="shared" si="91"/>
        <v>0</v>
      </c>
      <c r="BF53" s="708"/>
      <c r="BG53" s="769">
        <f t="shared" si="92"/>
        <v>0</v>
      </c>
      <c r="BH53" s="769">
        <f t="shared" si="92"/>
        <v>0</v>
      </c>
      <c r="BI53" s="769">
        <f t="shared" si="92"/>
        <v>0</v>
      </c>
      <c r="BJ53" s="769">
        <f t="shared" si="92"/>
        <v>0</v>
      </c>
      <c r="BK53" s="769">
        <f t="shared" si="92"/>
        <v>0</v>
      </c>
      <c r="BL53" s="708"/>
      <c r="BM53" s="769">
        <f t="shared" si="93"/>
        <v>0</v>
      </c>
      <c r="BN53" s="769">
        <f t="shared" si="93"/>
        <v>0</v>
      </c>
      <c r="BO53" s="769">
        <f t="shared" si="93"/>
        <v>0</v>
      </c>
      <c r="BP53" s="769">
        <f t="shared" si="93"/>
        <v>0</v>
      </c>
      <c r="BQ53" s="769">
        <f t="shared" si="93"/>
        <v>0</v>
      </c>
      <c r="BR53" s="708"/>
      <c r="BS53" s="769">
        <f t="shared" si="94"/>
        <v>0</v>
      </c>
      <c r="BT53" s="769">
        <f t="shared" si="94"/>
        <v>0</v>
      </c>
      <c r="BU53" s="769">
        <f t="shared" si="94"/>
        <v>0</v>
      </c>
      <c r="BV53" s="769">
        <f t="shared" si="94"/>
        <v>0</v>
      </c>
      <c r="BW53" s="769">
        <f t="shared" si="94"/>
        <v>0</v>
      </c>
      <c r="BX53" s="708"/>
      <c r="BY53" s="769">
        <f t="shared" si="95"/>
        <v>0</v>
      </c>
      <c r="BZ53" s="769">
        <f t="shared" si="95"/>
        <v>0</v>
      </c>
      <c r="CA53" s="769">
        <f t="shared" si="95"/>
        <v>0</v>
      </c>
      <c r="CB53" s="769">
        <f t="shared" si="95"/>
        <v>0</v>
      </c>
      <c r="CC53" s="769">
        <f t="shared" si="95"/>
        <v>0</v>
      </c>
      <c r="CD53" s="708"/>
      <c r="CE53" s="708"/>
      <c r="CF53" s="708"/>
      <c r="CG53" s="712"/>
      <c r="CH53" s="708"/>
      <c r="CI53" s="708"/>
      <c r="CJ53" s="708"/>
      <c r="CK53" s="708"/>
      <c r="CL53" s="769">
        <f t="shared" si="96"/>
        <v>0</v>
      </c>
      <c r="CM53" s="769">
        <f t="shared" si="96"/>
        <v>0</v>
      </c>
      <c r="CN53" s="769">
        <f t="shared" si="96"/>
        <v>0</v>
      </c>
      <c r="CO53" s="769">
        <f t="shared" si="96"/>
        <v>0</v>
      </c>
      <c r="CP53" s="769">
        <f t="shared" si="96"/>
        <v>0</v>
      </c>
      <c r="CQ53" s="708"/>
      <c r="CR53" s="769">
        <f t="shared" si="97"/>
        <v>0</v>
      </c>
      <c r="CS53" s="769">
        <f t="shared" si="97"/>
        <v>0</v>
      </c>
      <c r="CT53" s="769">
        <f t="shared" si="97"/>
        <v>0</v>
      </c>
      <c r="CU53" s="769">
        <f t="shared" si="97"/>
        <v>0</v>
      </c>
      <c r="CV53" s="769">
        <f t="shared" si="97"/>
        <v>0</v>
      </c>
      <c r="CW53" s="708"/>
      <c r="CX53" s="769">
        <f t="shared" si="98"/>
        <v>0</v>
      </c>
      <c r="CY53" s="769">
        <f t="shared" si="98"/>
        <v>0</v>
      </c>
      <c r="CZ53" s="769">
        <f t="shared" si="98"/>
        <v>0</v>
      </c>
      <c r="DA53" s="769">
        <f t="shared" si="98"/>
        <v>0</v>
      </c>
      <c r="DB53" s="769">
        <f t="shared" si="98"/>
        <v>0</v>
      </c>
      <c r="DC53" s="708"/>
      <c r="DD53" s="708"/>
      <c r="DE53" s="708"/>
      <c r="DF53" s="708"/>
      <c r="DG53" s="708"/>
      <c r="DH53" s="708"/>
      <c r="DI53" s="708"/>
      <c r="DJ53" s="769">
        <f t="shared" si="99"/>
        <v>0</v>
      </c>
      <c r="DK53" s="769">
        <f t="shared" si="99"/>
        <v>0</v>
      </c>
      <c r="DL53" s="769">
        <f t="shared" si="99"/>
        <v>0</v>
      </c>
      <c r="DM53" s="769">
        <f t="shared" si="99"/>
        <v>0</v>
      </c>
      <c r="DN53" s="769">
        <f t="shared" si="99"/>
        <v>0</v>
      </c>
      <c r="DO53" s="708"/>
      <c r="DP53" s="708"/>
      <c r="DQ53" s="708"/>
      <c r="DR53" s="708"/>
      <c r="DS53" s="708"/>
      <c r="DT53" s="708"/>
      <c r="DU53" s="708"/>
      <c r="DV53" s="708"/>
      <c r="DW53" s="708"/>
      <c r="DX53" s="708"/>
      <c r="DY53" s="708"/>
      <c r="DZ53" s="708"/>
      <c r="EA53" s="708"/>
      <c r="EB53" s="708"/>
      <c r="EC53" s="708"/>
      <c r="ED53" s="708"/>
      <c r="EE53" s="708"/>
      <c r="EF53" s="708"/>
      <c r="EG53" s="708"/>
      <c r="EH53" s="708"/>
      <c r="EI53" s="708"/>
      <c r="EJ53" s="708"/>
      <c r="EK53" s="708"/>
      <c r="EL53" s="708"/>
      <c r="EM53" s="708"/>
      <c r="EN53" s="708"/>
      <c r="EO53" s="708"/>
      <c r="EP53" s="708"/>
      <c r="EQ53" s="708"/>
      <c r="ER53" s="708"/>
      <c r="ES53" s="708"/>
      <c r="ET53" s="708"/>
      <c r="EU53" s="708"/>
      <c r="EV53" s="708"/>
      <c r="EW53" s="708"/>
      <c r="EX53" s="708"/>
      <c r="EY53" s="708"/>
      <c r="EZ53" s="708"/>
      <c r="FA53" s="708"/>
      <c r="FB53" s="708"/>
      <c r="FC53" s="708"/>
      <c r="FD53" s="708"/>
      <c r="FE53" s="708"/>
      <c r="FF53" s="708"/>
      <c r="FG53" s="708"/>
      <c r="FH53" s="708"/>
      <c r="FI53" s="708"/>
      <c r="FJ53" s="708"/>
      <c r="FK53" s="708"/>
      <c r="FL53" s="708"/>
      <c r="FM53" s="708"/>
      <c r="FN53" s="708"/>
      <c r="FO53" s="708"/>
      <c r="FP53" s="708"/>
      <c r="FQ53" s="708"/>
      <c r="FR53" s="708"/>
      <c r="FS53" s="708"/>
      <c r="FT53" s="708"/>
      <c r="FU53" s="708"/>
      <c r="FV53" s="708"/>
      <c r="FW53" s="708"/>
      <c r="FX53" s="708"/>
      <c r="FY53" s="708"/>
      <c r="FZ53" s="708"/>
      <c r="GA53" s="708"/>
      <c r="GB53" s="708"/>
      <c r="GC53" s="708"/>
      <c r="GD53" s="708"/>
      <c r="GE53" s="708"/>
      <c r="GF53" s="708"/>
      <c r="GG53" s="708"/>
      <c r="GH53" s="708"/>
      <c r="GI53" s="708"/>
      <c r="GJ53" s="708"/>
      <c r="GK53" s="708"/>
      <c r="GL53" s="708"/>
      <c r="GM53" s="708"/>
      <c r="GN53" s="708"/>
      <c r="GO53" s="708"/>
      <c r="GP53" s="708"/>
      <c r="GQ53" s="708"/>
      <c r="GR53" s="708"/>
      <c r="GS53" s="708"/>
      <c r="GT53" s="708"/>
      <c r="GU53" s="708"/>
      <c r="GV53" s="708"/>
      <c r="GW53" s="708"/>
      <c r="GX53" s="708"/>
      <c r="GY53" s="708"/>
      <c r="GZ53" s="708"/>
      <c r="HA53" s="708"/>
      <c r="HB53" s="708"/>
      <c r="HC53" s="708"/>
      <c r="HD53" s="708"/>
      <c r="HE53" s="708"/>
      <c r="HF53" s="708"/>
      <c r="HG53" s="708"/>
      <c r="HH53" s="708"/>
      <c r="HI53" s="708"/>
      <c r="HJ53" s="708"/>
      <c r="HK53" s="708"/>
      <c r="HL53" s="708"/>
      <c r="HM53" s="708"/>
      <c r="HN53" s="708"/>
      <c r="HO53" s="708"/>
      <c r="HP53" s="708"/>
      <c r="HQ53" s="708"/>
      <c r="HR53" s="708"/>
      <c r="HS53" s="708"/>
      <c r="HT53" s="708"/>
      <c r="HU53" s="708"/>
      <c r="HV53" s="708"/>
      <c r="HW53" s="708"/>
      <c r="HX53" s="708"/>
      <c r="HY53" s="708"/>
      <c r="HZ53" s="708"/>
      <c r="IA53" s="708"/>
      <c r="IB53" s="708"/>
      <c r="IC53" s="708"/>
      <c r="ID53" s="708"/>
      <c r="IE53" s="708"/>
      <c r="IF53" s="708"/>
      <c r="IG53" s="708"/>
      <c r="IH53" s="708"/>
      <c r="II53" s="708"/>
      <c r="IJ53" s="708"/>
      <c r="IK53" s="708"/>
      <c r="IL53" s="708"/>
      <c r="IM53" s="708"/>
      <c r="IN53" s="708"/>
      <c r="IO53" s="708"/>
      <c r="IP53" s="708"/>
      <c r="IQ53" s="708"/>
      <c r="IR53" s="708"/>
      <c r="IS53" s="708"/>
      <c r="IT53" s="708"/>
      <c r="IU53" s="708"/>
      <c r="IV53" s="708"/>
    </row>
    <row r="54" spans="1:256">
      <c r="E54" s="822" t="s">
        <v>203</v>
      </c>
      <c r="F54" s="712" t="str">
        <f t="shared" si="84"/>
        <v>OVSInscrits</v>
      </c>
      <c r="G54" s="712"/>
      <c r="H54" s="712"/>
      <c r="I54" s="712"/>
      <c r="P54" s="823">
        <f t="shared" si="85"/>
        <v>0</v>
      </c>
      <c r="Q54" s="823">
        <f t="shared" si="85"/>
        <v>0</v>
      </c>
      <c r="R54" s="823">
        <f t="shared" si="85"/>
        <v>0</v>
      </c>
      <c r="S54" s="823">
        <f t="shared" si="85"/>
        <v>0</v>
      </c>
      <c r="T54" s="823">
        <f t="shared" si="85"/>
        <v>0</v>
      </c>
      <c r="V54" s="769">
        <f t="shared" si="86"/>
        <v>0</v>
      </c>
      <c r="W54" s="769">
        <f t="shared" si="86"/>
        <v>0</v>
      </c>
      <c r="X54" s="769">
        <f t="shared" si="86"/>
        <v>0</v>
      </c>
      <c r="Y54" s="769">
        <f t="shared" si="86"/>
        <v>0</v>
      </c>
      <c r="Z54" s="769">
        <f t="shared" si="86"/>
        <v>0</v>
      </c>
      <c r="AB54" s="769">
        <f t="shared" si="87"/>
        <v>0</v>
      </c>
      <c r="AC54" s="769">
        <f t="shared" si="87"/>
        <v>0</v>
      </c>
      <c r="AD54" s="769">
        <f t="shared" si="87"/>
        <v>0</v>
      </c>
      <c r="AE54" s="769">
        <f t="shared" si="87"/>
        <v>0</v>
      </c>
      <c r="AF54" s="769">
        <f t="shared" si="87"/>
        <v>0</v>
      </c>
      <c r="AH54" s="769">
        <f t="shared" si="88"/>
        <v>0</v>
      </c>
      <c r="AI54" s="769">
        <f t="shared" si="88"/>
        <v>0</v>
      </c>
      <c r="AJ54" s="769">
        <f t="shared" si="88"/>
        <v>0</v>
      </c>
      <c r="AK54" s="769">
        <f t="shared" si="88"/>
        <v>0</v>
      </c>
      <c r="AL54" s="769">
        <f t="shared" si="88"/>
        <v>0</v>
      </c>
      <c r="AN54" s="768"/>
      <c r="AO54" s="769">
        <f t="shared" si="89"/>
        <v>0</v>
      </c>
      <c r="AP54" s="769">
        <f t="shared" si="89"/>
        <v>0</v>
      </c>
      <c r="AQ54" s="769">
        <f t="shared" si="89"/>
        <v>0</v>
      </c>
      <c r="AR54" s="769">
        <f t="shared" si="89"/>
        <v>0</v>
      </c>
      <c r="AS54" s="769">
        <f t="shared" si="89"/>
        <v>0</v>
      </c>
      <c r="AU54" s="769">
        <f t="shared" si="90"/>
        <v>0</v>
      </c>
      <c r="AV54" s="769">
        <f t="shared" si="90"/>
        <v>0</v>
      </c>
      <c r="AW54" s="769">
        <f t="shared" si="90"/>
        <v>0</v>
      </c>
      <c r="AX54" s="769">
        <f t="shared" si="90"/>
        <v>0</v>
      </c>
      <c r="AY54" s="769">
        <f t="shared" si="90"/>
        <v>0</v>
      </c>
      <c r="BA54" s="769">
        <f t="shared" si="91"/>
        <v>0</v>
      </c>
      <c r="BB54" s="769">
        <f t="shared" si="91"/>
        <v>0</v>
      </c>
      <c r="BC54" s="769">
        <f t="shared" si="91"/>
        <v>0</v>
      </c>
      <c r="BD54" s="769">
        <f t="shared" si="91"/>
        <v>0</v>
      </c>
      <c r="BE54" s="769">
        <f t="shared" si="91"/>
        <v>0</v>
      </c>
      <c r="BG54" s="769">
        <f t="shared" si="92"/>
        <v>0</v>
      </c>
      <c r="BH54" s="769">
        <f t="shared" si="92"/>
        <v>0</v>
      </c>
      <c r="BI54" s="769">
        <f t="shared" si="92"/>
        <v>0</v>
      </c>
      <c r="BJ54" s="769">
        <f t="shared" si="92"/>
        <v>0</v>
      </c>
      <c r="BK54" s="769">
        <f t="shared" si="92"/>
        <v>0</v>
      </c>
      <c r="BM54" s="769">
        <f t="shared" si="93"/>
        <v>0</v>
      </c>
      <c r="BN54" s="769">
        <f t="shared" si="93"/>
        <v>0</v>
      </c>
      <c r="BO54" s="769">
        <f t="shared" si="93"/>
        <v>0</v>
      </c>
      <c r="BP54" s="769">
        <f t="shared" si="93"/>
        <v>0</v>
      </c>
      <c r="BQ54" s="769">
        <f t="shared" si="93"/>
        <v>0</v>
      </c>
      <c r="BS54" s="769">
        <f t="shared" si="94"/>
        <v>0</v>
      </c>
      <c r="BT54" s="769">
        <f t="shared" si="94"/>
        <v>0</v>
      </c>
      <c r="BU54" s="769">
        <f t="shared" si="94"/>
        <v>0</v>
      </c>
      <c r="BV54" s="769">
        <f t="shared" si="94"/>
        <v>0</v>
      </c>
      <c r="BW54" s="769">
        <f t="shared" si="94"/>
        <v>0</v>
      </c>
      <c r="BY54" s="769">
        <f t="shared" si="95"/>
        <v>0</v>
      </c>
      <c r="BZ54" s="769">
        <f t="shared" si="95"/>
        <v>0</v>
      </c>
      <c r="CA54" s="769">
        <f t="shared" si="95"/>
        <v>0</v>
      </c>
      <c r="CB54" s="769">
        <f t="shared" si="95"/>
        <v>0</v>
      </c>
      <c r="CC54" s="769">
        <f t="shared" si="95"/>
        <v>0</v>
      </c>
      <c r="CL54" s="769">
        <f t="shared" si="96"/>
        <v>0</v>
      </c>
      <c r="CM54" s="769">
        <f t="shared" si="96"/>
        <v>0</v>
      </c>
      <c r="CN54" s="769">
        <f t="shared" si="96"/>
        <v>0</v>
      </c>
      <c r="CO54" s="769">
        <f t="shared" si="96"/>
        <v>0</v>
      </c>
      <c r="CP54" s="769">
        <f t="shared" si="96"/>
        <v>0</v>
      </c>
      <c r="CR54" s="769">
        <f t="shared" si="97"/>
        <v>0</v>
      </c>
      <c r="CS54" s="769">
        <f t="shared" si="97"/>
        <v>0</v>
      </c>
      <c r="CT54" s="769">
        <f t="shared" si="97"/>
        <v>0</v>
      </c>
      <c r="CU54" s="769">
        <f t="shared" si="97"/>
        <v>0</v>
      </c>
      <c r="CV54" s="769">
        <f t="shared" si="97"/>
        <v>0</v>
      </c>
      <c r="CX54" s="769">
        <f t="shared" si="98"/>
        <v>0</v>
      </c>
      <c r="CY54" s="769">
        <f t="shared" si="98"/>
        <v>0</v>
      </c>
      <c r="CZ54" s="769">
        <f t="shared" si="98"/>
        <v>0</v>
      </c>
      <c r="DA54" s="769">
        <f t="shared" si="98"/>
        <v>0</v>
      </c>
      <c r="DB54" s="769">
        <f t="shared" si="98"/>
        <v>0</v>
      </c>
      <c r="DJ54" s="769">
        <f t="shared" si="99"/>
        <v>0</v>
      </c>
      <c r="DK54" s="769">
        <f t="shared" si="99"/>
        <v>0</v>
      </c>
      <c r="DL54" s="769">
        <f t="shared" si="99"/>
        <v>0</v>
      </c>
      <c r="DM54" s="769">
        <f t="shared" si="99"/>
        <v>0</v>
      </c>
      <c r="DN54" s="769">
        <f t="shared" si="99"/>
        <v>0</v>
      </c>
    </row>
    <row r="55" spans="1:256">
      <c r="E55" s="822" t="s">
        <v>931</v>
      </c>
      <c r="F55" s="712" t="str">
        <f t="shared" si="84"/>
        <v>AIRInscrits</v>
      </c>
      <c r="G55" s="712"/>
      <c r="H55" s="712"/>
      <c r="I55" s="712"/>
      <c r="P55" s="823"/>
      <c r="Q55" s="823"/>
      <c r="R55" s="823"/>
      <c r="S55" s="823"/>
      <c r="T55" s="823"/>
      <c r="V55" s="769">
        <f t="shared" si="86"/>
        <v>0</v>
      </c>
      <c r="W55" s="769">
        <f t="shared" si="86"/>
        <v>0</v>
      </c>
      <c r="X55" s="769">
        <f t="shared" si="86"/>
        <v>0</v>
      </c>
      <c r="Y55" s="769">
        <f t="shared" si="86"/>
        <v>0</v>
      </c>
      <c r="Z55" s="769">
        <f t="shared" si="86"/>
        <v>0</v>
      </c>
      <c r="AB55" s="769">
        <f t="shared" si="87"/>
        <v>0</v>
      </c>
      <c r="AC55" s="769">
        <f t="shared" si="87"/>
        <v>0</v>
      </c>
      <c r="AD55" s="769">
        <f t="shared" si="87"/>
        <v>0</v>
      </c>
      <c r="AE55" s="769">
        <f t="shared" si="87"/>
        <v>0</v>
      </c>
      <c r="AF55" s="769">
        <f t="shared" si="87"/>
        <v>0</v>
      </c>
      <c r="AH55" s="769">
        <f t="shared" si="88"/>
        <v>0</v>
      </c>
      <c r="AI55" s="769">
        <f t="shared" si="88"/>
        <v>0</v>
      </c>
      <c r="AJ55" s="769">
        <f t="shared" si="88"/>
        <v>0</v>
      </c>
      <c r="AK55" s="769">
        <f t="shared" si="88"/>
        <v>0</v>
      </c>
      <c r="AL55" s="769">
        <f t="shared" si="88"/>
        <v>0</v>
      </c>
      <c r="AN55" s="768"/>
      <c r="AO55" s="769">
        <f t="shared" si="89"/>
        <v>0</v>
      </c>
      <c r="AP55" s="769">
        <f t="shared" si="89"/>
        <v>0</v>
      </c>
      <c r="AQ55" s="769">
        <f t="shared" si="89"/>
        <v>0</v>
      </c>
      <c r="AR55" s="769">
        <f t="shared" si="89"/>
        <v>0</v>
      </c>
      <c r="AS55" s="769">
        <f t="shared" si="89"/>
        <v>0</v>
      </c>
      <c r="AU55" s="769">
        <f t="shared" si="90"/>
        <v>0</v>
      </c>
      <c r="AV55" s="769">
        <f t="shared" si="90"/>
        <v>0</v>
      </c>
      <c r="AW55" s="769">
        <f t="shared" si="90"/>
        <v>0</v>
      </c>
      <c r="AX55" s="769">
        <f t="shared" si="90"/>
        <v>0</v>
      </c>
      <c r="AY55" s="769">
        <f t="shared" si="90"/>
        <v>0</v>
      </c>
      <c r="BA55" s="769">
        <f t="shared" si="91"/>
        <v>0</v>
      </c>
      <c r="BB55" s="769">
        <f t="shared" si="91"/>
        <v>0</v>
      </c>
      <c r="BC55" s="769">
        <f t="shared" si="91"/>
        <v>0</v>
      </c>
      <c r="BD55" s="769">
        <f t="shared" si="91"/>
        <v>0</v>
      </c>
      <c r="BE55" s="769">
        <f t="shared" si="91"/>
        <v>0</v>
      </c>
      <c r="BG55" s="769">
        <f t="shared" si="92"/>
        <v>0</v>
      </c>
      <c r="BH55" s="769">
        <f t="shared" si="92"/>
        <v>0</v>
      </c>
      <c r="BI55" s="769">
        <f t="shared" si="92"/>
        <v>0</v>
      </c>
      <c r="BJ55" s="769">
        <f t="shared" si="92"/>
        <v>0</v>
      </c>
      <c r="BK55" s="769">
        <f t="shared" si="92"/>
        <v>0</v>
      </c>
      <c r="BM55" s="769">
        <f t="shared" si="93"/>
        <v>0</v>
      </c>
      <c r="BN55" s="769">
        <f t="shared" si="93"/>
        <v>0</v>
      </c>
      <c r="BO55" s="769">
        <f t="shared" si="93"/>
        <v>0</v>
      </c>
      <c r="BP55" s="769">
        <f t="shared" si="93"/>
        <v>0</v>
      </c>
      <c r="BQ55" s="769">
        <f t="shared" si="93"/>
        <v>0</v>
      </c>
      <c r="BS55" s="769">
        <f t="shared" si="94"/>
        <v>0</v>
      </c>
      <c r="BT55" s="769">
        <f t="shared" si="94"/>
        <v>0</v>
      </c>
      <c r="BU55" s="769">
        <f t="shared" si="94"/>
        <v>0</v>
      </c>
      <c r="BV55" s="769">
        <f t="shared" si="94"/>
        <v>0</v>
      </c>
      <c r="BW55" s="769">
        <f t="shared" si="94"/>
        <v>0</v>
      </c>
      <c r="BY55" s="769">
        <f t="shared" si="95"/>
        <v>0</v>
      </c>
      <c r="BZ55" s="769">
        <f t="shared" si="95"/>
        <v>0</v>
      </c>
      <c r="CA55" s="769">
        <f t="shared" si="95"/>
        <v>0</v>
      </c>
      <c r="CB55" s="769">
        <f t="shared" si="95"/>
        <v>0</v>
      </c>
      <c r="CC55" s="769">
        <f t="shared" si="95"/>
        <v>0</v>
      </c>
      <c r="CL55" s="769">
        <f t="shared" si="96"/>
        <v>0</v>
      </c>
      <c r="CM55" s="769">
        <f t="shared" si="96"/>
        <v>0</v>
      </c>
      <c r="CN55" s="769">
        <f t="shared" si="96"/>
        <v>0</v>
      </c>
      <c r="CO55" s="769">
        <f t="shared" si="96"/>
        <v>0</v>
      </c>
      <c r="CP55" s="769">
        <f t="shared" si="96"/>
        <v>0</v>
      </c>
      <c r="CR55" s="769">
        <f t="shared" si="97"/>
        <v>0</v>
      </c>
      <c r="CS55" s="769">
        <f t="shared" si="97"/>
        <v>0</v>
      </c>
      <c r="CT55" s="769">
        <f t="shared" si="97"/>
        <v>0</v>
      </c>
      <c r="CU55" s="769">
        <f t="shared" si="97"/>
        <v>0</v>
      </c>
      <c r="CV55" s="769">
        <f t="shared" si="97"/>
        <v>0</v>
      </c>
      <c r="CX55" s="769">
        <f t="shared" si="98"/>
        <v>0</v>
      </c>
      <c r="CY55" s="769">
        <f t="shared" si="98"/>
        <v>0</v>
      </c>
      <c r="CZ55" s="769">
        <f t="shared" si="98"/>
        <v>0</v>
      </c>
      <c r="DA55" s="769">
        <f t="shared" si="98"/>
        <v>0</v>
      </c>
      <c r="DB55" s="769">
        <f t="shared" si="98"/>
        <v>0</v>
      </c>
      <c r="DJ55" s="769">
        <f t="shared" si="99"/>
        <v>0</v>
      </c>
      <c r="DK55" s="769">
        <f t="shared" si="99"/>
        <v>0</v>
      </c>
      <c r="DL55" s="769">
        <f t="shared" si="99"/>
        <v>0</v>
      </c>
      <c r="DM55" s="769">
        <f t="shared" si="99"/>
        <v>0</v>
      </c>
      <c r="DN55" s="769">
        <f t="shared" si="99"/>
        <v>0</v>
      </c>
    </row>
    <row r="56" spans="1:256">
      <c r="E56" s="822" t="s">
        <v>932</v>
      </c>
      <c r="F56" s="712" t="str">
        <f t="shared" si="84"/>
        <v>SEAInscrits</v>
      </c>
      <c r="G56" s="712"/>
      <c r="H56" s="712"/>
      <c r="I56" s="712"/>
      <c r="P56" s="823"/>
      <c r="Q56" s="823"/>
      <c r="R56" s="823"/>
      <c r="S56" s="823"/>
      <c r="T56" s="823"/>
      <c r="V56" s="769">
        <f t="shared" si="86"/>
        <v>0</v>
      </c>
      <c r="W56" s="769">
        <f t="shared" si="86"/>
        <v>0</v>
      </c>
      <c r="X56" s="769">
        <f t="shared" si="86"/>
        <v>0</v>
      </c>
      <c r="Y56" s="769">
        <f t="shared" si="86"/>
        <v>0</v>
      </c>
      <c r="Z56" s="769">
        <f t="shared" si="86"/>
        <v>0</v>
      </c>
      <c r="AB56" s="769">
        <f t="shared" si="87"/>
        <v>0</v>
      </c>
      <c r="AC56" s="769">
        <f t="shared" si="87"/>
        <v>0</v>
      </c>
      <c r="AD56" s="769">
        <f t="shared" si="87"/>
        <v>0</v>
      </c>
      <c r="AE56" s="769">
        <f t="shared" si="87"/>
        <v>0</v>
      </c>
      <c r="AF56" s="769">
        <f t="shared" si="87"/>
        <v>0</v>
      </c>
      <c r="AH56" s="769">
        <f t="shared" si="88"/>
        <v>0</v>
      </c>
      <c r="AI56" s="769">
        <f t="shared" si="88"/>
        <v>0</v>
      </c>
      <c r="AJ56" s="769">
        <f t="shared" si="88"/>
        <v>0</v>
      </c>
      <c r="AK56" s="769">
        <f t="shared" si="88"/>
        <v>0</v>
      </c>
      <c r="AL56" s="769">
        <f t="shared" si="88"/>
        <v>0</v>
      </c>
      <c r="AN56" s="768"/>
      <c r="AO56" s="769">
        <f t="shared" si="89"/>
        <v>0</v>
      </c>
      <c r="AP56" s="769">
        <f t="shared" si="89"/>
        <v>0</v>
      </c>
      <c r="AQ56" s="769">
        <f t="shared" si="89"/>
        <v>0</v>
      </c>
      <c r="AR56" s="769">
        <f t="shared" si="89"/>
        <v>0</v>
      </c>
      <c r="AS56" s="769">
        <f t="shared" si="89"/>
        <v>0</v>
      </c>
      <c r="AU56" s="769">
        <f t="shared" si="90"/>
        <v>0</v>
      </c>
      <c r="AV56" s="769">
        <f t="shared" si="90"/>
        <v>0</v>
      </c>
      <c r="AW56" s="769">
        <f t="shared" si="90"/>
        <v>0</v>
      </c>
      <c r="AX56" s="769">
        <f t="shared" si="90"/>
        <v>0</v>
      </c>
      <c r="AY56" s="769">
        <f t="shared" si="90"/>
        <v>0</v>
      </c>
      <c r="BA56" s="769">
        <f t="shared" si="91"/>
        <v>0</v>
      </c>
      <c r="BB56" s="769">
        <f t="shared" si="91"/>
        <v>0</v>
      </c>
      <c r="BC56" s="769">
        <f t="shared" si="91"/>
        <v>0</v>
      </c>
      <c r="BD56" s="769">
        <f t="shared" si="91"/>
        <v>0</v>
      </c>
      <c r="BE56" s="769">
        <f t="shared" si="91"/>
        <v>0</v>
      </c>
      <c r="BG56" s="769">
        <f t="shared" si="92"/>
        <v>0</v>
      </c>
      <c r="BH56" s="769">
        <f t="shared" si="92"/>
        <v>0</v>
      </c>
      <c r="BI56" s="769">
        <f t="shared" si="92"/>
        <v>0</v>
      </c>
      <c r="BJ56" s="769">
        <f t="shared" si="92"/>
        <v>0</v>
      </c>
      <c r="BK56" s="769">
        <f t="shared" si="92"/>
        <v>0</v>
      </c>
      <c r="BM56" s="769">
        <f t="shared" si="93"/>
        <v>0</v>
      </c>
      <c r="BN56" s="769">
        <f t="shared" si="93"/>
        <v>0</v>
      </c>
      <c r="BO56" s="769">
        <f t="shared" si="93"/>
        <v>0</v>
      </c>
      <c r="BP56" s="769">
        <f t="shared" si="93"/>
        <v>0</v>
      </c>
      <c r="BQ56" s="769">
        <f t="shared" si="93"/>
        <v>0</v>
      </c>
      <c r="BS56" s="769">
        <f t="shared" si="94"/>
        <v>0</v>
      </c>
      <c r="BT56" s="769">
        <f t="shared" si="94"/>
        <v>0</v>
      </c>
      <c r="BU56" s="769">
        <f t="shared" si="94"/>
        <v>0</v>
      </c>
      <c r="BV56" s="769">
        <f t="shared" si="94"/>
        <v>0</v>
      </c>
      <c r="BW56" s="769">
        <f t="shared" si="94"/>
        <v>0</v>
      </c>
      <c r="BY56" s="769">
        <f t="shared" si="95"/>
        <v>0</v>
      </c>
      <c r="BZ56" s="769">
        <f t="shared" si="95"/>
        <v>0</v>
      </c>
      <c r="CA56" s="769">
        <f t="shared" si="95"/>
        <v>0</v>
      </c>
      <c r="CB56" s="769">
        <f t="shared" si="95"/>
        <v>0</v>
      </c>
      <c r="CC56" s="769">
        <f t="shared" si="95"/>
        <v>0</v>
      </c>
      <c r="CL56" s="769">
        <f t="shared" si="96"/>
        <v>0</v>
      </c>
      <c r="CM56" s="769">
        <f t="shared" si="96"/>
        <v>0</v>
      </c>
      <c r="CN56" s="769">
        <f t="shared" si="96"/>
        <v>0</v>
      </c>
      <c r="CO56" s="769">
        <f t="shared" si="96"/>
        <v>0</v>
      </c>
      <c r="CP56" s="769">
        <f t="shared" si="96"/>
        <v>0</v>
      </c>
      <c r="CR56" s="769">
        <f t="shared" si="97"/>
        <v>0</v>
      </c>
      <c r="CS56" s="769">
        <f t="shared" si="97"/>
        <v>0</v>
      </c>
      <c r="CT56" s="769">
        <f t="shared" si="97"/>
        <v>0</v>
      </c>
      <c r="CU56" s="769">
        <f t="shared" si="97"/>
        <v>0</v>
      </c>
      <c r="CV56" s="769">
        <f t="shared" si="97"/>
        <v>0</v>
      </c>
      <c r="CX56" s="769">
        <f t="shared" si="98"/>
        <v>0</v>
      </c>
      <c r="CY56" s="769">
        <f t="shared" si="98"/>
        <v>0</v>
      </c>
      <c r="CZ56" s="769">
        <f t="shared" si="98"/>
        <v>0</v>
      </c>
      <c r="DA56" s="769">
        <f t="shared" si="98"/>
        <v>0</v>
      </c>
      <c r="DB56" s="769">
        <f t="shared" si="98"/>
        <v>0</v>
      </c>
      <c r="DJ56" s="769">
        <f t="shared" si="99"/>
        <v>0</v>
      </c>
      <c r="DK56" s="769">
        <f t="shared" si="99"/>
        <v>0</v>
      </c>
      <c r="DL56" s="769">
        <f t="shared" si="99"/>
        <v>0</v>
      </c>
      <c r="DM56" s="769">
        <f t="shared" si="99"/>
        <v>0</v>
      </c>
      <c r="DN56" s="769">
        <f t="shared" si="99"/>
        <v>0</v>
      </c>
    </row>
    <row r="57" spans="1:256">
      <c r="E57" s="822" t="s">
        <v>933</v>
      </c>
      <c r="F57" s="712" t="str">
        <f t="shared" si="84"/>
        <v>ROMInscrits</v>
      </c>
      <c r="G57" s="712"/>
      <c r="H57" s="712"/>
      <c r="I57" s="712"/>
      <c r="P57" s="823"/>
      <c r="Q57" s="823"/>
      <c r="R57" s="823"/>
      <c r="S57" s="823"/>
      <c r="T57" s="823"/>
      <c r="V57" s="769">
        <f t="shared" si="86"/>
        <v>0</v>
      </c>
      <c r="W57" s="769">
        <f t="shared" si="86"/>
        <v>0</v>
      </c>
      <c r="X57" s="769">
        <f t="shared" si="86"/>
        <v>0</v>
      </c>
      <c r="Y57" s="769">
        <f t="shared" si="86"/>
        <v>0</v>
      </c>
      <c r="Z57" s="769">
        <f t="shared" si="86"/>
        <v>0</v>
      </c>
      <c r="AB57" s="769">
        <f t="shared" si="87"/>
        <v>0</v>
      </c>
      <c r="AC57" s="769">
        <f t="shared" si="87"/>
        <v>0</v>
      </c>
      <c r="AD57" s="769">
        <f t="shared" si="87"/>
        <v>0</v>
      </c>
      <c r="AE57" s="769">
        <f t="shared" si="87"/>
        <v>0</v>
      </c>
      <c r="AF57" s="769">
        <f t="shared" si="87"/>
        <v>0</v>
      </c>
      <c r="AH57" s="769">
        <f t="shared" si="88"/>
        <v>0</v>
      </c>
      <c r="AI57" s="769">
        <f t="shared" si="88"/>
        <v>0</v>
      </c>
      <c r="AJ57" s="769">
        <f t="shared" si="88"/>
        <v>0</v>
      </c>
      <c r="AK57" s="769">
        <f t="shared" si="88"/>
        <v>0</v>
      </c>
      <c r="AL57" s="769">
        <f t="shared" si="88"/>
        <v>0</v>
      </c>
      <c r="AN57" s="768"/>
      <c r="AO57" s="769">
        <f t="shared" si="89"/>
        <v>0</v>
      </c>
      <c r="AP57" s="769">
        <f t="shared" si="89"/>
        <v>0</v>
      </c>
      <c r="AQ57" s="769">
        <f t="shared" si="89"/>
        <v>0</v>
      </c>
      <c r="AR57" s="769">
        <f t="shared" si="89"/>
        <v>0</v>
      </c>
      <c r="AS57" s="769">
        <f t="shared" si="89"/>
        <v>0</v>
      </c>
      <c r="AU57" s="769">
        <f t="shared" si="90"/>
        <v>0</v>
      </c>
      <c r="AV57" s="769">
        <f t="shared" si="90"/>
        <v>0</v>
      </c>
      <c r="AW57" s="769">
        <f t="shared" si="90"/>
        <v>0</v>
      </c>
      <c r="AX57" s="769">
        <f t="shared" si="90"/>
        <v>0</v>
      </c>
      <c r="AY57" s="769">
        <f t="shared" si="90"/>
        <v>0</v>
      </c>
      <c r="BA57" s="769">
        <f t="shared" si="91"/>
        <v>0</v>
      </c>
      <c r="BB57" s="769">
        <f t="shared" si="91"/>
        <v>0</v>
      </c>
      <c r="BC57" s="769">
        <f t="shared" si="91"/>
        <v>0</v>
      </c>
      <c r="BD57" s="769">
        <f t="shared" si="91"/>
        <v>0</v>
      </c>
      <c r="BE57" s="769">
        <f t="shared" si="91"/>
        <v>0</v>
      </c>
      <c r="BG57" s="769">
        <f t="shared" si="92"/>
        <v>0</v>
      </c>
      <c r="BH57" s="769">
        <f t="shared" si="92"/>
        <v>0</v>
      </c>
      <c r="BI57" s="769">
        <f t="shared" si="92"/>
        <v>0</v>
      </c>
      <c r="BJ57" s="769">
        <f t="shared" si="92"/>
        <v>0</v>
      </c>
      <c r="BK57" s="769">
        <f t="shared" si="92"/>
        <v>0</v>
      </c>
      <c r="BM57" s="769">
        <f t="shared" si="93"/>
        <v>0</v>
      </c>
      <c r="BN57" s="769">
        <f t="shared" si="93"/>
        <v>0</v>
      </c>
      <c r="BO57" s="769">
        <f t="shared" si="93"/>
        <v>0</v>
      </c>
      <c r="BP57" s="769">
        <f t="shared" si="93"/>
        <v>0</v>
      </c>
      <c r="BQ57" s="769">
        <f t="shared" si="93"/>
        <v>0</v>
      </c>
      <c r="BS57" s="769">
        <f t="shared" si="94"/>
        <v>0</v>
      </c>
      <c r="BT57" s="769">
        <f t="shared" si="94"/>
        <v>0</v>
      </c>
      <c r="BU57" s="769">
        <f t="shared" si="94"/>
        <v>0</v>
      </c>
      <c r="BV57" s="769">
        <f t="shared" si="94"/>
        <v>0</v>
      </c>
      <c r="BW57" s="769">
        <f t="shared" si="94"/>
        <v>0</v>
      </c>
      <c r="BY57" s="769">
        <f t="shared" si="95"/>
        <v>0</v>
      </c>
      <c r="BZ57" s="769">
        <f t="shared" si="95"/>
        <v>0</v>
      </c>
      <c r="CA57" s="769">
        <f t="shared" si="95"/>
        <v>0</v>
      </c>
      <c r="CB57" s="769">
        <f t="shared" si="95"/>
        <v>0</v>
      </c>
      <c r="CC57" s="769">
        <f t="shared" si="95"/>
        <v>0</v>
      </c>
      <c r="CL57" s="769">
        <f t="shared" si="96"/>
        <v>0</v>
      </c>
      <c r="CM57" s="769">
        <f t="shared" si="96"/>
        <v>0</v>
      </c>
      <c r="CN57" s="769">
        <f t="shared" si="96"/>
        <v>0</v>
      </c>
      <c r="CO57" s="769">
        <f t="shared" si="96"/>
        <v>0</v>
      </c>
      <c r="CP57" s="769">
        <f t="shared" si="96"/>
        <v>0</v>
      </c>
      <c r="CR57" s="769">
        <f t="shared" si="97"/>
        <v>0</v>
      </c>
      <c r="CS57" s="769">
        <f t="shared" si="97"/>
        <v>0</v>
      </c>
      <c r="CT57" s="769">
        <f t="shared" si="97"/>
        <v>0</v>
      </c>
      <c r="CU57" s="769">
        <f t="shared" si="97"/>
        <v>0</v>
      </c>
      <c r="CV57" s="769">
        <f t="shared" si="97"/>
        <v>0</v>
      </c>
      <c r="CX57" s="769">
        <f t="shared" si="98"/>
        <v>0</v>
      </c>
      <c r="CY57" s="769">
        <f t="shared" si="98"/>
        <v>0</v>
      </c>
      <c r="CZ57" s="769">
        <f t="shared" si="98"/>
        <v>0</v>
      </c>
      <c r="DA57" s="769">
        <f t="shared" si="98"/>
        <v>0</v>
      </c>
      <c r="DB57" s="769">
        <f t="shared" si="98"/>
        <v>0</v>
      </c>
      <c r="DJ57" s="769">
        <f t="shared" si="99"/>
        <v>0</v>
      </c>
      <c r="DK57" s="769">
        <f t="shared" si="99"/>
        <v>0</v>
      </c>
      <c r="DL57" s="769">
        <f t="shared" si="99"/>
        <v>0</v>
      </c>
      <c r="DM57" s="769">
        <f t="shared" si="99"/>
        <v>0</v>
      </c>
      <c r="DN57" s="769">
        <f t="shared" si="99"/>
        <v>0</v>
      </c>
    </row>
    <row r="58" spans="1:256">
      <c r="E58" s="822" t="s">
        <v>934</v>
      </c>
      <c r="F58" s="712" t="str">
        <f t="shared" si="84"/>
        <v>WRPInscrits</v>
      </c>
      <c r="G58" s="712"/>
      <c r="H58" s="712"/>
      <c r="I58" s="712"/>
      <c r="P58" s="823"/>
      <c r="Q58" s="823"/>
      <c r="R58" s="823"/>
      <c r="S58" s="823"/>
      <c r="T58" s="823"/>
      <c r="V58" s="769">
        <f t="shared" si="86"/>
        <v>0</v>
      </c>
      <c r="W58" s="769">
        <f t="shared" si="86"/>
        <v>0</v>
      </c>
      <c r="X58" s="769">
        <f t="shared" si="86"/>
        <v>0</v>
      </c>
      <c r="Y58" s="769">
        <f t="shared" si="86"/>
        <v>0</v>
      </c>
      <c r="Z58" s="769">
        <f t="shared" si="86"/>
        <v>0</v>
      </c>
      <c r="AB58" s="769">
        <f t="shared" si="87"/>
        <v>0</v>
      </c>
      <c r="AC58" s="769">
        <f t="shared" si="87"/>
        <v>0</v>
      </c>
      <c r="AD58" s="769">
        <f t="shared" si="87"/>
        <v>0</v>
      </c>
      <c r="AE58" s="769">
        <f t="shared" si="87"/>
        <v>0</v>
      </c>
      <c r="AF58" s="769">
        <f t="shared" si="87"/>
        <v>0</v>
      </c>
      <c r="AH58" s="769">
        <f t="shared" si="88"/>
        <v>0</v>
      </c>
      <c r="AI58" s="769">
        <f t="shared" si="88"/>
        <v>0</v>
      </c>
      <c r="AJ58" s="769">
        <f t="shared" si="88"/>
        <v>0</v>
      </c>
      <c r="AK58" s="769">
        <f t="shared" si="88"/>
        <v>0</v>
      </c>
      <c r="AL58" s="769">
        <f t="shared" si="88"/>
        <v>0</v>
      </c>
      <c r="AN58" s="768"/>
      <c r="AO58" s="769">
        <f t="shared" si="89"/>
        <v>0</v>
      </c>
      <c r="AP58" s="769">
        <f t="shared" si="89"/>
        <v>0</v>
      </c>
      <c r="AQ58" s="769">
        <f t="shared" si="89"/>
        <v>0</v>
      </c>
      <c r="AR58" s="769">
        <f t="shared" si="89"/>
        <v>0</v>
      </c>
      <c r="AS58" s="769">
        <f t="shared" si="89"/>
        <v>0</v>
      </c>
      <c r="AU58" s="769">
        <f t="shared" si="90"/>
        <v>0</v>
      </c>
      <c r="AV58" s="769">
        <f t="shared" si="90"/>
        <v>0</v>
      </c>
      <c r="AW58" s="769">
        <f t="shared" si="90"/>
        <v>0</v>
      </c>
      <c r="AX58" s="769">
        <f t="shared" si="90"/>
        <v>0</v>
      </c>
      <c r="AY58" s="769">
        <f t="shared" si="90"/>
        <v>0</v>
      </c>
      <c r="BA58" s="769">
        <f t="shared" si="91"/>
        <v>0</v>
      </c>
      <c r="BB58" s="769">
        <f t="shared" si="91"/>
        <v>0</v>
      </c>
      <c r="BC58" s="769">
        <f t="shared" si="91"/>
        <v>0</v>
      </c>
      <c r="BD58" s="769">
        <f t="shared" si="91"/>
        <v>0</v>
      </c>
      <c r="BE58" s="769">
        <f t="shared" si="91"/>
        <v>0</v>
      </c>
      <c r="BG58" s="769">
        <f t="shared" si="92"/>
        <v>0</v>
      </c>
      <c r="BH58" s="769">
        <f t="shared" si="92"/>
        <v>0</v>
      </c>
      <c r="BI58" s="769">
        <f t="shared" si="92"/>
        <v>0</v>
      </c>
      <c r="BJ58" s="769">
        <f t="shared" si="92"/>
        <v>0</v>
      </c>
      <c r="BK58" s="769">
        <f t="shared" si="92"/>
        <v>0</v>
      </c>
      <c r="BM58" s="769">
        <f t="shared" si="93"/>
        <v>0</v>
      </c>
      <c r="BN58" s="769">
        <f t="shared" si="93"/>
        <v>0</v>
      </c>
      <c r="BO58" s="769">
        <f t="shared" si="93"/>
        <v>0</v>
      </c>
      <c r="BP58" s="769">
        <f t="shared" si="93"/>
        <v>0</v>
      </c>
      <c r="BQ58" s="769">
        <f t="shared" si="93"/>
        <v>0</v>
      </c>
      <c r="BS58" s="769">
        <f t="shared" si="94"/>
        <v>0</v>
      </c>
      <c r="BT58" s="769">
        <f t="shared" si="94"/>
        <v>0</v>
      </c>
      <c r="BU58" s="769">
        <f t="shared" si="94"/>
        <v>0</v>
      </c>
      <c r="BV58" s="769">
        <f t="shared" si="94"/>
        <v>0</v>
      </c>
      <c r="BW58" s="769">
        <f t="shared" si="94"/>
        <v>0</v>
      </c>
      <c r="BY58" s="769">
        <f t="shared" si="95"/>
        <v>0</v>
      </c>
      <c r="BZ58" s="769">
        <f t="shared" si="95"/>
        <v>0</v>
      </c>
      <c r="CA58" s="769">
        <f t="shared" si="95"/>
        <v>0</v>
      </c>
      <c r="CB58" s="769">
        <f t="shared" si="95"/>
        <v>0</v>
      </c>
      <c r="CC58" s="769">
        <f t="shared" si="95"/>
        <v>0</v>
      </c>
      <c r="CL58" s="769">
        <f t="shared" si="96"/>
        <v>0</v>
      </c>
      <c r="CM58" s="769">
        <f t="shared" si="96"/>
        <v>0</v>
      </c>
      <c r="CN58" s="769">
        <f t="shared" si="96"/>
        <v>0</v>
      </c>
      <c r="CO58" s="769">
        <f t="shared" si="96"/>
        <v>0</v>
      </c>
      <c r="CP58" s="769">
        <f t="shared" si="96"/>
        <v>0</v>
      </c>
      <c r="CR58" s="769">
        <f t="shared" si="97"/>
        <v>0</v>
      </c>
      <c r="CS58" s="769">
        <f t="shared" si="97"/>
        <v>0</v>
      </c>
      <c r="CT58" s="769">
        <f t="shared" si="97"/>
        <v>0</v>
      </c>
      <c r="CU58" s="769">
        <f t="shared" si="97"/>
        <v>0</v>
      </c>
      <c r="CV58" s="769">
        <f t="shared" si="97"/>
        <v>0</v>
      </c>
      <c r="CX58" s="769">
        <f t="shared" si="98"/>
        <v>0</v>
      </c>
      <c r="CY58" s="769">
        <f t="shared" si="98"/>
        <v>0</v>
      </c>
      <c r="CZ58" s="769">
        <f t="shared" si="98"/>
        <v>0</v>
      </c>
      <c r="DA58" s="769">
        <f t="shared" si="98"/>
        <v>0</v>
      </c>
      <c r="DB58" s="769">
        <f t="shared" si="98"/>
        <v>0</v>
      </c>
      <c r="DJ58" s="769">
        <f t="shared" si="99"/>
        <v>0</v>
      </c>
      <c r="DK58" s="769">
        <f t="shared" si="99"/>
        <v>0</v>
      </c>
      <c r="DL58" s="769">
        <f t="shared" si="99"/>
        <v>0</v>
      </c>
      <c r="DM58" s="769">
        <f t="shared" si="99"/>
        <v>0</v>
      </c>
      <c r="DN58" s="769">
        <f t="shared" si="99"/>
        <v>0</v>
      </c>
    </row>
    <row r="59" spans="1:256">
      <c r="E59" s="822" t="s">
        <v>142</v>
      </c>
      <c r="F59" s="712" t="str">
        <f t="shared" si="84"/>
        <v>ILIInscrits</v>
      </c>
      <c r="G59" s="712"/>
      <c r="H59" s="712"/>
      <c r="I59" s="712"/>
      <c r="P59" s="823">
        <f t="shared" si="85"/>
        <v>0</v>
      </c>
      <c r="Q59" s="823">
        <f t="shared" si="85"/>
        <v>0</v>
      </c>
      <c r="R59" s="823">
        <f t="shared" si="85"/>
        <v>0</v>
      </c>
      <c r="S59" s="823">
        <f t="shared" si="85"/>
        <v>0</v>
      </c>
      <c r="T59" s="823">
        <f t="shared" si="85"/>
        <v>0</v>
      </c>
      <c r="V59" s="769">
        <f t="shared" si="86"/>
        <v>0</v>
      </c>
      <c r="W59" s="769">
        <f t="shared" si="86"/>
        <v>0</v>
      </c>
      <c r="X59" s="769">
        <f t="shared" si="86"/>
        <v>0</v>
      </c>
      <c r="Y59" s="769">
        <f t="shared" si="86"/>
        <v>0</v>
      </c>
      <c r="Z59" s="769">
        <f t="shared" si="86"/>
        <v>0</v>
      </c>
      <c r="AB59" s="769">
        <f t="shared" si="87"/>
        <v>0</v>
      </c>
      <c r="AC59" s="769">
        <f t="shared" si="87"/>
        <v>0</v>
      </c>
      <c r="AD59" s="769">
        <f t="shared" si="87"/>
        <v>0</v>
      </c>
      <c r="AE59" s="769">
        <f t="shared" si="87"/>
        <v>0</v>
      </c>
      <c r="AF59" s="769">
        <f t="shared" si="87"/>
        <v>0</v>
      </c>
      <c r="AH59" s="769">
        <f t="shared" si="88"/>
        <v>0</v>
      </c>
      <c r="AI59" s="769">
        <f t="shared" si="88"/>
        <v>0</v>
      </c>
      <c r="AJ59" s="769">
        <f t="shared" si="88"/>
        <v>0</v>
      </c>
      <c r="AK59" s="769">
        <f t="shared" si="88"/>
        <v>0</v>
      </c>
      <c r="AL59" s="769">
        <f t="shared" si="88"/>
        <v>0</v>
      </c>
      <c r="AN59" s="768"/>
      <c r="AO59" s="769">
        <f t="shared" si="89"/>
        <v>0</v>
      </c>
      <c r="AP59" s="769">
        <f t="shared" si="89"/>
        <v>0</v>
      </c>
      <c r="AQ59" s="769">
        <f t="shared" si="89"/>
        <v>0</v>
      </c>
      <c r="AR59" s="769">
        <f t="shared" si="89"/>
        <v>0</v>
      </c>
      <c r="AS59" s="769">
        <f t="shared" si="89"/>
        <v>0</v>
      </c>
      <c r="AU59" s="769">
        <f t="shared" si="90"/>
        <v>0</v>
      </c>
      <c r="AV59" s="769">
        <f t="shared" si="90"/>
        <v>0</v>
      </c>
      <c r="AW59" s="769">
        <f t="shared" si="90"/>
        <v>0</v>
      </c>
      <c r="AX59" s="769">
        <f t="shared" si="90"/>
        <v>0</v>
      </c>
      <c r="AY59" s="769">
        <f t="shared" si="90"/>
        <v>0</v>
      </c>
      <c r="BA59" s="769">
        <f t="shared" si="91"/>
        <v>0</v>
      </c>
      <c r="BB59" s="769">
        <f t="shared" si="91"/>
        <v>0</v>
      </c>
      <c r="BC59" s="769">
        <f t="shared" si="91"/>
        <v>0</v>
      </c>
      <c r="BD59" s="769">
        <f t="shared" si="91"/>
        <v>0</v>
      </c>
      <c r="BE59" s="769">
        <f t="shared" si="91"/>
        <v>0</v>
      </c>
      <c r="BG59" s="769">
        <f t="shared" si="92"/>
        <v>0</v>
      </c>
      <c r="BH59" s="769">
        <f t="shared" si="92"/>
        <v>0</v>
      </c>
      <c r="BI59" s="769">
        <f t="shared" si="92"/>
        <v>0</v>
      </c>
      <c r="BJ59" s="769">
        <f t="shared" si="92"/>
        <v>0</v>
      </c>
      <c r="BK59" s="769">
        <f t="shared" si="92"/>
        <v>0</v>
      </c>
      <c r="BM59" s="769">
        <f t="shared" si="93"/>
        <v>0</v>
      </c>
      <c r="BN59" s="769">
        <f t="shared" si="93"/>
        <v>0</v>
      </c>
      <c r="BO59" s="769">
        <f t="shared" si="93"/>
        <v>0</v>
      </c>
      <c r="BP59" s="769">
        <f t="shared" si="93"/>
        <v>0</v>
      </c>
      <c r="BQ59" s="769">
        <f t="shared" si="93"/>
        <v>0</v>
      </c>
      <c r="BS59" s="769">
        <f t="shared" si="94"/>
        <v>0</v>
      </c>
      <c r="BT59" s="769">
        <f t="shared" si="94"/>
        <v>0</v>
      </c>
      <c r="BU59" s="769">
        <f t="shared" si="94"/>
        <v>0</v>
      </c>
      <c r="BV59" s="769">
        <f t="shared" si="94"/>
        <v>0</v>
      </c>
      <c r="BW59" s="769">
        <f t="shared" si="94"/>
        <v>0</v>
      </c>
      <c r="BY59" s="769">
        <f t="shared" si="95"/>
        <v>0</v>
      </c>
      <c r="BZ59" s="769">
        <f t="shared" si="95"/>
        <v>0</v>
      </c>
      <c r="CA59" s="769">
        <f t="shared" si="95"/>
        <v>0</v>
      </c>
      <c r="CB59" s="769">
        <f t="shared" si="95"/>
        <v>0</v>
      </c>
      <c r="CC59" s="769">
        <f t="shared" si="95"/>
        <v>0</v>
      </c>
      <c r="CL59" s="769">
        <f t="shared" si="96"/>
        <v>0</v>
      </c>
      <c r="CM59" s="769">
        <f t="shared" si="96"/>
        <v>0</v>
      </c>
      <c r="CN59" s="769">
        <f t="shared" si="96"/>
        <v>0</v>
      </c>
      <c r="CO59" s="769">
        <f t="shared" si="96"/>
        <v>0</v>
      </c>
      <c r="CP59" s="769">
        <f t="shared" si="96"/>
        <v>0</v>
      </c>
      <c r="CR59" s="769">
        <f t="shared" si="97"/>
        <v>0</v>
      </c>
      <c r="CS59" s="769">
        <f t="shared" si="97"/>
        <v>0</v>
      </c>
      <c r="CT59" s="769">
        <f t="shared" si="97"/>
        <v>0</v>
      </c>
      <c r="CU59" s="769">
        <f t="shared" si="97"/>
        <v>0</v>
      </c>
      <c r="CV59" s="769">
        <f t="shared" si="97"/>
        <v>0</v>
      </c>
      <c r="CX59" s="769">
        <f t="shared" si="98"/>
        <v>0</v>
      </c>
      <c r="CY59" s="769">
        <f t="shared" si="98"/>
        <v>0</v>
      </c>
      <c r="CZ59" s="769">
        <f t="shared" si="98"/>
        <v>0</v>
      </c>
      <c r="DA59" s="769">
        <f t="shared" si="98"/>
        <v>0</v>
      </c>
      <c r="DB59" s="769">
        <f t="shared" si="98"/>
        <v>0</v>
      </c>
      <c r="DJ59" s="769">
        <f t="shared" si="99"/>
        <v>0</v>
      </c>
      <c r="DK59" s="769">
        <f t="shared" si="99"/>
        <v>0</v>
      </c>
      <c r="DL59" s="769">
        <f t="shared" si="99"/>
        <v>0</v>
      </c>
      <c r="DM59" s="769">
        <f t="shared" si="99"/>
        <v>0</v>
      </c>
      <c r="DN59" s="769">
        <f t="shared" si="99"/>
        <v>0</v>
      </c>
    </row>
    <row r="60" spans="1:256">
      <c r="E60" s="822" t="s">
        <v>935</v>
      </c>
      <c r="F60" s="712" t="str">
        <f t="shared" si="84"/>
        <v>RPSInscrits</v>
      </c>
      <c r="G60" s="712"/>
      <c r="H60" s="712"/>
      <c r="I60" s="712"/>
      <c r="P60" s="823">
        <f t="shared" si="85"/>
        <v>0</v>
      </c>
      <c r="Q60" s="823">
        <f t="shared" si="85"/>
        <v>0</v>
      </c>
      <c r="R60" s="823">
        <f t="shared" si="85"/>
        <v>0</v>
      </c>
      <c r="S60" s="823">
        <f t="shared" si="85"/>
        <v>0</v>
      </c>
      <c r="T60" s="823">
        <f t="shared" si="85"/>
        <v>0</v>
      </c>
      <c r="V60" s="769">
        <f t="shared" si="86"/>
        <v>0</v>
      </c>
      <c r="W60" s="769">
        <f t="shared" si="86"/>
        <v>0</v>
      </c>
      <c r="X60" s="769">
        <f t="shared" si="86"/>
        <v>0</v>
      </c>
      <c r="Y60" s="769">
        <f t="shared" si="86"/>
        <v>0</v>
      </c>
      <c r="Z60" s="769">
        <f t="shared" si="86"/>
        <v>0</v>
      </c>
      <c r="AB60" s="769">
        <f t="shared" si="87"/>
        <v>0</v>
      </c>
      <c r="AC60" s="769">
        <f t="shared" si="87"/>
        <v>0</v>
      </c>
      <c r="AD60" s="769">
        <f t="shared" si="87"/>
        <v>0</v>
      </c>
      <c r="AE60" s="769">
        <f t="shared" si="87"/>
        <v>0</v>
      </c>
      <c r="AF60" s="769">
        <f t="shared" si="87"/>
        <v>0</v>
      </c>
      <c r="AH60" s="769">
        <f t="shared" si="88"/>
        <v>0</v>
      </c>
      <c r="AI60" s="769">
        <f t="shared" si="88"/>
        <v>0</v>
      </c>
      <c r="AJ60" s="769">
        <f t="shared" si="88"/>
        <v>0</v>
      </c>
      <c r="AK60" s="769">
        <f t="shared" si="88"/>
        <v>0</v>
      </c>
      <c r="AL60" s="769">
        <f t="shared" si="88"/>
        <v>0</v>
      </c>
      <c r="AN60" s="768"/>
      <c r="AO60" s="769">
        <f t="shared" si="89"/>
        <v>0</v>
      </c>
      <c r="AP60" s="769">
        <f t="shared" si="89"/>
        <v>0</v>
      </c>
      <c r="AQ60" s="769">
        <f t="shared" si="89"/>
        <v>0</v>
      </c>
      <c r="AR60" s="769">
        <f t="shared" si="89"/>
        <v>0</v>
      </c>
      <c r="AS60" s="769">
        <f t="shared" si="89"/>
        <v>0</v>
      </c>
      <c r="AU60" s="769">
        <f t="shared" si="90"/>
        <v>0</v>
      </c>
      <c r="AV60" s="769">
        <f t="shared" si="90"/>
        <v>0</v>
      </c>
      <c r="AW60" s="769">
        <f t="shared" si="90"/>
        <v>0</v>
      </c>
      <c r="AX60" s="769">
        <f t="shared" si="90"/>
        <v>0</v>
      </c>
      <c r="AY60" s="769">
        <f t="shared" si="90"/>
        <v>0</v>
      </c>
      <c r="BA60" s="769">
        <f t="shared" si="91"/>
        <v>0</v>
      </c>
      <c r="BB60" s="769">
        <f t="shared" si="91"/>
        <v>0</v>
      </c>
      <c r="BC60" s="769">
        <f t="shared" si="91"/>
        <v>0</v>
      </c>
      <c r="BD60" s="769">
        <f t="shared" si="91"/>
        <v>0</v>
      </c>
      <c r="BE60" s="769">
        <f t="shared" si="91"/>
        <v>0</v>
      </c>
      <c r="BG60" s="769">
        <f t="shared" si="92"/>
        <v>0</v>
      </c>
      <c r="BH60" s="769">
        <f t="shared" si="92"/>
        <v>0</v>
      </c>
      <c r="BI60" s="769">
        <f t="shared" si="92"/>
        <v>0</v>
      </c>
      <c r="BJ60" s="769">
        <f t="shared" si="92"/>
        <v>0</v>
      </c>
      <c r="BK60" s="769">
        <f t="shared" si="92"/>
        <v>0</v>
      </c>
      <c r="BM60" s="769">
        <f t="shared" si="93"/>
        <v>0</v>
      </c>
      <c r="BN60" s="769">
        <f t="shared" si="93"/>
        <v>0</v>
      </c>
      <c r="BO60" s="769">
        <f t="shared" si="93"/>
        <v>0</v>
      </c>
      <c r="BP60" s="769">
        <f t="shared" si="93"/>
        <v>0</v>
      </c>
      <c r="BQ60" s="769">
        <f t="shared" si="93"/>
        <v>0</v>
      </c>
      <c r="BS60" s="769">
        <f t="shared" si="94"/>
        <v>0</v>
      </c>
      <c r="BT60" s="769">
        <f t="shared" si="94"/>
        <v>0</v>
      </c>
      <c r="BU60" s="769">
        <f t="shared" si="94"/>
        <v>0</v>
      </c>
      <c r="BV60" s="769">
        <f t="shared" si="94"/>
        <v>0</v>
      </c>
      <c r="BW60" s="769">
        <f t="shared" si="94"/>
        <v>0</v>
      </c>
      <c r="BY60" s="769">
        <f t="shared" si="95"/>
        <v>0</v>
      </c>
      <c r="BZ60" s="769">
        <f t="shared" si="95"/>
        <v>0</v>
      </c>
      <c r="CA60" s="769">
        <f t="shared" si="95"/>
        <v>0</v>
      </c>
      <c r="CB60" s="769">
        <f t="shared" si="95"/>
        <v>0</v>
      </c>
      <c r="CC60" s="769">
        <f t="shared" si="95"/>
        <v>0</v>
      </c>
      <c r="CL60" s="769">
        <f t="shared" si="96"/>
        <v>0</v>
      </c>
      <c r="CM60" s="769">
        <f t="shared" si="96"/>
        <v>0</v>
      </c>
      <c r="CN60" s="769">
        <f t="shared" si="96"/>
        <v>0</v>
      </c>
      <c r="CO60" s="769">
        <f t="shared" si="96"/>
        <v>0</v>
      </c>
      <c r="CP60" s="769">
        <f t="shared" si="96"/>
        <v>0</v>
      </c>
      <c r="CR60" s="769">
        <f t="shared" si="97"/>
        <v>0</v>
      </c>
      <c r="CS60" s="769">
        <f t="shared" si="97"/>
        <v>0</v>
      </c>
      <c r="CT60" s="769">
        <f t="shared" si="97"/>
        <v>0</v>
      </c>
      <c r="CU60" s="769">
        <f t="shared" si="97"/>
        <v>0</v>
      </c>
      <c r="CV60" s="769">
        <f t="shared" si="97"/>
        <v>0</v>
      </c>
      <c r="CX60" s="769">
        <f t="shared" si="98"/>
        <v>0</v>
      </c>
      <c r="CY60" s="769">
        <f t="shared" si="98"/>
        <v>0</v>
      </c>
      <c r="CZ60" s="769">
        <f t="shared" si="98"/>
        <v>0</v>
      </c>
      <c r="DA60" s="769">
        <f t="shared" si="98"/>
        <v>0</v>
      </c>
      <c r="DB60" s="769">
        <f t="shared" si="98"/>
        <v>0</v>
      </c>
      <c r="DJ60" s="769">
        <f t="shared" si="99"/>
        <v>0</v>
      </c>
      <c r="DK60" s="769">
        <f t="shared" si="99"/>
        <v>0</v>
      </c>
      <c r="DL60" s="769">
        <f t="shared" si="99"/>
        <v>0</v>
      </c>
      <c r="DM60" s="769">
        <f t="shared" si="99"/>
        <v>0</v>
      </c>
      <c r="DN60" s="769">
        <f t="shared" si="99"/>
        <v>0</v>
      </c>
    </row>
    <row r="61" spans="1:256">
      <c r="E61" s="822" t="s">
        <v>474</v>
      </c>
      <c r="F61" s="712" t="str">
        <f t="shared" si="84"/>
        <v>HQ-RHInscrits</v>
      </c>
      <c r="G61" s="712"/>
      <c r="H61" s="712"/>
      <c r="I61" s="712"/>
      <c r="P61" s="823">
        <f t="shared" si="85"/>
        <v>0</v>
      </c>
      <c r="Q61" s="823">
        <f t="shared" si="85"/>
        <v>0</v>
      </c>
      <c r="R61" s="823">
        <f t="shared" si="85"/>
        <v>0</v>
      </c>
      <c r="S61" s="823">
        <f t="shared" si="85"/>
        <v>0</v>
      </c>
      <c r="T61" s="823">
        <f t="shared" si="85"/>
        <v>0</v>
      </c>
      <c r="V61" s="769">
        <f t="shared" si="86"/>
        <v>0</v>
      </c>
      <c r="W61" s="769">
        <f t="shared" si="86"/>
        <v>0</v>
      </c>
      <c r="X61" s="769">
        <f t="shared" si="86"/>
        <v>0</v>
      </c>
      <c r="Y61" s="769">
        <f t="shared" si="86"/>
        <v>0</v>
      </c>
      <c r="Z61" s="769">
        <f t="shared" si="86"/>
        <v>0</v>
      </c>
      <c r="AB61" s="769">
        <f t="shared" si="87"/>
        <v>0</v>
      </c>
      <c r="AC61" s="769">
        <f t="shared" si="87"/>
        <v>0</v>
      </c>
      <c r="AD61" s="769">
        <f t="shared" si="87"/>
        <v>0</v>
      </c>
      <c r="AE61" s="769">
        <f t="shared" si="87"/>
        <v>0</v>
      </c>
      <c r="AF61" s="769">
        <f t="shared" si="87"/>
        <v>0</v>
      </c>
      <c r="AH61" s="769">
        <f t="shared" si="88"/>
        <v>0</v>
      </c>
      <c r="AI61" s="769">
        <f t="shared" si="88"/>
        <v>0</v>
      </c>
      <c r="AJ61" s="769">
        <f t="shared" si="88"/>
        <v>0</v>
      </c>
      <c r="AK61" s="769">
        <f t="shared" si="88"/>
        <v>0</v>
      </c>
      <c r="AL61" s="769">
        <f t="shared" si="88"/>
        <v>0</v>
      </c>
      <c r="AN61" s="768"/>
      <c r="AO61" s="769">
        <f t="shared" si="89"/>
        <v>0</v>
      </c>
      <c r="AP61" s="769">
        <f t="shared" si="89"/>
        <v>0</v>
      </c>
      <c r="AQ61" s="769">
        <f t="shared" si="89"/>
        <v>0</v>
      </c>
      <c r="AR61" s="769">
        <f t="shared" si="89"/>
        <v>0</v>
      </c>
      <c r="AS61" s="769">
        <f t="shared" si="89"/>
        <v>0</v>
      </c>
      <c r="AU61" s="769">
        <f t="shared" si="90"/>
        <v>0</v>
      </c>
      <c r="AV61" s="769">
        <f t="shared" si="90"/>
        <v>0</v>
      </c>
      <c r="AW61" s="769">
        <f t="shared" si="90"/>
        <v>0</v>
      </c>
      <c r="AX61" s="769">
        <f t="shared" si="90"/>
        <v>0</v>
      </c>
      <c r="AY61" s="769">
        <f t="shared" si="90"/>
        <v>0</v>
      </c>
      <c r="BA61" s="769">
        <f t="shared" si="91"/>
        <v>0</v>
      </c>
      <c r="BB61" s="769">
        <f t="shared" si="91"/>
        <v>0</v>
      </c>
      <c r="BC61" s="769">
        <f t="shared" si="91"/>
        <v>0</v>
      </c>
      <c r="BD61" s="769">
        <f t="shared" si="91"/>
        <v>0</v>
      </c>
      <c r="BE61" s="769">
        <f t="shared" si="91"/>
        <v>0</v>
      </c>
      <c r="BG61" s="769">
        <f t="shared" si="92"/>
        <v>0</v>
      </c>
      <c r="BH61" s="769">
        <f t="shared" si="92"/>
        <v>0</v>
      </c>
      <c r="BI61" s="769">
        <f t="shared" si="92"/>
        <v>0</v>
      </c>
      <c r="BJ61" s="769">
        <f t="shared" si="92"/>
        <v>0</v>
      </c>
      <c r="BK61" s="769">
        <f t="shared" si="92"/>
        <v>0</v>
      </c>
      <c r="BM61" s="769">
        <f t="shared" si="93"/>
        <v>0</v>
      </c>
      <c r="BN61" s="769">
        <f t="shared" si="93"/>
        <v>0</v>
      </c>
      <c r="BO61" s="769">
        <f t="shared" si="93"/>
        <v>0</v>
      </c>
      <c r="BP61" s="769">
        <f t="shared" si="93"/>
        <v>0</v>
      </c>
      <c r="BQ61" s="769">
        <f t="shared" si="93"/>
        <v>0</v>
      </c>
      <c r="BS61" s="769">
        <f t="shared" si="94"/>
        <v>0</v>
      </c>
      <c r="BT61" s="769">
        <f t="shared" si="94"/>
        <v>0</v>
      </c>
      <c r="BU61" s="769">
        <f t="shared" si="94"/>
        <v>0</v>
      </c>
      <c r="BV61" s="769">
        <f t="shared" si="94"/>
        <v>0</v>
      </c>
      <c r="BW61" s="769">
        <f t="shared" si="94"/>
        <v>0</v>
      </c>
      <c r="BY61" s="769">
        <f t="shared" si="95"/>
        <v>0</v>
      </c>
      <c r="BZ61" s="769">
        <f t="shared" si="95"/>
        <v>0</v>
      </c>
      <c r="CA61" s="769">
        <f t="shared" si="95"/>
        <v>0</v>
      </c>
      <c r="CB61" s="769">
        <f t="shared" si="95"/>
        <v>0</v>
      </c>
      <c r="CC61" s="769">
        <f t="shared" si="95"/>
        <v>0</v>
      </c>
      <c r="CL61" s="769">
        <f t="shared" si="96"/>
        <v>0</v>
      </c>
      <c r="CM61" s="769">
        <f t="shared" si="96"/>
        <v>0</v>
      </c>
      <c r="CN61" s="769">
        <f t="shared" si="96"/>
        <v>0</v>
      </c>
      <c r="CO61" s="769">
        <f t="shared" si="96"/>
        <v>0</v>
      </c>
      <c r="CP61" s="769">
        <f t="shared" si="96"/>
        <v>0</v>
      </c>
      <c r="CR61" s="769">
        <f t="shared" si="97"/>
        <v>0</v>
      </c>
      <c r="CS61" s="769">
        <f t="shared" si="97"/>
        <v>0</v>
      </c>
      <c r="CT61" s="769">
        <f t="shared" si="97"/>
        <v>0</v>
      </c>
      <c r="CU61" s="769">
        <f t="shared" si="97"/>
        <v>0</v>
      </c>
      <c r="CV61" s="769">
        <f t="shared" si="97"/>
        <v>0</v>
      </c>
      <c r="CX61" s="769">
        <f t="shared" si="98"/>
        <v>0</v>
      </c>
      <c r="CY61" s="769">
        <f t="shared" si="98"/>
        <v>0</v>
      </c>
      <c r="CZ61" s="769">
        <f t="shared" si="98"/>
        <v>0</v>
      </c>
      <c r="DA61" s="769">
        <f t="shared" si="98"/>
        <v>0</v>
      </c>
      <c r="DB61" s="769">
        <f t="shared" si="98"/>
        <v>0</v>
      </c>
      <c r="DJ61" s="769">
        <f t="shared" si="99"/>
        <v>0</v>
      </c>
      <c r="DK61" s="769">
        <f t="shared" si="99"/>
        <v>0</v>
      </c>
      <c r="DL61" s="769">
        <f t="shared" si="99"/>
        <v>0</v>
      </c>
      <c r="DM61" s="769">
        <f t="shared" si="99"/>
        <v>0</v>
      </c>
      <c r="DN61" s="769">
        <f t="shared" si="99"/>
        <v>0</v>
      </c>
    </row>
    <row r="62" spans="1:256">
      <c r="E62" s="822" t="s">
        <v>475</v>
      </c>
      <c r="F62" s="712" t="str">
        <f t="shared" si="84"/>
        <v>HQ-DSFInscrits</v>
      </c>
      <c r="G62" s="712"/>
      <c r="H62" s="712"/>
      <c r="I62" s="712"/>
      <c r="P62" s="823">
        <f t="shared" si="85"/>
        <v>0</v>
      </c>
      <c r="Q62" s="823">
        <f t="shared" si="85"/>
        <v>0</v>
      </c>
      <c r="R62" s="823">
        <f t="shared" si="85"/>
        <v>0</v>
      </c>
      <c r="S62" s="823">
        <f t="shared" si="85"/>
        <v>0</v>
      </c>
      <c r="T62" s="823">
        <f t="shared" si="85"/>
        <v>0</v>
      </c>
      <c r="V62" s="769">
        <f t="shared" si="86"/>
        <v>0</v>
      </c>
      <c r="W62" s="769">
        <f t="shared" si="86"/>
        <v>0</v>
      </c>
      <c r="X62" s="769">
        <f t="shared" si="86"/>
        <v>0</v>
      </c>
      <c r="Y62" s="769">
        <f t="shared" si="86"/>
        <v>0</v>
      </c>
      <c r="Z62" s="769">
        <f t="shared" si="86"/>
        <v>0</v>
      </c>
      <c r="AB62" s="769">
        <f t="shared" si="87"/>
        <v>0</v>
      </c>
      <c r="AC62" s="769">
        <f t="shared" si="87"/>
        <v>0</v>
      </c>
      <c r="AD62" s="769">
        <f t="shared" si="87"/>
        <v>0</v>
      </c>
      <c r="AE62" s="769">
        <f t="shared" si="87"/>
        <v>0</v>
      </c>
      <c r="AF62" s="769">
        <f t="shared" si="87"/>
        <v>0</v>
      </c>
      <c r="AH62" s="769">
        <f t="shared" si="88"/>
        <v>0</v>
      </c>
      <c r="AI62" s="769">
        <f t="shared" si="88"/>
        <v>0</v>
      </c>
      <c r="AJ62" s="769">
        <f t="shared" si="88"/>
        <v>0</v>
      </c>
      <c r="AK62" s="769">
        <f t="shared" si="88"/>
        <v>0</v>
      </c>
      <c r="AL62" s="769">
        <f t="shared" si="88"/>
        <v>0</v>
      </c>
      <c r="AN62" s="768"/>
      <c r="AO62" s="769">
        <f t="shared" si="89"/>
        <v>0</v>
      </c>
      <c r="AP62" s="769">
        <f t="shared" si="89"/>
        <v>0</v>
      </c>
      <c r="AQ62" s="769">
        <f t="shared" si="89"/>
        <v>0</v>
      </c>
      <c r="AR62" s="769">
        <f t="shared" si="89"/>
        <v>0</v>
      </c>
      <c r="AS62" s="769">
        <f t="shared" si="89"/>
        <v>0</v>
      </c>
      <c r="AU62" s="769">
        <f t="shared" si="90"/>
        <v>0</v>
      </c>
      <c r="AV62" s="769">
        <f t="shared" si="90"/>
        <v>0</v>
      </c>
      <c r="AW62" s="769">
        <f t="shared" si="90"/>
        <v>0</v>
      </c>
      <c r="AX62" s="769">
        <f t="shared" si="90"/>
        <v>0</v>
      </c>
      <c r="AY62" s="769">
        <f t="shared" si="90"/>
        <v>0</v>
      </c>
      <c r="BA62" s="769">
        <f t="shared" si="91"/>
        <v>0</v>
      </c>
      <c r="BB62" s="769">
        <f t="shared" si="91"/>
        <v>0</v>
      </c>
      <c r="BC62" s="769">
        <f t="shared" si="91"/>
        <v>0</v>
      </c>
      <c r="BD62" s="769">
        <f t="shared" si="91"/>
        <v>0</v>
      </c>
      <c r="BE62" s="769">
        <f t="shared" si="91"/>
        <v>0</v>
      </c>
      <c r="BG62" s="769">
        <f t="shared" si="92"/>
        <v>0</v>
      </c>
      <c r="BH62" s="769">
        <f t="shared" si="92"/>
        <v>0</v>
      </c>
      <c r="BI62" s="769">
        <f t="shared" si="92"/>
        <v>0</v>
      </c>
      <c r="BJ62" s="769">
        <f t="shared" si="92"/>
        <v>0</v>
      </c>
      <c r="BK62" s="769">
        <f t="shared" si="92"/>
        <v>0</v>
      </c>
      <c r="BM62" s="769">
        <f t="shared" si="93"/>
        <v>0</v>
      </c>
      <c r="BN62" s="769">
        <f t="shared" si="93"/>
        <v>0</v>
      </c>
      <c r="BO62" s="769">
        <f t="shared" si="93"/>
        <v>0</v>
      </c>
      <c r="BP62" s="769">
        <f t="shared" si="93"/>
        <v>0</v>
      </c>
      <c r="BQ62" s="769">
        <f t="shared" si="93"/>
        <v>0</v>
      </c>
      <c r="BS62" s="769">
        <f t="shared" si="94"/>
        <v>0</v>
      </c>
      <c r="BT62" s="769">
        <f t="shared" si="94"/>
        <v>0</v>
      </c>
      <c r="BU62" s="769">
        <f t="shared" si="94"/>
        <v>0</v>
      </c>
      <c r="BV62" s="769">
        <f t="shared" si="94"/>
        <v>0</v>
      </c>
      <c r="BW62" s="769">
        <f t="shared" si="94"/>
        <v>0</v>
      </c>
      <c r="BY62" s="769">
        <f t="shared" si="95"/>
        <v>0</v>
      </c>
      <c r="BZ62" s="769">
        <f t="shared" si="95"/>
        <v>0</v>
      </c>
      <c r="CA62" s="769">
        <f t="shared" si="95"/>
        <v>0</v>
      </c>
      <c r="CB62" s="769">
        <f t="shared" si="95"/>
        <v>0</v>
      </c>
      <c r="CC62" s="769">
        <f t="shared" si="95"/>
        <v>0</v>
      </c>
      <c r="CL62" s="769">
        <f t="shared" si="96"/>
        <v>0</v>
      </c>
      <c r="CM62" s="769">
        <f t="shared" si="96"/>
        <v>0</v>
      </c>
      <c r="CN62" s="769">
        <f t="shared" si="96"/>
        <v>0</v>
      </c>
      <c r="CO62" s="769">
        <f t="shared" si="96"/>
        <v>0</v>
      </c>
      <c r="CP62" s="769">
        <f t="shared" si="96"/>
        <v>0</v>
      </c>
      <c r="CR62" s="769">
        <f t="shared" si="97"/>
        <v>0</v>
      </c>
      <c r="CS62" s="769">
        <f t="shared" si="97"/>
        <v>0</v>
      </c>
      <c r="CT62" s="769">
        <f t="shared" si="97"/>
        <v>0</v>
      </c>
      <c r="CU62" s="769">
        <f t="shared" si="97"/>
        <v>0</v>
      </c>
      <c r="CV62" s="769">
        <f t="shared" si="97"/>
        <v>0</v>
      </c>
      <c r="CX62" s="769">
        <f t="shared" si="98"/>
        <v>0</v>
      </c>
      <c r="CY62" s="769">
        <f t="shared" si="98"/>
        <v>0</v>
      </c>
      <c r="CZ62" s="769">
        <f t="shared" si="98"/>
        <v>0</v>
      </c>
      <c r="DA62" s="769">
        <f t="shared" si="98"/>
        <v>0</v>
      </c>
      <c r="DB62" s="769">
        <f t="shared" si="98"/>
        <v>0</v>
      </c>
      <c r="DJ62" s="769">
        <f t="shared" si="99"/>
        <v>0</v>
      </c>
      <c r="DK62" s="769">
        <f t="shared" si="99"/>
        <v>0</v>
      </c>
      <c r="DL62" s="769">
        <f t="shared" si="99"/>
        <v>0</v>
      </c>
      <c r="DM62" s="769">
        <f t="shared" si="99"/>
        <v>0</v>
      </c>
      <c r="DN62" s="769">
        <f t="shared" si="99"/>
        <v>0</v>
      </c>
    </row>
    <row r="63" spans="1:256">
      <c r="E63" s="822" t="s">
        <v>471</v>
      </c>
      <c r="F63" s="712" t="str">
        <f t="shared" si="84"/>
        <v>HQ-DGInscrits</v>
      </c>
      <c r="G63" s="712"/>
      <c r="H63" s="712"/>
      <c r="I63" s="712"/>
      <c r="P63" s="823">
        <f t="shared" si="85"/>
        <v>0</v>
      </c>
      <c r="Q63" s="823">
        <f t="shared" si="85"/>
        <v>0</v>
      </c>
      <c r="R63" s="823">
        <f t="shared" si="85"/>
        <v>0</v>
      </c>
      <c r="S63" s="823">
        <f t="shared" si="85"/>
        <v>0</v>
      </c>
      <c r="T63" s="823">
        <f t="shared" si="85"/>
        <v>0</v>
      </c>
      <c r="V63" s="769">
        <f t="shared" si="86"/>
        <v>0</v>
      </c>
      <c r="W63" s="769">
        <f t="shared" si="86"/>
        <v>0</v>
      </c>
      <c r="X63" s="769">
        <f t="shared" si="86"/>
        <v>0</v>
      </c>
      <c r="Y63" s="769">
        <f t="shared" si="86"/>
        <v>0</v>
      </c>
      <c r="Z63" s="769">
        <f t="shared" si="86"/>
        <v>0</v>
      </c>
      <c r="AB63" s="769">
        <f t="shared" si="87"/>
        <v>0</v>
      </c>
      <c r="AC63" s="769">
        <f t="shared" si="87"/>
        <v>0</v>
      </c>
      <c r="AD63" s="769">
        <f t="shared" si="87"/>
        <v>0</v>
      </c>
      <c r="AE63" s="769">
        <f t="shared" si="87"/>
        <v>0</v>
      </c>
      <c r="AF63" s="769">
        <f t="shared" si="87"/>
        <v>0</v>
      </c>
      <c r="AH63" s="769">
        <f t="shared" si="88"/>
        <v>0</v>
      </c>
      <c r="AI63" s="769">
        <f t="shared" si="88"/>
        <v>0</v>
      </c>
      <c r="AJ63" s="769">
        <f t="shared" si="88"/>
        <v>0</v>
      </c>
      <c r="AK63" s="769">
        <f t="shared" si="88"/>
        <v>0</v>
      </c>
      <c r="AL63" s="769">
        <f t="shared" si="88"/>
        <v>0</v>
      </c>
      <c r="AN63" s="768"/>
      <c r="AO63" s="769">
        <f t="shared" si="89"/>
        <v>0</v>
      </c>
      <c r="AP63" s="769">
        <f t="shared" si="89"/>
        <v>0</v>
      </c>
      <c r="AQ63" s="769">
        <f t="shared" si="89"/>
        <v>0</v>
      </c>
      <c r="AR63" s="769">
        <f t="shared" si="89"/>
        <v>0</v>
      </c>
      <c r="AS63" s="769">
        <f t="shared" si="89"/>
        <v>0</v>
      </c>
      <c r="AU63" s="769">
        <f t="shared" si="90"/>
        <v>0</v>
      </c>
      <c r="AV63" s="769">
        <f t="shared" si="90"/>
        <v>0</v>
      </c>
      <c r="AW63" s="769">
        <f t="shared" si="90"/>
        <v>0</v>
      </c>
      <c r="AX63" s="769">
        <f t="shared" si="90"/>
        <v>0</v>
      </c>
      <c r="AY63" s="769">
        <f t="shared" si="90"/>
        <v>0</v>
      </c>
      <c r="BA63" s="769">
        <f t="shared" si="91"/>
        <v>0</v>
      </c>
      <c r="BB63" s="769">
        <f t="shared" si="91"/>
        <v>0</v>
      </c>
      <c r="BC63" s="769">
        <f t="shared" si="91"/>
        <v>0</v>
      </c>
      <c r="BD63" s="769">
        <f t="shared" si="91"/>
        <v>0</v>
      </c>
      <c r="BE63" s="769">
        <f t="shared" si="91"/>
        <v>0</v>
      </c>
      <c r="BG63" s="769">
        <f t="shared" si="92"/>
        <v>0</v>
      </c>
      <c r="BH63" s="769">
        <f t="shared" si="92"/>
        <v>0</v>
      </c>
      <c r="BI63" s="769">
        <f t="shared" si="92"/>
        <v>0</v>
      </c>
      <c r="BJ63" s="769">
        <f t="shared" si="92"/>
        <v>0</v>
      </c>
      <c r="BK63" s="769">
        <f t="shared" si="92"/>
        <v>0</v>
      </c>
      <c r="BM63" s="769">
        <f t="shared" si="93"/>
        <v>0</v>
      </c>
      <c r="BN63" s="769">
        <f t="shared" si="93"/>
        <v>0</v>
      </c>
      <c r="BO63" s="769">
        <f t="shared" si="93"/>
        <v>0</v>
      </c>
      <c r="BP63" s="769">
        <f t="shared" si="93"/>
        <v>0</v>
      </c>
      <c r="BQ63" s="769">
        <f t="shared" si="93"/>
        <v>0</v>
      </c>
      <c r="BS63" s="769">
        <f t="shared" si="94"/>
        <v>0</v>
      </c>
      <c r="BT63" s="769">
        <f t="shared" si="94"/>
        <v>0</v>
      </c>
      <c r="BU63" s="769">
        <f t="shared" si="94"/>
        <v>0</v>
      </c>
      <c r="BV63" s="769">
        <f t="shared" si="94"/>
        <v>0</v>
      </c>
      <c r="BW63" s="769">
        <f t="shared" si="94"/>
        <v>0</v>
      </c>
      <c r="BY63" s="769">
        <f t="shared" si="95"/>
        <v>0</v>
      </c>
      <c r="BZ63" s="769">
        <f t="shared" si="95"/>
        <v>0</v>
      </c>
      <c r="CA63" s="769">
        <f t="shared" si="95"/>
        <v>0</v>
      </c>
      <c r="CB63" s="769">
        <f t="shared" si="95"/>
        <v>0</v>
      </c>
      <c r="CC63" s="769">
        <f t="shared" si="95"/>
        <v>0</v>
      </c>
      <c r="CL63" s="769">
        <f t="shared" si="96"/>
        <v>0</v>
      </c>
      <c r="CM63" s="769">
        <f t="shared" si="96"/>
        <v>0</v>
      </c>
      <c r="CN63" s="769">
        <f t="shared" si="96"/>
        <v>0</v>
      </c>
      <c r="CO63" s="769">
        <f t="shared" si="96"/>
        <v>0</v>
      </c>
      <c r="CP63" s="769">
        <f t="shared" si="96"/>
        <v>0</v>
      </c>
      <c r="CR63" s="769">
        <f t="shared" si="97"/>
        <v>0</v>
      </c>
      <c r="CS63" s="769">
        <f t="shared" si="97"/>
        <v>0</v>
      </c>
      <c r="CT63" s="769">
        <f t="shared" si="97"/>
        <v>0</v>
      </c>
      <c r="CU63" s="769">
        <f t="shared" si="97"/>
        <v>0</v>
      </c>
      <c r="CV63" s="769">
        <f t="shared" si="97"/>
        <v>0</v>
      </c>
      <c r="CX63" s="769">
        <f t="shared" si="98"/>
        <v>0</v>
      </c>
      <c r="CY63" s="769">
        <f t="shared" si="98"/>
        <v>0</v>
      </c>
      <c r="CZ63" s="769">
        <f t="shared" si="98"/>
        <v>0</v>
      </c>
      <c r="DA63" s="769">
        <f t="shared" si="98"/>
        <v>0</v>
      </c>
      <c r="DB63" s="769">
        <f t="shared" si="98"/>
        <v>0</v>
      </c>
      <c r="DJ63" s="769">
        <f t="shared" si="99"/>
        <v>0</v>
      </c>
      <c r="DK63" s="769">
        <f t="shared" si="99"/>
        <v>0</v>
      </c>
      <c r="DL63" s="769">
        <f t="shared" si="99"/>
        <v>0</v>
      </c>
      <c r="DM63" s="769">
        <f t="shared" si="99"/>
        <v>0</v>
      </c>
      <c r="DN63" s="769">
        <f t="shared" si="99"/>
        <v>0</v>
      </c>
    </row>
    <row r="64" spans="1:256">
      <c r="E64" s="822" t="s">
        <v>476</v>
      </c>
      <c r="F64" s="712" t="str">
        <f t="shared" si="84"/>
        <v>DCMInscrits</v>
      </c>
      <c r="G64" s="712"/>
      <c r="H64" s="712"/>
      <c r="I64" s="712"/>
      <c r="P64" s="823">
        <f t="shared" si="85"/>
        <v>0</v>
      </c>
      <c r="Q64" s="823">
        <f t="shared" si="85"/>
        <v>0</v>
      </c>
      <c r="R64" s="823">
        <f t="shared" si="85"/>
        <v>0</v>
      </c>
      <c r="S64" s="823">
        <f t="shared" si="85"/>
        <v>0</v>
      </c>
      <c r="T64" s="823">
        <f t="shared" si="85"/>
        <v>0</v>
      </c>
      <c r="V64" s="769">
        <f t="shared" si="86"/>
        <v>0</v>
      </c>
      <c r="W64" s="769">
        <f t="shared" si="86"/>
        <v>0</v>
      </c>
      <c r="X64" s="769">
        <f t="shared" si="86"/>
        <v>0</v>
      </c>
      <c r="Y64" s="769">
        <f t="shared" si="86"/>
        <v>0</v>
      </c>
      <c r="Z64" s="769">
        <f t="shared" si="86"/>
        <v>0</v>
      </c>
      <c r="AB64" s="769">
        <f t="shared" si="87"/>
        <v>0</v>
      </c>
      <c r="AC64" s="769">
        <f t="shared" si="87"/>
        <v>0</v>
      </c>
      <c r="AD64" s="769">
        <f t="shared" si="87"/>
        <v>0</v>
      </c>
      <c r="AE64" s="769">
        <f t="shared" si="87"/>
        <v>0</v>
      </c>
      <c r="AF64" s="769">
        <f t="shared" si="87"/>
        <v>0</v>
      </c>
      <c r="AH64" s="769">
        <f t="shared" si="88"/>
        <v>0</v>
      </c>
      <c r="AI64" s="769">
        <f t="shared" si="88"/>
        <v>0</v>
      </c>
      <c r="AJ64" s="769">
        <f t="shared" si="88"/>
        <v>0</v>
      </c>
      <c r="AK64" s="769">
        <f t="shared" si="88"/>
        <v>0</v>
      </c>
      <c r="AL64" s="769">
        <f t="shared" si="88"/>
        <v>0</v>
      </c>
      <c r="AN64" s="768"/>
      <c r="AO64" s="769">
        <f t="shared" si="89"/>
        <v>0</v>
      </c>
      <c r="AP64" s="769">
        <f t="shared" si="89"/>
        <v>0</v>
      </c>
      <c r="AQ64" s="769">
        <f t="shared" si="89"/>
        <v>0</v>
      </c>
      <c r="AR64" s="769">
        <f t="shared" si="89"/>
        <v>0</v>
      </c>
      <c r="AS64" s="769">
        <f t="shared" si="89"/>
        <v>0</v>
      </c>
      <c r="AU64" s="769">
        <f t="shared" si="90"/>
        <v>0</v>
      </c>
      <c r="AV64" s="769">
        <f t="shared" si="90"/>
        <v>0</v>
      </c>
      <c r="AW64" s="769">
        <f t="shared" si="90"/>
        <v>0</v>
      </c>
      <c r="AX64" s="769">
        <f t="shared" si="90"/>
        <v>0</v>
      </c>
      <c r="AY64" s="769">
        <f t="shared" si="90"/>
        <v>0</v>
      </c>
      <c r="BA64" s="769">
        <f t="shared" si="91"/>
        <v>0</v>
      </c>
      <c r="BB64" s="769">
        <f t="shared" si="91"/>
        <v>0</v>
      </c>
      <c r="BC64" s="769">
        <f t="shared" si="91"/>
        <v>0</v>
      </c>
      <c r="BD64" s="769">
        <f t="shared" si="91"/>
        <v>0</v>
      </c>
      <c r="BE64" s="769">
        <f t="shared" si="91"/>
        <v>0</v>
      </c>
      <c r="BG64" s="769">
        <f t="shared" si="92"/>
        <v>0</v>
      </c>
      <c r="BH64" s="769">
        <f t="shared" si="92"/>
        <v>0</v>
      </c>
      <c r="BI64" s="769">
        <f t="shared" si="92"/>
        <v>0</v>
      </c>
      <c r="BJ64" s="769">
        <f t="shared" si="92"/>
        <v>0</v>
      </c>
      <c r="BK64" s="769">
        <f t="shared" si="92"/>
        <v>0</v>
      </c>
      <c r="BM64" s="769">
        <f t="shared" si="93"/>
        <v>0</v>
      </c>
      <c r="BN64" s="769">
        <f t="shared" si="93"/>
        <v>0</v>
      </c>
      <c r="BO64" s="769">
        <f t="shared" si="93"/>
        <v>0</v>
      </c>
      <c r="BP64" s="769">
        <f t="shared" si="93"/>
        <v>0</v>
      </c>
      <c r="BQ64" s="769">
        <f t="shared" si="93"/>
        <v>0</v>
      </c>
      <c r="BS64" s="769">
        <f t="shared" si="94"/>
        <v>0</v>
      </c>
      <c r="BT64" s="769">
        <f t="shared" si="94"/>
        <v>0</v>
      </c>
      <c r="BU64" s="769">
        <f t="shared" si="94"/>
        <v>0</v>
      </c>
      <c r="BV64" s="769">
        <f t="shared" si="94"/>
        <v>0</v>
      </c>
      <c r="BW64" s="769">
        <f t="shared" si="94"/>
        <v>0</v>
      </c>
      <c r="BY64" s="769">
        <f t="shared" si="95"/>
        <v>0</v>
      </c>
      <c r="BZ64" s="769">
        <f t="shared" si="95"/>
        <v>0</v>
      </c>
      <c r="CA64" s="769">
        <f t="shared" si="95"/>
        <v>0</v>
      </c>
      <c r="CB64" s="769">
        <f t="shared" si="95"/>
        <v>0</v>
      </c>
      <c r="CC64" s="769">
        <f t="shared" si="95"/>
        <v>0</v>
      </c>
      <c r="CL64" s="769">
        <f t="shared" si="96"/>
        <v>0</v>
      </c>
      <c r="CM64" s="769">
        <f t="shared" si="96"/>
        <v>0</v>
      </c>
      <c r="CN64" s="769">
        <f t="shared" si="96"/>
        <v>0</v>
      </c>
      <c r="CO64" s="769">
        <f t="shared" si="96"/>
        <v>0</v>
      </c>
      <c r="CP64" s="769">
        <f t="shared" si="96"/>
        <v>0</v>
      </c>
      <c r="CR64" s="769">
        <f t="shared" si="97"/>
        <v>0</v>
      </c>
      <c r="CS64" s="769">
        <f t="shared" si="97"/>
        <v>0</v>
      </c>
      <c r="CT64" s="769">
        <f t="shared" si="97"/>
        <v>0</v>
      </c>
      <c r="CU64" s="769">
        <f t="shared" si="97"/>
        <v>0</v>
      </c>
      <c r="CV64" s="769">
        <f t="shared" si="97"/>
        <v>0</v>
      </c>
      <c r="CX64" s="769">
        <f t="shared" si="98"/>
        <v>0</v>
      </c>
      <c r="CY64" s="769">
        <f t="shared" si="98"/>
        <v>0</v>
      </c>
      <c r="CZ64" s="769">
        <f t="shared" si="98"/>
        <v>0</v>
      </c>
      <c r="DA64" s="769">
        <f t="shared" si="98"/>
        <v>0</v>
      </c>
      <c r="DB64" s="769">
        <f t="shared" si="98"/>
        <v>0</v>
      </c>
      <c r="DJ64" s="769">
        <f t="shared" si="99"/>
        <v>0</v>
      </c>
      <c r="DK64" s="769">
        <f t="shared" si="99"/>
        <v>0</v>
      </c>
      <c r="DL64" s="769">
        <f t="shared" si="99"/>
        <v>0</v>
      </c>
      <c r="DM64" s="769">
        <f t="shared" si="99"/>
        <v>0</v>
      </c>
      <c r="DN64" s="769">
        <f t="shared" si="99"/>
        <v>0</v>
      </c>
    </row>
    <row r="65" spans="1:256">
      <c r="E65" s="822" t="s">
        <v>231</v>
      </c>
      <c r="F65" s="712" t="str">
        <f t="shared" si="84"/>
        <v>ITInscrits</v>
      </c>
      <c r="G65" s="712"/>
      <c r="H65" s="712"/>
      <c r="I65" s="712"/>
      <c r="O65" s="801" t="s">
        <v>477</v>
      </c>
      <c r="P65" s="823">
        <f t="shared" si="85"/>
        <v>0</v>
      </c>
      <c r="Q65" s="823">
        <f t="shared" si="85"/>
        <v>0</v>
      </c>
      <c r="R65" s="823">
        <f t="shared" si="85"/>
        <v>0</v>
      </c>
      <c r="S65" s="823">
        <f t="shared" si="85"/>
        <v>0</v>
      </c>
      <c r="T65" s="823">
        <f t="shared" si="85"/>
        <v>0</v>
      </c>
      <c r="V65" s="769">
        <f t="shared" si="86"/>
        <v>0</v>
      </c>
      <c r="W65" s="769">
        <f t="shared" si="86"/>
        <v>0</v>
      </c>
      <c r="X65" s="769">
        <f t="shared" si="86"/>
        <v>0</v>
      </c>
      <c r="Y65" s="769">
        <f t="shared" si="86"/>
        <v>0</v>
      </c>
      <c r="Z65" s="769">
        <f t="shared" si="86"/>
        <v>0</v>
      </c>
      <c r="AB65" s="769">
        <f t="shared" si="87"/>
        <v>0</v>
      </c>
      <c r="AC65" s="769">
        <f t="shared" si="87"/>
        <v>0</v>
      </c>
      <c r="AD65" s="769">
        <f t="shared" si="87"/>
        <v>0</v>
      </c>
      <c r="AE65" s="769">
        <f t="shared" si="87"/>
        <v>0</v>
      </c>
      <c r="AF65" s="769">
        <f t="shared" si="87"/>
        <v>0</v>
      </c>
      <c r="AH65" s="769">
        <f t="shared" si="88"/>
        <v>0</v>
      </c>
      <c r="AI65" s="769">
        <f t="shared" si="88"/>
        <v>0</v>
      </c>
      <c r="AJ65" s="769">
        <f t="shared" si="88"/>
        <v>0</v>
      </c>
      <c r="AK65" s="769">
        <f t="shared" si="88"/>
        <v>0</v>
      </c>
      <c r="AL65" s="769">
        <f t="shared" si="88"/>
        <v>0</v>
      </c>
      <c r="AN65" s="768"/>
      <c r="AO65" s="769">
        <f t="shared" si="89"/>
        <v>0</v>
      </c>
      <c r="AP65" s="769">
        <f t="shared" si="89"/>
        <v>0</v>
      </c>
      <c r="AQ65" s="769">
        <f t="shared" si="89"/>
        <v>0</v>
      </c>
      <c r="AR65" s="769">
        <f t="shared" si="89"/>
        <v>0</v>
      </c>
      <c r="AS65" s="769">
        <f t="shared" si="89"/>
        <v>0</v>
      </c>
      <c r="AU65" s="769">
        <f t="shared" si="90"/>
        <v>0</v>
      </c>
      <c r="AV65" s="769">
        <f t="shared" si="90"/>
        <v>0</v>
      </c>
      <c r="AW65" s="769">
        <f t="shared" si="90"/>
        <v>0</v>
      </c>
      <c r="AX65" s="769">
        <f t="shared" si="90"/>
        <v>0</v>
      </c>
      <c r="AY65" s="769">
        <f t="shared" si="90"/>
        <v>0</v>
      </c>
      <c r="BA65" s="769">
        <f t="shared" si="91"/>
        <v>0</v>
      </c>
      <c r="BB65" s="769">
        <f t="shared" si="91"/>
        <v>0</v>
      </c>
      <c r="BC65" s="769">
        <f t="shared" si="91"/>
        <v>0</v>
      </c>
      <c r="BD65" s="769">
        <f t="shared" si="91"/>
        <v>0</v>
      </c>
      <c r="BE65" s="769">
        <f t="shared" si="91"/>
        <v>0</v>
      </c>
      <c r="BG65" s="769">
        <f t="shared" si="92"/>
        <v>0</v>
      </c>
      <c r="BH65" s="769">
        <f t="shared" si="92"/>
        <v>0</v>
      </c>
      <c r="BI65" s="769">
        <f t="shared" si="92"/>
        <v>0</v>
      </c>
      <c r="BJ65" s="769">
        <f t="shared" si="92"/>
        <v>0</v>
      </c>
      <c r="BK65" s="769">
        <f t="shared" si="92"/>
        <v>0</v>
      </c>
      <c r="BM65" s="769">
        <f t="shared" si="93"/>
        <v>0</v>
      </c>
      <c r="BN65" s="769">
        <f t="shared" si="93"/>
        <v>0</v>
      </c>
      <c r="BO65" s="769">
        <f t="shared" si="93"/>
        <v>0</v>
      </c>
      <c r="BP65" s="769">
        <f t="shared" si="93"/>
        <v>0</v>
      </c>
      <c r="BQ65" s="769">
        <f t="shared" si="93"/>
        <v>0</v>
      </c>
      <c r="BS65" s="769">
        <f t="shared" si="94"/>
        <v>0</v>
      </c>
      <c r="BT65" s="769">
        <f t="shared" si="94"/>
        <v>0</v>
      </c>
      <c r="BU65" s="769">
        <f t="shared" si="94"/>
        <v>0</v>
      </c>
      <c r="BV65" s="769">
        <f t="shared" si="94"/>
        <v>0</v>
      </c>
      <c r="BW65" s="769">
        <f t="shared" si="94"/>
        <v>0</v>
      </c>
      <c r="BY65" s="769">
        <f t="shared" si="95"/>
        <v>0</v>
      </c>
      <c r="BZ65" s="769">
        <f t="shared" si="95"/>
        <v>0</v>
      </c>
      <c r="CA65" s="769">
        <f t="shared" si="95"/>
        <v>0</v>
      </c>
      <c r="CB65" s="769">
        <f t="shared" si="95"/>
        <v>0</v>
      </c>
      <c r="CC65" s="769">
        <f t="shared" si="95"/>
        <v>0</v>
      </c>
      <c r="CL65" s="769">
        <f t="shared" si="96"/>
        <v>0</v>
      </c>
      <c r="CM65" s="769">
        <f t="shared" si="96"/>
        <v>0</v>
      </c>
      <c r="CN65" s="769">
        <f t="shared" si="96"/>
        <v>0</v>
      </c>
      <c r="CO65" s="769">
        <f t="shared" si="96"/>
        <v>0</v>
      </c>
      <c r="CP65" s="769">
        <f t="shared" si="96"/>
        <v>0</v>
      </c>
      <c r="CR65" s="769">
        <f t="shared" si="97"/>
        <v>0</v>
      </c>
      <c r="CS65" s="769">
        <f t="shared" si="97"/>
        <v>0</v>
      </c>
      <c r="CT65" s="769">
        <f t="shared" si="97"/>
        <v>0</v>
      </c>
      <c r="CU65" s="769">
        <f t="shared" si="97"/>
        <v>0</v>
      </c>
      <c r="CV65" s="769">
        <f t="shared" si="97"/>
        <v>0</v>
      </c>
      <c r="CX65" s="769">
        <f t="shared" si="98"/>
        <v>0</v>
      </c>
      <c r="CY65" s="769">
        <f t="shared" si="98"/>
        <v>0</v>
      </c>
      <c r="CZ65" s="769">
        <f t="shared" si="98"/>
        <v>0</v>
      </c>
      <c r="DA65" s="769">
        <f t="shared" si="98"/>
        <v>0</v>
      </c>
      <c r="DB65" s="769">
        <f t="shared" si="98"/>
        <v>0</v>
      </c>
      <c r="DJ65" s="769">
        <f t="shared" si="99"/>
        <v>0</v>
      </c>
      <c r="DK65" s="769">
        <f t="shared" si="99"/>
        <v>0</v>
      </c>
      <c r="DL65" s="769">
        <f t="shared" si="99"/>
        <v>0</v>
      </c>
      <c r="DM65" s="769">
        <f t="shared" si="99"/>
        <v>0</v>
      </c>
      <c r="DN65" s="769">
        <f t="shared" si="99"/>
        <v>0</v>
      </c>
    </row>
    <row r="66" spans="1:256">
      <c r="A66" s="770"/>
      <c r="B66" s="770"/>
      <c r="C66" s="770"/>
      <c r="D66" s="770"/>
      <c r="E66" s="770"/>
      <c r="F66" s="771"/>
      <c r="G66" s="771"/>
      <c r="H66" s="771"/>
      <c r="I66" s="771"/>
      <c r="J66" s="771"/>
      <c r="K66" s="770"/>
      <c r="L66" s="770"/>
      <c r="M66" s="770"/>
      <c r="N66" s="770"/>
      <c r="O66" s="780"/>
      <c r="P66" s="772"/>
      <c r="Q66" s="772"/>
      <c r="R66" s="772"/>
      <c r="S66" s="772"/>
      <c r="T66" s="772"/>
      <c r="U66" s="770"/>
      <c r="V66" s="772">
        <f>+SUM(V44:V65)-V14</f>
        <v>0</v>
      </c>
      <c r="W66" s="772">
        <f>+SUM(W44:W65)-W14</f>
        <v>0</v>
      </c>
      <c r="X66" s="772">
        <f>+SUM(X44:X65)-X14</f>
        <v>0</v>
      </c>
      <c r="Y66" s="772">
        <f>+SUM(Y44:Y65)-Y14</f>
        <v>0</v>
      </c>
      <c r="Z66" s="772">
        <f>+SUM(Z44:Z65)-Z14</f>
        <v>0</v>
      </c>
      <c r="AA66" s="770"/>
      <c r="AB66" s="772">
        <f>+SUM(AB44:AB65)-AB14</f>
        <v>0</v>
      </c>
      <c r="AC66" s="772">
        <f>+SUM(AC44:AC65)-AC14</f>
        <v>0</v>
      </c>
      <c r="AD66" s="772">
        <f>+SUM(AD44:AD65)-AD14</f>
        <v>0</v>
      </c>
      <c r="AE66" s="772">
        <f>+SUM(AE44:AE65)-AE14</f>
        <v>0</v>
      </c>
      <c r="AF66" s="772">
        <f>+SUM(AF44:AF65)-AF14</f>
        <v>0</v>
      </c>
      <c r="AG66" s="770"/>
      <c r="AH66" s="772">
        <f>+SUM(AH44:AH65)-AH14</f>
        <v>0</v>
      </c>
      <c r="AI66" s="772">
        <f>+SUM(AI44:AI65)-AI14</f>
        <v>0</v>
      </c>
      <c r="AJ66" s="772">
        <f>+SUM(AJ44:AJ65)-AJ14</f>
        <v>0</v>
      </c>
      <c r="AK66" s="772">
        <f>+SUM(AK44:AK65)-AK14</f>
        <v>0</v>
      </c>
      <c r="AL66" s="772">
        <f>+SUM(AL44:AL65)-AL14</f>
        <v>0</v>
      </c>
      <c r="AM66" s="770"/>
      <c r="AN66" s="773"/>
      <c r="AO66" s="772">
        <f>+SUM(AO44:AO65)-AO14</f>
        <v>0</v>
      </c>
      <c r="AP66" s="772">
        <f>+SUM(AP44:AP65)-AP14</f>
        <v>0</v>
      </c>
      <c r="AQ66" s="772">
        <f>+SUM(AQ44:AQ65)-AQ14</f>
        <v>0</v>
      </c>
      <c r="AR66" s="772">
        <f>+SUM(AR44:AR65)-AR14</f>
        <v>0</v>
      </c>
      <c r="AS66" s="772">
        <f>+SUM(AS44:AS65)-AS14</f>
        <v>0</v>
      </c>
      <c r="AT66" s="770"/>
      <c r="AU66" s="772">
        <f>+SUM(AU44:AU65)-AU14</f>
        <v>0</v>
      </c>
      <c r="AV66" s="772">
        <f>+SUM(AV44:AV65)-AV14</f>
        <v>0</v>
      </c>
      <c r="AW66" s="772">
        <f>+SUM(AW44:AW65)-AW14</f>
        <v>0</v>
      </c>
      <c r="AX66" s="772">
        <f>+SUM(AX44:AX65)-AX14</f>
        <v>0</v>
      </c>
      <c r="AY66" s="772">
        <f>+SUM(AY44:AY65)-AY14</f>
        <v>0</v>
      </c>
      <c r="AZ66" s="770"/>
      <c r="BA66" s="772">
        <f>+SUM(BA44:BA65)-BA14</f>
        <v>0</v>
      </c>
      <c r="BB66" s="772">
        <f>+SUM(BB44:BB65)-BB14</f>
        <v>0</v>
      </c>
      <c r="BC66" s="772">
        <f>+SUM(BC44:BC65)-BC14</f>
        <v>0</v>
      </c>
      <c r="BD66" s="772">
        <f>+SUM(BD44:BD65)-BD14</f>
        <v>0</v>
      </c>
      <c r="BE66" s="772">
        <f>+SUM(BE44:BE65)-BE14</f>
        <v>0</v>
      </c>
      <c r="BF66" s="770"/>
      <c r="BG66" s="772">
        <f>+SUM(BG44:BG65)-BG14</f>
        <v>0</v>
      </c>
      <c r="BH66" s="772">
        <f>+SUM(BH44:BH65)-BH14</f>
        <v>0</v>
      </c>
      <c r="BI66" s="772">
        <f>+SUM(BI44:BI65)-BI14</f>
        <v>0</v>
      </c>
      <c r="BJ66" s="772">
        <f>+SUM(BJ44:BJ65)-BJ14</f>
        <v>0</v>
      </c>
      <c r="BK66" s="772">
        <f>+SUM(BK44:BK65)-BK14</f>
        <v>0</v>
      </c>
      <c r="BL66" s="770"/>
      <c r="BM66" s="772">
        <f>+SUM(BM44:BM65)-BM14</f>
        <v>0</v>
      </c>
      <c r="BN66" s="772">
        <f>+SUM(BN44:BN65)-BN14</f>
        <v>0</v>
      </c>
      <c r="BO66" s="772">
        <f>+SUM(BO44:BO65)-BO14</f>
        <v>0</v>
      </c>
      <c r="BP66" s="772">
        <f>+SUM(BP44:BP65)-BP14</f>
        <v>0</v>
      </c>
      <c r="BQ66" s="772">
        <f>+SUM(BQ44:BQ65)-BQ14</f>
        <v>0</v>
      </c>
      <c r="BR66" s="770"/>
      <c r="BS66" s="772">
        <f>+SUM(BS44:BS65)-BS14</f>
        <v>0</v>
      </c>
      <c r="BT66" s="772">
        <f>+SUM(BT44:BT65)-BT14</f>
        <v>0</v>
      </c>
      <c r="BU66" s="772">
        <f>+SUM(BU44:BU65)-BU14</f>
        <v>0</v>
      </c>
      <c r="BV66" s="772">
        <f>+SUM(BV44:BV65)-BV14</f>
        <v>0</v>
      </c>
      <c r="BW66" s="772">
        <f>+SUM(BW44:BW65)-BW14</f>
        <v>0</v>
      </c>
      <c r="BX66" s="770"/>
      <c r="BY66" s="772">
        <f>+SUM(BY44:BY65)-BY14</f>
        <v>0</v>
      </c>
      <c r="BZ66" s="772">
        <f>+SUM(BZ44:BZ65)-BZ14</f>
        <v>0</v>
      </c>
      <c r="CA66" s="772">
        <f>+SUM(CA44:CA65)-CA14</f>
        <v>0</v>
      </c>
      <c r="CB66" s="772">
        <f>+SUM(CB44:CB65)-CB14</f>
        <v>0</v>
      </c>
      <c r="CC66" s="772">
        <f>+SUM(CC44:CC65)-CC14</f>
        <v>0</v>
      </c>
      <c r="CD66" s="770"/>
      <c r="CE66" s="770"/>
      <c r="CF66" s="770"/>
      <c r="CG66" s="773"/>
      <c r="CH66" s="770"/>
      <c r="CI66" s="770"/>
      <c r="CJ66" s="770"/>
      <c r="CK66" s="770"/>
      <c r="CL66" s="770"/>
      <c r="CM66" s="770"/>
      <c r="CN66" s="770"/>
      <c r="CO66" s="770"/>
      <c r="CP66" s="770"/>
      <c r="CQ66" s="770"/>
      <c r="CR66" s="770"/>
      <c r="CS66" s="770"/>
      <c r="CT66" s="770"/>
      <c r="CU66" s="770"/>
      <c r="CV66" s="770"/>
      <c r="CW66" s="770"/>
      <c r="CX66" s="770"/>
      <c r="CY66" s="770"/>
      <c r="CZ66" s="770"/>
      <c r="DA66" s="770"/>
      <c r="DB66" s="770"/>
      <c r="DC66" s="770"/>
      <c r="DD66" s="770"/>
      <c r="DE66" s="770"/>
      <c r="DF66" s="770"/>
      <c r="DG66" s="770"/>
      <c r="DH66" s="770"/>
      <c r="DI66" s="770"/>
      <c r="DJ66" s="770"/>
      <c r="DK66" s="770"/>
      <c r="DL66" s="770"/>
      <c r="DM66" s="770"/>
      <c r="DN66" s="770"/>
      <c r="DO66" s="770"/>
      <c r="DP66" s="770"/>
      <c r="DQ66" s="770"/>
      <c r="DR66" s="770"/>
      <c r="DS66" s="770"/>
      <c r="DT66" s="770"/>
      <c r="DU66" s="770"/>
      <c r="DV66" s="770"/>
      <c r="DW66" s="770"/>
      <c r="DX66" s="770"/>
      <c r="DY66" s="770"/>
      <c r="DZ66" s="770"/>
      <c r="EA66" s="770"/>
      <c r="EB66" s="770"/>
      <c r="EC66" s="770"/>
      <c r="ED66" s="770"/>
      <c r="EE66" s="770"/>
      <c r="EF66" s="770"/>
      <c r="EG66" s="770"/>
      <c r="EH66" s="770"/>
      <c r="EI66" s="770"/>
      <c r="EJ66" s="770"/>
      <c r="EK66" s="770"/>
      <c r="EL66" s="770"/>
      <c r="EM66" s="770"/>
      <c r="EN66" s="770"/>
      <c r="EO66" s="770"/>
      <c r="EP66" s="770"/>
      <c r="EQ66" s="770"/>
      <c r="ER66" s="770"/>
      <c r="ES66" s="770"/>
      <c r="ET66" s="770"/>
      <c r="EU66" s="770"/>
      <c r="EV66" s="770"/>
      <c r="EW66" s="770"/>
      <c r="EX66" s="770"/>
      <c r="EY66" s="770"/>
      <c r="EZ66" s="770"/>
      <c r="FA66" s="770"/>
      <c r="FB66" s="770"/>
      <c r="FC66" s="770"/>
      <c r="FD66" s="770"/>
      <c r="FE66" s="770"/>
      <c r="FF66" s="770"/>
      <c r="FG66" s="770"/>
      <c r="FH66" s="770"/>
      <c r="FI66" s="770"/>
      <c r="FJ66" s="770"/>
      <c r="FK66" s="770"/>
      <c r="FL66" s="770"/>
      <c r="FM66" s="770"/>
      <c r="FN66" s="770"/>
      <c r="FO66" s="770"/>
      <c r="FP66" s="770"/>
      <c r="FQ66" s="770"/>
      <c r="FR66" s="770"/>
      <c r="FS66" s="770"/>
      <c r="FT66" s="770"/>
      <c r="FU66" s="770"/>
      <c r="FV66" s="770"/>
      <c r="FW66" s="770"/>
      <c r="FX66" s="770"/>
      <c r="FY66" s="770"/>
      <c r="FZ66" s="770"/>
      <c r="GA66" s="770"/>
      <c r="GB66" s="770"/>
      <c r="GC66" s="770"/>
      <c r="GD66" s="770"/>
      <c r="GE66" s="770"/>
      <c r="GF66" s="770"/>
      <c r="GG66" s="770"/>
      <c r="GH66" s="770"/>
      <c r="GI66" s="770"/>
      <c r="GJ66" s="770"/>
      <c r="GK66" s="770"/>
      <c r="GL66" s="770"/>
      <c r="GM66" s="770"/>
      <c r="GN66" s="770"/>
      <c r="GO66" s="770"/>
      <c r="GP66" s="770"/>
      <c r="GQ66" s="770"/>
      <c r="GR66" s="770"/>
      <c r="GS66" s="770"/>
      <c r="GT66" s="770"/>
      <c r="GU66" s="770"/>
      <c r="GV66" s="770"/>
      <c r="GW66" s="770"/>
      <c r="GX66" s="770"/>
      <c r="GY66" s="770"/>
      <c r="GZ66" s="770"/>
      <c r="HA66" s="770"/>
      <c r="HB66" s="770"/>
      <c r="HC66" s="770"/>
      <c r="HD66" s="770"/>
      <c r="HE66" s="770"/>
      <c r="HF66" s="770"/>
      <c r="HG66" s="770"/>
      <c r="HH66" s="770"/>
      <c r="HI66" s="770"/>
      <c r="HJ66" s="770"/>
      <c r="HK66" s="770"/>
      <c r="HL66" s="770"/>
      <c r="HM66" s="770"/>
      <c r="HN66" s="770"/>
      <c r="HO66" s="770"/>
      <c r="HP66" s="770"/>
      <c r="HQ66" s="770"/>
      <c r="HR66" s="770"/>
      <c r="HS66" s="770"/>
      <c r="HT66" s="770"/>
      <c r="HU66" s="770"/>
      <c r="HV66" s="770"/>
      <c r="HW66" s="770"/>
      <c r="HX66" s="770"/>
      <c r="HY66" s="770"/>
      <c r="HZ66" s="770"/>
      <c r="IA66" s="770"/>
      <c r="IB66" s="770"/>
      <c r="IC66" s="770"/>
      <c r="ID66" s="770"/>
      <c r="IE66" s="770"/>
      <c r="IF66" s="770"/>
      <c r="IG66" s="770"/>
      <c r="IH66" s="770"/>
      <c r="II66" s="770"/>
      <c r="IJ66" s="770"/>
      <c r="IK66" s="770"/>
      <c r="IL66" s="770"/>
      <c r="IM66" s="770"/>
      <c r="IN66" s="770"/>
      <c r="IO66" s="770"/>
      <c r="IP66" s="770"/>
      <c r="IQ66" s="770"/>
      <c r="IR66" s="770"/>
      <c r="IS66" s="770"/>
      <c r="IT66" s="770"/>
      <c r="IU66" s="770"/>
      <c r="IV66" s="770"/>
    </row>
    <row r="67" spans="1:256">
      <c r="O67" s="824"/>
    </row>
    <row r="68" spans="1:256">
      <c r="A68" s="765"/>
      <c r="B68" s="765"/>
      <c r="C68" s="765"/>
      <c r="D68" s="765"/>
      <c r="E68" s="767"/>
      <c r="F68" s="768"/>
      <c r="G68" s="768"/>
      <c r="H68" s="768"/>
      <c r="I68" s="768"/>
      <c r="J68" s="766"/>
      <c r="K68" s="765"/>
      <c r="L68" s="765"/>
      <c r="M68" s="765"/>
      <c r="N68" s="765"/>
      <c r="O68" s="765"/>
      <c r="P68" s="767" t="str">
        <f xml:space="preserve"> "Effectif"&amp;"/"&amp;interim</f>
        <v>Effectif/Intérimaires</v>
      </c>
      <c r="Q68" s="765"/>
      <c r="R68" s="765"/>
      <c r="S68" s="765"/>
      <c r="T68" s="765"/>
      <c r="U68" s="765"/>
      <c r="V68" s="765"/>
      <c r="W68" s="765"/>
      <c r="X68" s="765"/>
      <c r="Y68" s="765"/>
      <c r="Z68" s="765"/>
      <c r="AA68" s="765"/>
      <c r="AB68" s="765"/>
      <c r="AC68" s="765"/>
      <c r="AD68" s="765"/>
      <c r="AE68" s="765"/>
      <c r="AF68" s="765"/>
      <c r="AG68" s="765"/>
      <c r="AH68" s="765"/>
      <c r="AI68" s="765"/>
      <c r="AJ68" s="765"/>
      <c r="AK68" s="765"/>
      <c r="AL68" s="765"/>
      <c r="AM68" s="765"/>
      <c r="AN68" s="766"/>
      <c r="AO68" s="765"/>
      <c r="AP68" s="765"/>
      <c r="AQ68" s="765"/>
      <c r="AR68" s="765"/>
      <c r="AS68" s="765"/>
      <c r="AT68" s="765"/>
      <c r="AU68" s="765"/>
      <c r="AV68" s="765"/>
      <c r="AW68" s="765"/>
      <c r="AX68" s="765"/>
      <c r="AY68" s="765"/>
      <c r="AZ68" s="765"/>
      <c r="BA68" s="765"/>
      <c r="BB68" s="765"/>
      <c r="BC68" s="765"/>
      <c r="BD68" s="765"/>
      <c r="BE68" s="765"/>
      <c r="BF68" s="765"/>
      <c r="BG68" s="765"/>
      <c r="BH68" s="765"/>
      <c r="BI68" s="765"/>
      <c r="BJ68" s="765"/>
      <c r="BK68" s="765"/>
      <c r="BL68" s="765"/>
      <c r="BM68" s="765"/>
      <c r="BN68" s="765"/>
      <c r="BO68" s="765"/>
      <c r="BP68" s="765"/>
      <c r="BQ68" s="765"/>
      <c r="BR68" s="765"/>
      <c r="BS68" s="765"/>
      <c r="BT68" s="765"/>
      <c r="BU68" s="765"/>
      <c r="BV68" s="765"/>
      <c r="BW68" s="765"/>
      <c r="BX68" s="765"/>
      <c r="BY68" s="765"/>
      <c r="BZ68" s="765"/>
      <c r="CA68" s="765"/>
      <c r="CB68" s="765"/>
      <c r="CC68" s="765"/>
      <c r="CD68" s="765"/>
      <c r="CE68" s="765"/>
      <c r="CF68" s="765"/>
      <c r="CG68" s="768"/>
      <c r="CH68" s="765"/>
      <c r="CI68" s="765"/>
      <c r="CJ68" s="765"/>
      <c r="CK68" s="765"/>
      <c r="CL68" s="765"/>
      <c r="CM68" s="765"/>
      <c r="CN68" s="765"/>
      <c r="CO68" s="765"/>
      <c r="CP68" s="765"/>
      <c r="CQ68" s="765"/>
      <c r="CR68" s="765"/>
      <c r="CS68" s="765"/>
      <c r="CT68" s="765"/>
      <c r="CU68" s="765"/>
      <c r="CV68" s="765"/>
      <c r="CW68" s="765"/>
      <c r="CX68" s="765"/>
      <c r="CY68" s="765"/>
      <c r="CZ68" s="765"/>
      <c r="DA68" s="765"/>
      <c r="DB68" s="765"/>
      <c r="DC68" s="765"/>
      <c r="DD68" s="765"/>
      <c r="DE68" s="765"/>
      <c r="DF68" s="765"/>
      <c r="DG68" s="765"/>
      <c r="DH68" s="765"/>
      <c r="DI68" s="765"/>
      <c r="DJ68" s="765"/>
      <c r="DK68" s="765"/>
      <c r="DL68" s="765"/>
      <c r="DM68" s="765"/>
      <c r="DN68" s="765"/>
      <c r="DO68" s="765"/>
      <c r="DP68" s="765"/>
      <c r="DQ68" s="765"/>
      <c r="DR68" s="765"/>
      <c r="DS68" s="765"/>
      <c r="DT68" s="765"/>
      <c r="DU68" s="765"/>
      <c r="DV68" s="765"/>
      <c r="DW68" s="765"/>
      <c r="DX68" s="765"/>
      <c r="DY68" s="765"/>
      <c r="DZ68" s="765"/>
      <c r="EA68" s="765"/>
      <c r="EB68" s="765"/>
      <c r="EC68" s="765"/>
      <c r="ED68" s="765"/>
      <c r="EE68" s="765"/>
      <c r="EF68" s="765"/>
      <c r="EG68" s="765"/>
      <c r="EH68" s="765"/>
      <c r="EI68" s="765"/>
      <c r="EJ68" s="765"/>
      <c r="EK68" s="765"/>
      <c r="EL68" s="765"/>
      <c r="EM68" s="765"/>
      <c r="EN68" s="765"/>
      <c r="EO68" s="765"/>
      <c r="EP68" s="765"/>
      <c r="EQ68" s="765"/>
      <c r="ER68" s="765"/>
      <c r="ES68" s="765"/>
      <c r="ET68" s="765"/>
      <c r="EU68" s="765"/>
      <c r="EV68" s="765"/>
      <c r="EW68" s="765"/>
      <c r="EX68" s="765"/>
      <c r="EY68" s="765"/>
      <c r="EZ68" s="765"/>
      <c r="FA68" s="765"/>
      <c r="FB68" s="765"/>
      <c r="FC68" s="765"/>
      <c r="FD68" s="765"/>
      <c r="FE68" s="765"/>
      <c r="FF68" s="765"/>
      <c r="FG68" s="765"/>
      <c r="FH68" s="765"/>
      <c r="FI68" s="765"/>
      <c r="FJ68" s="765"/>
      <c r="FK68" s="765"/>
      <c r="FL68" s="765"/>
      <c r="FM68" s="765"/>
      <c r="FN68" s="765"/>
      <c r="FO68" s="765"/>
      <c r="FP68" s="765"/>
      <c r="FQ68" s="765"/>
      <c r="FR68" s="765"/>
      <c r="FS68" s="765"/>
      <c r="FT68" s="765"/>
      <c r="FU68" s="765"/>
      <c r="FV68" s="765"/>
      <c r="FW68" s="765"/>
      <c r="FX68" s="765"/>
      <c r="FY68" s="765"/>
      <c r="FZ68" s="765"/>
      <c r="GA68" s="765"/>
      <c r="GB68" s="765"/>
      <c r="GC68" s="765"/>
      <c r="GD68" s="765"/>
      <c r="GE68" s="765"/>
      <c r="GF68" s="765"/>
      <c r="GG68" s="765"/>
      <c r="GH68" s="765"/>
      <c r="GI68" s="765"/>
      <c r="GJ68" s="765"/>
      <c r="GK68" s="765"/>
      <c r="GL68" s="765"/>
      <c r="GM68" s="765"/>
      <c r="GN68" s="765"/>
      <c r="GO68" s="765"/>
      <c r="GP68" s="765"/>
      <c r="GQ68" s="765"/>
      <c r="GR68" s="765"/>
      <c r="GS68" s="765"/>
      <c r="GT68" s="765"/>
      <c r="GU68" s="765"/>
      <c r="GV68" s="765"/>
      <c r="GW68" s="765"/>
      <c r="GX68" s="765"/>
      <c r="GY68" s="765"/>
      <c r="GZ68" s="765"/>
      <c r="HA68" s="765"/>
      <c r="HB68" s="765"/>
      <c r="HC68" s="765"/>
      <c r="HD68" s="765"/>
      <c r="HE68" s="765"/>
      <c r="HF68" s="765"/>
      <c r="HG68" s="765"/>
      <c r="HH68" s="765"/>
      <c r="HI68" s="765"/>
      <c r="HJ68" s="765"/>
      <c r="HK68" s="765"/>
      <c r="HL68" s="765"/>
      <c r="HM68" s="765"/>
      <c r="HN68" s="765"/>
      <c r="HO68" s="765"/>
      <c r="HP68" s="765"/>
      <c r="HQ68" s="765"/>
      <c r="HR68" s="765"/>
      <c r="HS68" s="765"/>
      <c r="HT68" s="765"/>
      <c r="HU68" s="765"/>
      <c r="HV68" s="765"/>
      <c r="HW68" s="765"/>
      <c r="HX68" s="765"/>
      <c r="HY68" s="765"/>
      <c r="HZ68" s="765"/>
      <c r="IA68" s="765"/>
      <c r="IB68" s="765"/>
      <c r="IC68" s="765"/>
      <c r="ID68" s="765"/>
      <c r="IE68" s="765"/>
      <c r="IF68" s="765"/>
      <c r="IG68" s="765"/>
      <c r="IH68" s="765"/>
      <c r="II68" s="765"/>
      <c r="IJ68" s="765"/>
      <c r="IK68" s="765"/>
      <c r="IL68" s="765"/>
      <c r="IM68" s="765"/>
      <c r="IN68" s="765"/>
      <c r="IO68" s="765"/>
      <c r="IP68" s="765"/>
      <c r="IQ68" s="765"/>
      <c r="IR68" s="765"/>
      <c r="IS68" s="765"/>
      <c r="IT68" s="765"/>
      <c r="IU68" s="765"/>
      <c r="IV68" s="765"/>
    </row>
    <row r="69" spans="1:256">
      <c r="E69" s="822" t="s">
        <v>164</v>
      </c>
      <c r="F69" s="712" t="str">
        <f t="shared" ref="F69:F90" si="100">+E69&amp;interim</f>
        <v>ACTIVITEIntérimaires</v>
      </c>
      <c r="G69" s="712"/>
      <c r="H69" s="712"/>
      <c r="I69" s="712"/>
      <c r="P69" s="823">
        <f t="shared" ref="P69:T90" si="101">SUMIF($F$15:$F$39,$F69,P$15:P$39)</f>
        <v>0</v>
      </c>
      <c r="Q69" s="823">
        <f t="shared" si="101"/>
        <v>0</v>
      </c>
      <c r="R69" s="823">
        <f t="shared" si="101"/>
        <v>0</v>
      </c>
      <c r="S69" s="823">
        <f t="shared" si="101"/>
        <v>0</v>
      </c>
      <c r="T69" s="823">
        <f t="shared" si="101"/>
        <v>0</v>
      </c>
    </row>
    <row r="70" spans="1:256">
      <c r="E70" s="822" t="s">
        <v>923</v>
      </c>
      <c r="F70" s="712" t="str">
        <f t="shared" si="100"/>
        <v>FVLIntérimaires</v>
      </c>
      <c r="G70" s="712"/>
      <c r="H70" s="712"/>
      <c r="I70" s="712"/>
      <c r="P70" s="823">
        <f t="shared" si="101"/>
        <v>0</v>
      </c>
      <c r="Q70" s="823">
        <f t="shared" si="101"/>
        <v>0</v>
      </c>
      <c r="R70" s="823">
        <f t="shared" si="101"/>
        <v>0</v>
      </c>
      <c r="S70" s="823">
        <f t="shared" si="101"/>
        <v>0</v>
      </c>
      <c r="T70" s="823">
        <f t="shared" si="101"/>
        <v>0</v>
      </c>
    </row>
    <row r="71" spans="1:256">
      <c r="E71" s="822" t="s">
        <v>162</v>
      </c>
      <c r="F71" s="712" t="str">
        <f t="shared" si="100"/>
        <v>DIVIntérimaires</v>
      </c>
      <c r="G71" s="712"/>
      <c r="H71" s="712"/>
      <c r="I71" s="712"/>
      <c r="P71" s="823">
        <f t="shared" si="101"/>
        <v>0</v>
      </c>
      <c r="Q71" s="823">
        <f t="shared" si="101"/>
        <v>0</v>
      </c>
      <c r="R71" s="823">
        <f t="shared" si="101"/>
        <v>0</v>
      </c>
      <c r="S71" s="823">
        <f t="shared" si="101"/>
        <v>0</v>
      </c>
      <c r="T71" s="823">
        <f t="shared" si="101"/>
        <v>0</v>
      </c>
    </row>
    <row r="72" spans="1:256">
      <c r="E72" s="822" t="s">
        <v>161</v>
      </c>
      <c r="F72" s="712" t="str">
        <f t="shared" si="100"/>
        <v>CTPIntérimaires</v>
      </c>
      <c r="G72" s="712"/>
      <c r="H72" s="712"/>
      <c r="I72" s="712"/>
      <c r="P72" s="823">
        <f t="shared" si="101"/>
        <v>0</v>
      </c>
      <c r="Q72" s="823">
        <f t="shared" si="101"/>
        <v>0</v>
      </c>
      <c r="R72" s="823">
        <f t="shared" si="101"/>
        <v>0</v>
      </c>
      <c r="S72" s="823">
        <f t="shared" si="101"/>
        <v>0</v>
      </c>
      <c r="T72" s="823">
        <f t="shared" si="101"/>
        <v>0</v>
      </c>
    </row>
    <row r="73" spans="1:256">
      <c r="E73" s="822" t="s">
        <v>163</v>
      </c>
      <c r="F73" s="712" t="str">
        <f t="shared" si="100"/>
        <v>GMOIntérimaires</v>
      </c>
      <c r="G73" s="712"/>
      <c r="H73" s="712"/>
      <c r="I73" s="712"/>
      <c r="P73" s="823">
        <f t="shared" si="101"/>
        <v>0</v>
      </c>
      <c r="Q73" s="823">
        <f t="shared" si="101"/>
        <v>0</v>
      </c>
      <c r="R73" s="823">
        <f t="shared" si="101"/>
        <v>0</v>
      </c>
      <c r="S73" s="823">
        <f t="shared" si="101"/>
        <v>0</v>
      </c>
      <c r="T73" s="823">
        <f t="shared" si="101"/>
        <v>0</v>
      </c>
    </row>
    <row r="74" spans="1:256">
      <c r="E74" s="822" t="s">
        <v>177</v>
      </c>
      <c r="F74" s="712" t="str">
        <f t="shared" si="100"/>
        <v>TLIIntérimaires</v>
      </c>
      <c r="G74" s="712"/>
      <c r="H74" s="712"/>
      <c r="I74" s="712"/>
      <c r="P74" s="823">
        <f t="shared" si="101"/>
        <v>0</v>
      </c>
      <c r="Q74" s="823">
        <f t="shared" si="101"/>
        <v>0</v>
      </c>
      <c r="R74" s="823">
        <f t="shared" si="101"/>
        <v>0</v>
      </c>
      <c r="S74" s="823">
        <f t="shared" si="101"/>
        <v>0</v>
      </c>
      <c r="T74" s="823">
        <f t="shared" si="101"/>
        <v>0</v>
      </c>
    </row>
    <row r="75" spans="1:256">
      <c r="E75" s="822" t="s">
        <v>202</v>
      </c>
      <c r="F75" s="712" t="str">
        <f t="shared" si="100"/>
        <v>OVLIntérimaires</v>
      </c>
      <c r="G75" s="712"/>
      <c r="H75" s="712"/>
      <c r="I75" s="712"/>
      <c r="P75" s="823">
        <f t="shared" si="101"/>
        <v>0</v>
      </c>
      <c r="Q75" s="823">
        <f t="shared" si="101"/>
        <v>0</v>
      </c>
      <c r="R75" s="823">
        <f t="shared" si="101"/>
        <v>0</v>
      </c>
      <c r="S75" s="823">
        <f t="shared" si="101"/>
        <v>0</v>
      </c>
      <c r="T75" s="823">
        <f t="shared" si="101"/>
        <v>0</v>
      </c>
    </row>
    <row r="76" spans="1:256">
      <c r="E76" s="822" t="s">
        <v>928</v>
      </c>
      <c r="F76" s="712" t="str">
        <f t="shared" ref="F76:F78" si="102">+E76&amp;Headcount</f>
        <v>LOTInscrits</v>
      </c>
      <c r="G76" s="712"/>
      <c r="H76" s="712"/>
      <c r="I76" s="712"/>
      <c r="P76" s="823"/>
      <c r="Q76" s="823"/>
      <c r="R76" s="823"/>
      <c r="S76" s="823"/>
      <c r="T76" s="823"/>
    </row>
    <row r="77" spans="1:256">
      <c r="E77" s="822" t="s">
        <v>929</v>
      </c>
      <c r="F77" s="712" t="str">
        <f t="shared" si="102"/>
        <v>MSGInscrits</v>
      </c>
      <c r="G77" s="712"/>
      <c r="H77" s="712"/>
      <c r="I77" s="712"/>
      <c r="P77" s="823"/>
      <c r="Q77" s="823"/>
      <c r="R77" s="823"/>
      <c r="S77" s="823"/>
      <c r="T77" s="823"/>
    </row>
    <row r="78" spans="1:256">
      <c r="E78" s="822" t="s">
        <v>930</v>
      </c>
      <c r="F78" s="712" t="str">
        <f t="shared" si="102"/>
        <v>MOYInscrits</v>
      </c>
      <c r="G78" s="712"/>
      <c r="H78" s="712"/>
      <c r="I78" s="712"/>
      <c r="P78" s="823"/>
      <c r="Q78" s="823"/>
      <c r="R78" s="823"/>
      <c r="S78" s="823"/>
      <c r="T78" s="823"/>
    </row>
    <row r="79" spans="1:256">
      <c r="E79" s="822" t="s">
        <v>203</v>
      </c>
      <c r="F79" s="712" t="str">
        <f t="shared" si="100"/>
        <v>OVSIntérimaires</v>
      </c>
      <c r="G79" s="712"/>
      <c r="H79" s="712"/>
      <c r="I79" s="712"/>
      <c r="P79" s="823">
        <f t="shared" si="101"/>
        <v>0</v>
      </c>
      <c r="Q79" s="823">
        <f t="shared" si="101"/>
        <v>0</v>
      </c>
      <c r="R79" s="823">
        <f t="shared" si="101"/>
        <v>0</v>
      </c>
      <c r="S79" s="823">
        <f t="shared" si="101"/>
        <v>0</v>
      </c>
      <c r="T79" s="823">
        <f t="shared" si="101"/>
        <v>0</v>
      </c>
    </row>
    <row r="80" spans="1:256">
      <c r="E80" s="822" t="s">
        <v>931</v>
      </c>
      <c r="F80" s="712" t="str">
        <f t="shared" ref="F80:F83" si="103">+E80&amp;Headcount</f>
        <v>AIRInscrits</v>
      </c>
      <c r="G80" s="712"/>
      <c r="H80" s="712"/>
      <c r="I80" s="712"/>
      <c r="P80" s="823"/>
      <c r="Q80" s="823"/>
      <c r="R80" s="823"/>
      <c r="S80" s="823"/>
      <c r="T80" s="823"/>
    </row>
    <row r="81" spans="5:20">
      <c r="E81" s="822" t="s">
        <v>932</v>
      </c>
      <c r="F81" s="712" t="str">
        <f t="shared" si="103"/>
        <v>SEAInscrits</v>
      </c>
      <c r="G81" s="712"/>
      <c r="H81" s="712"/>
      <c r="I81" s="712"/>
      <c r="P81" s="823"/>
      <c r="Q81" s="823"/>
      <c r="R81" s="823"/>
      <c r="S81" s="823"/>
      <c r="T81" s="823"/>
    </row>
    <row r="82" spans="5:20">
      <c r="E82" s="822" t="s">
        <v>933</v>
      </c>
      <c r="F82" s="712" t="str">
        <f t="shared" si="103"/>
        <v>ROMInscrits</v>
      </c>
      <c r="G82" s="712"/>
      <c r="H82" s="712"/>
      <c r="I82" s="712"/>
      <c r="P82" s="823"/>
      <c r="Q82" s="823"/>
      <c r="R82" s="823"/>
      <c r="S82" s="823"/>
      <c r="T82" s="823"/>
    </row>
    <row r="83" spans="5:20">
      <c r="E83" s="822" t="s">
        <v>934</v>
      </c>
      <c r="F83" s="712" t="str">
        <f t="shared" si="103"/>
        <v>WRPInscrits</v>
      </c>
      <c r="G83" s="712"/>
      <c r="H83" s="712"/>
      <c r="I83" s="712"/>
      <c r="P83" s="823"/>
      <c r="Q83" s="823"/>
      <c r="R83" s="823"/>
      <c r="S83" s="823"/>
      <c r="T83" s="823"/>
    </row>
    <row r="84" spans="5:20">
      <c r="E84" s="822" t="s">
        <v>142</v>
      </c>
      <c r="F84" s="712" t="str">
        <f t="shared" si="100"/>
        <v>ILIIntérimaires</v>
      </c>
      <c r="G84" s="712"/>
      <c r="H84" s="712"/>
      <c r="I84" s="712"/>
      <c r="P84" s="823">
        <f t="shared" si="101"/>
        <v>0</v>
      </c>
      <c r="Q84" s="823">
        <f t="shared" si="101"/>
        <v>0</v>
      </c>
      <c r="R84" s="823">
        <f t="shared" si="101"/>
        <v>0</v>
      </c>
      <c r="S84" s="823">
        <f t="shared" si="101"/>
        <v>0</v>
      </c>
      <c r="T84" s="823">
        <f t="shared" si="101"/>
        <v>0</v>
      </c>
    </row>
    <row r="85" spans="5:20">
      <c r="E85" s="822" t="s">
        <v>141</v>
      </c>
      <c r="F85" s="712" t="str">
        <f t="shared" si="100"/>
        <v>GSMIntérimaires</v>
      </c>
      <c r="G85" s="712"/>
      <c r="H85" s="712"/>
      <c r="I85" s="712"/>
      <c r="P85" s="823">
        <f t="shared" si="101"/>
        <v>0</v>
      </c>
      <c r="Q85" s="823">
        <f t="shared" si="101"/>
        <v>0</v>
      </c>
      <c r="R85" s="823">
        <f t="shared" si="101"/>
        <v>0</v>
      </c>
      <c r="S85" s="823">
        <f t="shared" si="101"/>
        <v>0</v>
      </c>
      <c r="T85" s="823">
        <f t="shared" si="101"/>
        <v>0</v>
      </c>
    </row>
    <row r="86" spans="5:20">
      <c r="E86" s="822" t="s">
        <v>474</v>
      </c>
      <c r="F86" s="712" t="str">
        <f t="shared" si="100"/>
        <v>HQ-RHIntérimaires</v>
      </c>
      <c r="G86" s="712"/>
      <c r="H86" s="712"/>
      <c r="I86" s="712"/>
      <c r="P86" s="823">
        <f t="shared" si="101"/>
        <v>0</v>
      </c>
      <c r="Q86" s="823">
        <f t="shared" si="101"/>
        <v>0</v>
      </c>
      <c r="R86" s="823">
        <f t="shared" si="101"/>
        <v>0</v>
      </c>
      <c r="S86" s="823">
        <f t="shared" si="101"/>
        <v>0</v>
      </c>
      <c r="T86" s="823">
        <f t="shared" si="101"/>
        <v>0</v>
      </c>
    </row>
    <row r="87" spans="5:20">
      <c r="E87" s="822" t="s">
        <v>475</v>
      </c>
      <c r="F87" s="712" t="str">
        <f t="shared" si="100"/>
        <v>HQ-DSFIntérimaires</v>
      </c>
      <c r="G87" s="712"/>
      <c r="H87" s="712"/>
      <c r="I87" s="712"/>
      <c r="P87" s="823">
        <f t="shared" si="101"/>
        <v>0</v>
      </c>
      <c r="Q87" s="823">
        <f t="shared" si="101"/>
        <v>0</v>
      </c>
      <c r="R87" s="823">
        <f t="shared" si="101"/>
        <v>0</v>
      </c>
      <c r="S87" s="823">
        <f t="shared" si="101"/>
        <v>0</v>
      </c>
      <c r="T87" s="823">
        <f t="shared" si="101"/>
        <v>0</v>
      </c>
    </row>
    <row r="88" spans="5:20">
      <c r="E88" s="822" t="s">
        <v>471</v>
      </c>
      <c r="F88" s="712" t="str">
        <f t="shared" si="100"/>
        <v>HQ-DGIntérimaires</v>
      </c>
      <c r="G88" s="712"/>
      <c r="H88" s="712"/>
      <c r="I88" s="712"/>
      <c r="P88" s="823">
        <f t="shared" si="101"/>
        <v>0</v>
      </c>
      <c r="Q88" s="823">
        <f t="shared" si="101"/>
        <v>0</v>
      </c>
      <c r="R88" s="823">
        <f t="shared" si="101"/>
        <v>0</v>
      </c>
      <c r="S88" s="823">
        <f t="shared" si="101"/>
        <v>0</v>
      </c>
      <c r="T88" s="823">
        <f t="shared" si="101"/>
        <v>0</v>
      </c>
    </row>
    <row r="89" spans="5:20">
      <c r="E89" s="822" t="s">
        <v>476</v>
      </c>
      <c r="F89" s="712" t="str">
        <f t="shared" si="100"/>
        <v>DCMIntérimaires</v>
      </c>
      <c r="G89" s="712"/>
      <c r="H89" s="712"/>
      <c r="I89" s="712"/>
      <c r="P89" s="823">
        <f t="shared" si="101"/>
        <v>0</v>
      </c>
      <c r="Q89" s="823">
        <f t="shared" si="101"/>
        <v>0</v>
      </c>
      <c r="R89" s="823">
        <f t="shared" si="101"/>
        <v>0</v>
      </c>
      <c r="S89" s="823">
        <f t="shared" si="101"/>
        <v>0</v>
      </c>
      <c r="T89" s="823">
        <f t="shared" si="101"/>
        <v>0</v>
      </c>
    </row>
    <row r="90" spans="5:20">
      <c r="E90" s="822" t="s">
        <v>231</v>
      </c>
      <c r="F90" s="712" t="str">
        <f t="shared" si="100"/>
        <v>ITIntérimaires</v>
      </c>
      <c r="G90" s="712"/>
      <c r="H90" s="712"/>
      <c r="I90" s="712"/>
      <c r="O90" s="801"/>
      <c r="P90" s="823">
        <f t="shared" si="101"/>
        <v>0</v>
      </c>
      <c r="Q90" s="823">
        <f t="shared" si="101"/>
        <v>0</v>
      </c>
      <c r="R90" s="823">
        <f t="shared" si="101"/>
        <v>0</v>
      </c>
      <c r="S90" s="823">
        <f t="shared" si="101"/>
        <v>0</v>
      </c>
      <c r="T90" s="823">
        <f t="shared" si="101"/>
        <v>0</v>
      </c>
    </row>
    <row r="91" spans="5:20">
      <c r="O91" s="825" t="str">
        <f>IF(SUM(P91:T91)&lt;&gt;0,IF(Info="EN",O92,O93),"")</f>
        <v/>
      </c>
      <c r="P91" s="772">
        <f>+SUM(P69:P90)+SUM(P44:P65)-P14</f>
        <v>0</v>
      </c>
      <c r="Q91" s="772">
        <f>+SUM(Q69:Q90)+SUM(Q44:Q65)-Q14</f>
        <v>0</v>
      </c>
      <c r="R91" s="772">
        <f>+SUM(R69:R90)+SUM(R44:R65)-R14</f>
        <v>0</v>
      </c>
      <c r="S91" s="772">
        <f>+SUM(S69:S90)+SUM(S44:S65)-S14</f>
        <v>0</v>
      </c>
      <c r="T91" s="772">
        <f>+SUM(T69:T90)+SUM(T44:T65)-T14</f>
        <v>0</v>
      </c>
    </row>
    <row r="92" spans="5:20">
      <c r="O92" s="826" t="s">
        <v>478</v>
      </c>
    </row>
    <row r="93" spans="5:20">
      <c r="O93" s="826" t="s">
        <v>479</v>
      </c>
    </row>
  </sheetData>
  <mergeCells count="1">
    <mergeCell ref="K12:O12"/>
  </mergeCells>
  <dataValidations count="11">
    <dataValidation type="list" allowBlank="1" showInputMessage="1" showErrorMessage="1" sqref="BC11">
      <formula1>"monthly,yearly"</formula1>
    </dataValidation>
    <dataValidation type="list" allowBlank="1" showInputMessage="1" showErrorMessage="1" sqref="F18:F39">
      <formula1>"TLA,TLI,CTP,DIV,GMO,OVL,OVS,ILI,GSM,ACTIVITE,HQ,IT,"</formula1>
    </dataValidation>
    <dataValidation type="list" allowBlank="1" showInputMessage="1" showErrorMessage="1" sqref="G15:I39 DS15:DS39 D15:D39">
      <formula1>"Yes,No"</formula1>
    </dataValidation>
    <dataValidation type="list" allowBlank="1" showInputMessage="1" showErrorMessage="1" sqref="DT15:DT39">
      <formula1>$DT$6:$DT$7</formula1>
    </dataValidation>
    <dataValidation type="list" allowBlank="1" showInputMessage="1" showErrorMessage="1" sqref="AN15:AN39">
      <formula1>$AN$2:$AN$6</formula1>
    </dataValidation>
    <dataValidation type="list" allowBlank="1" showInputMessage="1" showErrorMessage="1" sqref="B4">
      <formula1>"FR,EN"</formula1>
    </dataValidation>
    <dataValidation type="list" allowBlank="1" showInputMessage="1" showErrorMessage="1" sqref="C15:C39">
      <formula1>$C$4:$C$5</formula1>
    </dataValidation>
    <dataValidation type="list" allowBlank="1" showInputMessage="1" showErrorMessage="1" sqref="E15:E39">
      <formula1>$E$44:$E$65</formula1>
    </dataValidation>
    <dataValidation type="list" showInputMessage="1" showErrorMessage="1" sqref="J15">
      <formula1>$K$4:$K$6</formula1>
    </dataValidation>
    <dataValidation type="list" allowBlank="1" showInputMessage="1" showErrorMessage="1" sqref="J16:J39">
      <formula1>$K$4:$K$6</formula1>
    </dataValidation>
    <dataValidation type="list" allowBlank="1" showInputMessage="1" showErrorMessage="1" sqref="CG15:CG39 CA6:CA7 BU6:BU7 BO6:BO7 BI6:BI7 BC6">
      <formula1>$BA$2:$BA$3</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Feuil17">
    <tabColor rgb="FFFF0000"/>
  </sheetPr>
  <dimension ref="A1:AU80"/>
  <sheetViews>
    <sheetView workbookViewId="0">
      <selection activeCell="D15" sqref="D15"/>
    </sheetView>
  </sheetViews>
  <sheetFormatPr baseColWidth="10" defaultColWidth="11.42578125" defaultRowHeight="12.75"/>
  <cols>
    <col min="1" max="1" width="14.85546875" customWidth="1"/>
    <col min="2" max="2" width="38.140625" customWidth="1"/>
    <col min="3" max="3" width="11.42578125" customWidth="1"/>
    <col min="4" max="5" width="11.7109375" customWidth="1"/>
    <col min="6" max="6" width="12.140625" customWidth="1"/>
    <col min="7" max="39" width="11.7109375" customWidth="1"/>
    <col min="43" max="43" width="18" bestFit="1" customWidth="1"/>
    <col min="44" max="44" width="43" customWidth="1"/>
    <col min="46" max="46" width="18" bestFit="1" customWidth="1"/>
    <col min="47" max="47" width="43" bestFit="1" customWidth="1"/>
  </cols>
  <sheetData>
    <row r="1" spans="1:47" s="2371" customFormat="1" ht="36" customHeight="1">
      <c r="A1" s="2286" t="str">
        <f>+'Synthèse projet'!A3</f>
        <v>Nom projet / Project Name :</v>
      </c>
      <c r="B1" s="2286"/>
      <c r="C1" s="2286"/>
      <c r="D1" s="2286">
        <f>+'Synthèse projet'!D3</f>
        <v>0</v>
      </c>
      <c r="E1" s="2286"/>
      <c r="F1" s="2286"/>
      <c r="G1" s="2286"/>
      <c r="H1" s="2286"/>
      <c r="I1" s="150"/>
      <c r="J1" s="2286"/>
      <c r="K1" s="2286" t="s">
        <v>548</v>
      </c>
      <c r="L1" s="2370"/>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O1" s="2372"/>
      <c r="AP1" s="2373"/>
      <c r="AQ1" s="2374"/>
    </row>
    <row r="3" spans="1:47" ht="18">
      <c r="A3" s="427" t="s">
        <v>5</v>
      </c>
      <c r="B3" s="427" t="s">
        <v>226</v>
      </c>
      <c r="C3" s="78"/>
      <c r="D3" s="426">
        <f>'Cpte exploitation 1+2+3'!D13</f>
        <v>2014</v>
      </c>
      <c r="E3" s="426"/>
      <c r="F3" s="426"/>
      <c r="G3" s="426"/>
      <c r="H3" s="426"/>
      <c r="I3" s="426"/>
      <c r="J3" s="426"/>
      <c r="K3" s="426"/>
      <c r="L3" s="426"/>
      <c r="M3" s="426"/>
      <c r="N3" s="426"/>
      <c r="O3" s="426"/>
      <c r="P3" s="426">
        <f>D3+1</f>
        <v>2015</v>
      </c>
      <c r="Q3" s="426"/>
      <c r="R3" s="426"/>
      <c r="S3" s="426"/>
      <c r="T3" s="426"/>
      <c r="U3" s="426"/>
      <c r="V3" s="426"/>
      <c r="W3" s="426"/>
      <c r="X3" s="426"/>
      <c r="Y3" s="426"/>
      <c r="Z3" s="426"/>
      <c r="AA3" s="426"/>
      <c r="AB3" s="426">
        <f>P3+1</f>
        <v>2016</v>
      </c>
      <c r="AC3" s="426"/>
      <c r="AD3" s="426"/>
      <c r="AE3" s="426"/>
      <c r="AF3" s="426"/>
      <c r="AG3" s="426"/>
      <c r="AH3" s="426"/>
      <c r="AI3" s="426"/>
      <c r="AJ3" s="426"/>
      <c r="AK3" s="426"/>
      <c r="AL3" s="426"/>
      <c r="AM3" s="426"/>
      <c r="AQ3" s="427" t="s">
        <v>5</v>
      </c>
      <c r="AR3" s="427" t="s">
        <v>226</v>
      </c>
      <c r="AT3" s="427" t="s">
        <v>5</v>
      </c>
      <c r="AU3" s="427" t="s">
        <v>226</v>
      </c>
    </row>
    <row r="4" spans="1:47" ht="18">
      <c r="A4" s="427" t="s">
        <v>206</v>
      </c>
      <c r="B4" s="427"/>
      <c r="C4" s="96"/>
      <c r="D4" s="1092" t="str">
        <f>+"Jan  " &amp;  $D$3</f>
        <v>Jan  2014</v>
      </c>
      <c r="E4" s="1092" t="str">
        <f>+"Fev  " &amp;  $D$3</f>
        <v>Fev  2014</v>
      </c>
      <c r="F4" s="1092" t="str">
        <f>+"Mar " &amp;  $D$3</f>
        <v>Mar 2014</v>
      </c>
      <c r="G4" s="1092" t="str">
        <f>+"Avr  " &amp;  $D$3</f>
        <v>Avr  2014</v>
      </c>
      <c r="H4" s="1092" t="str">
        <f>+"Mai " &amp;  $D$3</f>
        <v>Mai 2014</v>
      </c>
      <c r="I4" s="1092" t="str">
        <f>+"Jun " &amp;  $D$3</f>
        <v>Jun 2014</v>
      </c>
      <c r="J4" s="1092" t="str">
        <f>+"Jui " &amp;  $D$3</f>
        <v>Jui 2014</v>
      </c>
      <c r="K4" s="1092" t="str">
        <f>+"Aou  " &amp;  $D$3</f>
        <v>Aou  2014</v>
      </c>
      <c r="L4" s="1092" t="str">
        <f>+"Sep  " &amp;  $D$3</f>
        <v>Sep  2014</v>
      </c>
      <c r="M4" s="1092" t="str">
        <f>+"Oct  " &amp;  $D$3</f>
        <v>Oct  2014</v>
      </c>
      <c r="N4" s="1092" t="str">
        <f>+"Nov " &amp;  $D$3</f>
        <v>Nov 2014</v>
      </c>
      <c r="O4" s="1092" t="str">
        <f>+"Dec  " &amp;  $P$3</f>
        <v>Dec  2015</v>
      </c>
      <c r="P4" s="1092" t="str">
        <f>+"Jan  " &amp;  $P$3</f>
        <v>Jan  2015</v>
      </c>
      <c r="Q4" s="1092" t="str">
        <f>+"Fev  " &amp;  $P$3</f>
        <v>Fev  2015</v>
      </c>
      <c r="R4" s="1092" t="str">
        <f>+"Mar " &amp;  $P$3</f>
        <v>Mar 2015</v>
      </c>
      <c r="S4" s="1092" t="str">
        <f>+"Avr  " &amp;  $P$3</f>
        <v>Avr  2015</v>
      </c>
      <c r="T4" s="1092" t="str">
        <f>+"Mai " &amp;  $P$3</f>
        <v>Mai 2015</v>
      </c>
      <c r="U4" s="1092" t="str">
        <f>+"Jun " &amp;  $P$3</f>
        <v>Jun 2015</v>
      </c>
      <c r="V4" s="1092" t="str">
        <f>+"Jui " &amp;  $P$3</f>
        <v>Jui 2015</v>
      </c>
      <c r="W4" s="1092" t="str">
        <f>+"Aou  " &amp;  $P$3</f>
        <v>Aou  2015</v>
      </c>
      <c r="X4" s="1092" t="str">
        <f>+"Sep  " &amp;  $P$3</f>
        <v>Sep  2015</v>
      </c>
      <c r="Y4" s="1092" t="str">
        <f>+"Oct  " &amp;  $P$3</f>
        <v>Oct  2015</v>
      </c>
      <c r="Z4" s="1092" t="str">
        <f>+"Nov " &amp;  $P$3</f>
        <v>Nov 2015</v>
      </c>
      <c r="AA4" s="1092" t="str">
        <f>+"Dec  " &amp;  $P$3</f>
        <v>Dec  2015</v>
      </c>
      <c r="AB4" s="1092" t="str">
        <f>+"Jan  " &amp;  $AB$3</f>
        <v>Jan  2016</v>
      </c>
      <c r="AC4" s="1092" t="str">
        <f>+"Fev  " &amp;  $AB$3</f>
        <v>Fev  2016</v>
      </c>
      <c r="AD4" s="1092" t="str">
        <f>+"Mar " &amp;  $AB$3</f>
        <v>Mar 2016</v>
      </c>
      <c r="AE4" s="1092" t="str">
        <f>+"Avr  " &amp;  $AB$3</f>
        <v>Avr  2016</v>
      </c>
      <c r="AF4" s="1092" t="str">
        <f>+"Mai " &amp;  $AB$3</f>
        <v>Mai 2016</v>
      </c>
      <c r="AG4" s="1092" t="str">
        <f>+"Jun " &amp;  $AB$3</f>
        <v>Jun 2016</v>
      </c>
      <c r="AH4" s="1092" t="str">
        <f>+"Jui " &amp;  $AB$3</f>
        <v>Jui 2016</v>
      </c>
      <c r="AI4" s="1092" t="str">
        <f>+"Aou  " &amp;  $AB$3</f>
        <v>Aou  2016</v>
      </c>
      <c r="AJ4" s="1092" t="str">
        <f>+"Sep  " &amp;  $AB$3</f>
        <v>Sep  2016</v>
      </c>
      <c r="AK4" s="1092" t="str">
        <f>+"Oct  " &amp;  $AB$3</f>
        <v>Oct  2016</v>
      </c>
      <c r="AL4" s="1092" t="str">
        <f>+"Nov " &amp;  $AB$3</f>
        <v>Nov 2016</v>
      </c>
      <c r="AM4" s="1092" t="str">
        <f>+"Dec  " &amp;  $AB$3</f>
        <v>Dec  2016</v>
      </c>
      <c r="AQ4" s="427" t="s">
        <v>206</v>
      </c>
      <c r="AR4" s="427"/>
      <c r="AT4" s="427" t="s">
        <v>206</v>
      </c>
      <c r="AU4" s="427"/>
    </row>
    <row r="5" spans="1:47">
      <c r="A5" s="6"/>
      <c r="B5" s="6"/>
      <c r="C5" s="6"/>
      <c r="D5" s="2442">
        <v>0.05</v>
      </c>
      <c r="E5" s="2442">
        <v>0.05</v>
      </c>
      <c r="F5" s="2442">
        <v>0.1</v>
      </c>
      <c r="G5" s="2442">
        <v>0.15</v>
      </c>
      <c r="H5" s="2442">
        <v>0.1</v>
      </c>
      <c r="I5" s="2442">
        <v>0.05</v>
      </c>
      <c r="J5" s="2442">
        <v>0.05</v>
      </c>
      <c r="K5" s="2442">
        <v>0.05</v>
      </c>
      <c r="L5" s="2442">
        <v>0.15</v>
      </c>
      <c r="M5" s="2442">
        <v>0.1</v>
      </c>
      <c r="N5" s="2442">
        <v>0.1</v>
      </c>
      <c r="O5" s="2442">
        <v>0.05</v>
      </c>
      <c r="P5" s="2442">
        <v>0.05</v>
      </c>
      <c r="Q5" s="2442">
        <v>0.05</v>
      </c>
      <c r="R5" s="2442">
        <v>0.1</v>
      </c>
      <c r="S5" s="2442">
        <v>0.15</v>
      </c>
      <c r="T5" s="2442">
        <v>0.1</v>
      </c>
      <c r="U5" s="2442">
        <v>0.05</v>
      </c>
      <c r="V5" s="2442">
        <v>0.05</v>
      </c>
      <c r="W5" s="2442">
        <v>0.05</v>
      </c>
      <c r="X5" s="2442">
        <v>0.15</v>
      </c>
      <c r="Y5" s="2442">
        <v>0.1</v>
      </c>
      <c r="Z5" s="2442">
        <v>0.1</v>
      </c>
      <c r="AA5" s="2442">
        <v>0.05</v>
      </c>
      <c r="AB5" s="2442">
        <v>0.05</v>
      </c>
      <c r="AC5" s="2442">
        <v>0.05</v>
      </c>
      <c r="AD5" s="2442">
        <v>0.1</v>
      </c>
      <c r="AE5" s="2442">
        <v>0.15</v>
      </c>
      <c r="AF5" s="2442">
        <v>0.1</v>
      </c>
      <c r="AG5" s="2442">
        <v>0.05</v>
      </c>
      <c r="AH5" s="2442">
        <v>0.05</v>
      </c>
      <c r="AI5" s="2442">
        <v>0.05</v>
      </c>
      <c r="AJ5" s="2442">
        <v>0.15</v>
      </c>
      <c r="AK5" s="2442">
        <v>0.1</v>
      </c>
      <c r="AL5" s="2442">
        <v>0.1</v>
      </c>
      <c r="AM5" s="2442">
        <v>0.05</v>
      </c>
      <c r="AQ5" s="6"/>
      <c r="AR5" s="6"/>
      <c r="AT5" s="6"/>
      <c r="AU5" s="6"/>
    </row>
    <row r="6" spans="1:47">
      <c r="A6" s="6"/>
      <c r="B6" s="6"/>
      <c r="C6" s="6" t="s">
        <v>207</v>
      </c>
      <c r="D6" s="428">
        <f>SUM(D5:O5)</f>
        <v>1</v>
      </c>
      <c r="E6" s="428"/>
      <c r="F6" s="428"/>
      <c r="G6" s="428"/>
      <c r="H6" s="428"/>
      <c r="I6" s="428"/>
      <c r="J6" s="428"/>
      <c r="K6" s="428"/>
      <c r="L6" s="428"/>
      <c r="M6" s="428"/>
      <c r="N6" s="428"/>
      <c r="O6" s="428"/>
      <c r="P6" s="428">
        <f>SUM(P5:AA5)</f>
        <v>1</v>
      </c>
      <c r="Q6" s="428"/>
      <c r="R6" s="428"/>
      <c r="S6" s="428"/>
      <c r="T6" s="428"/>
      <c r="U6" s="428"/>
      <c r="V6" s="428"/>
      <c r="W6" s="428"/>
      <c r="X6" s="428"/>
      <c r="Y6" s="428"/>
      <c r="Z6" s="428"/>
      <c r="AA6" s="428"/>
      <c r="AB6" s="428">
        <f>SUM(AB5:AM5)</f>
        <v>1</v>
      </c>
      <c r="AC6" s="428"/>
      <c r="AD6" s="428"/>
      <c r="AE6" s="428"/>
      <c r="AF6" s="428"/>
      <c r="AG6" s="428"/>
      <c r="AH6" s="428"/>
      <c r="AI6" s="428"/>
      <c r="AJ6" s="428"/>
      <c r="AK6" s="428"/>
      <c r="AL6" s="428"/>
      <c r="AM6" s="428"/>
      <c r="AQ6" s="6"/>
      <c r="AR6" s="6"/>
      <c r="AT6" s="6"/>
      <c r="AU6" s="6"/>
    </row>
    <row r="7" spans="1:47">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Q7" s="6"/>
      <c r="AR7" s="6"/>
      <c r="AT7" s="6"/>
      <c r="AU7" s="6"/>
    </row>
    <row r="8" spans="1:47" ht="18">
      <c r="A8" s="2831" t="str">
        <f>IF('Mode Opératoire'!$I$1="Français",+AQ8,AT8)</f>
        <v>Compte d'exploitation mensuel</v>
      </c>
      <c r="B8" s="2831"/>
      <c r="C8" s="99"/>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Q8" s="2831" t="s">
        <v>208</v>
      </c>
      <c r="AR8" s="2831"/>
      <c r="AT8" s="2831" t="s">
        <v>847</v>
      </c>
      <c r="AU8" s="2831"/>
    </row>
    <row r="9" spans="1:47" ht="15">
      <c r="A9" s="85"/>
      <c r="B9" s="415" t="str">
        <f>IF('Mode Opératoire'!$I$1="Français",+AR9,AU9)</f>
        <v>Ventes PSA</v>
      </c>
      <c r="C9" s="1108" t="s">
        <v>18</v>
      </c>
      <c r="D9" s="1093" t="e">
        <f>'Cpte exploitation 1+2+3'!$D$14*D$5</f>
        <v>#REF!</v>
      </c>
      <c r="E9" s="1093" t="e">
        <f>'Cpte exploitation 1+2+3'!$D$14*E$5</f>
        <v>#REF!</v>
      </c>
      <c r="F9" s="1093" t="e">
        <f>'Cpte exploitation 1+2+3'!$D$14*F$5</f>
        <v>#REF!</v>
      </c>
      <c r="G9" s="1093" t="e">
        <f>'Cpte exploitation 1+2+3'!$D$14*G$5</f>
        <v>#REF!</v>
      </c>
      <c r="H9" s="1093" t="e">
        <f>'Cpte exploitation 1+2+3'!$D$14*H$5</f>
        <v>#REF!</v>
      </c>
      <c r="I9" s="1093" t="e">
        <f>'Cpte exploitation 1+2+3'!$D$14*I$5</f>
        <v>#REF!</v>
      </c>
      <c r="J9" s="1093" t="e">
        <f>'Cpte exploitation 1+2+3'!$D$14*J$5</f>
        <v>#REF!</v>
      </c>
      <c r="K9" s="1093" t="e">
        <f>'Cpte exploitation 1+2+3'!$D$14*K$5</f>
        <v>#REF!</v>
      </c>
      <c r="L9" s="1093" t="e">
        <f>'Cpte exploitation 1+2+3'!$D$14*L$5</f>
        <v>#REF!</v>
      </c>
      <c r="M9" s="1093" t="e">
        <f>'Cpte exploitation 1+2+3'!$D$14*M$5</f>
        <v>#REF!</v>
      </c>
      <c r="N9" s="1093" t="e">
        <f>'Cpte exploitation 1+2+3'!$D$14*N$5</f>
        <v>#REF!</v>
      </c>
      <c r="O9" s="1093" t="e">
        <f>'Cpte exploitation 1+2+3'!$D$14*O$5</f>
        <v>#REF!</v>
      </c>
      <c r="P9" s="1093" t="e">
        <f>'Cpte exploitation 1+2+3'!$D$14*P$5</f>
        <v>#REF!</v>
      </c>
      <c r="Q9" s="1093" t="e">
        <f>'Cpte exploitation 1+2+3'!$D$14*Q$5</f>
        <v>#REF!</v>
      </c>
      <c r="R9" s="1093" t="e">
        <f>'Cpte exploitation 1+2+3'!$D$14*R$5</f>
        <v>#REF!</v>
      </c>
      <c r="S9" s="1093" t="e">
        <f>'Cpte exploitation 1+2+3'!$D$14*S$5</f>
        <v>#REF!</v>
      </c>
      <c r="T9" s="1093" t="e">
        <f>'Cpte exploitation 1+2+3'!$D$14*T$5</f>
        <v>#REF!</v>
      </c>
      <c r="U9" s="1093" t="e">
        <f>'Cpte exploitation 1+2+3'!$D$14*U$5</f>
        <v>#REF!</v>
      </c>
      <c r="V9" s="1093" t="e">
        <f>'Cpte exploitation 1+2+3'!$D$14*V$5</f>
        <v>#REF!</v>
      </c>
      <c r="W9" s="1093" t="e">
        <f>'Cpte exploitation 1+2+3'!$D$14*W$5</f>
        <v>#REF!</v>
      </c>
      <c r="X9" s="1093" t="e">
        <f>'Cpte exploitation 1+2+3'!$D$14*X$5</f>
        <v>#REF!</v>
      </c>
      <c r="Y9" s="1093" t="e">
        <f>'Cpte exploitation 1+2+3'!$D$14*Y$5</f>
        <v>#REF!</v>
      </c>
      <c r="Z9" s="1093" t="e">
        <f>'Cpte exploitation 1+2+3'!$D$14*Z$5</f>
        <v>#REF!</v>
      </c>
      <c r="AA9" s="1093" t="e">
        <f>'Cpte exploitation 1+2+3'!$D$14*AA$5</f>
        <v>#REF!</v>
      </c>
      <c r="AB9" s="1093" t="e">
        <f>'Cpte exploitation 1+2+3'!$D$14*AB$5</f>
        <v>#REF!</v>
      </c>
      <c r="AC9" s="1093" t="e">
        <f>'Cpte exploitation 1+2+3'!$D$14*AC$5</f>
        <v>#REF!</v>
      </c>
      <c r="AD9" s="1093" t="e">
        <f>'Cpte exploitation 1+2+3'!$D$14*AD$5</f>
        <v>#REF!</v>
      </c>
      <c r="AE9" s="1093" t="e">
        <f>'Cpte exploitation 1+2+3'!$D$14*AE$5</f>
        <v>#REF!</v>
      </c>
      <c r="AF9" s="1093" t="e">
        <f>'Cpte exploitation 1+2+3'!$D$14*AF$5</f>
        <v>#REF!</v>
      </c>
      <c r="AG9" s="1093" t="e">
        <f>'Cpte exploitation 1+2+3'!$D$14*AG$5</f>
        <v>#REF!</v>
      </c>
      <c r="AH9" s="1093" t="e">
        <f>'Cpte exploitation 1+2+3'!$D$14*AH$5</f>
        <v>#REF!</v>
      </c>
      <c r="AI9" s="1093" t="e">
        <f>'Cpte exploitation 1+2+3'!$D$14*AI$5</f>
        <v>#REF!</v>
      </c>
      <c r="AJ9" s="1093" t="e">
        <f>'Cpte exploitation 1+2+3'!$D$14*AJ$5</f>
        <v>#REF!</v>
      </c>
      <c r="AK9" s="1093" t="e">
        <f>'Cpte exploitation 1+2+3'!$D$14*AK$5</f>
        <v>#REF!</v>
      </c>
      <c r="AL9" s="1093" t="e">
        <f>'Cpte exploitation 1+2+3'!$D$14*AL$5</f>
        <v>#REF!</v>
      </c>
      <c r="AM9" s="1093" t="e">
        <f>'Cpte exploitation 1+2+3'!$D$14*AM$5</f>
        <v>#REF!</v>
      </c>
      <c r="AQ9" s="85"/>
      <c r="AR9" s="415" t="str">
        <f>+'Cpte exploitation 1+2+3'!$B$14</f>
        <v>Ventes PSA</v>
      </c>
      <c r="AT9" s="85"/>
      <c r="AU9" s="415" t="s">
        <v>1325</v>
      </c>
    </row>
    <row r="10" spans="1:47" ht="15">
      <c r="A10" s="85"/>
      <c r="B10" s="415" t="str">
        <f>IF('Mode Opératoire'!$I$1="Français",+AR10,AU10)</f>
        <v>Ventes Hors Groupe</v>
      </c>
      <c r="C10" s="1109" t="s">
        <v>18</v>
      </c>
      <c r="D10" s="1094" t="e">
        <f>'Cpte exploitation 1+2+3'!$D$15*D$5</f>
        <v>#REF!</v>
      </c>
      <c r="E10" s="1094" t="e">
        <f>'Cpte exploitation 1+2+3'!$D$15*E$5</f>
        <v>#REF!</v>
      </c>
      <c r="F10" s="1094" t="e">
        <f>'Cpte exploitation 1+2+3'!$D$15*F$5</f>
        <v>#REF!</v>
      </c>
      <c r="G10" s="1094" t="e">
        <f>'Cpte exploitation 1+2+3'!$D$15*G$5</f>
        <v>#REF!</v>
      </c>
      <c r="H10" s="1094" t="e">
        <f>'Cpte exploitation 1+2+3'!$D$15*H$5</f>
        <v>#REF!</v>
      </c>
      <c r="I10" s="1094" t="e">
        <f>'Cpte exploitation 1+2+3'!$D$15*I$5</f>
        <v>#REF!</v>
      </c>
      <c r="J10" s="1094" t="e">
        <f>'Cpte exploitation 1+2+3'!$D$15*J$5</f>
        <v>#REF!</v>
      </c>
      <c r="K10" s="1094" t="e">
        <f>'Cpte exploitation 1+2+3'!$D$15*K$5</f>
        <v>#REF!</v>
      </c>
      <c r="L10" s="1094" t="e">
        <f>'Cpte exploitation 1+2+3'!$D$15*L$5</f>
        <v>#REF!</v>
      </c>
      <c r="M10" s="1094" t="e">
        <f>'Cpte exploitation 1+2+3'!$D$15*M$5</f>
        <v>#REF!</v>
      </c>
      <c r="N10" s="1094" t="e">
        <f>'Cpte exploitation 1+2+3'!$D$15*N$5</f>
        <v>#REF!</v>
      </c>
      <c r="O10" s="1094" t="e">
        <f>'Cpte exploitation 1+2+3'!$D$15*O$5</f>
        <v>#REF!</v>
      </c>
      <c r="P10" s="1094" t="e">
        <f>'Cpte exploitation 1+2+3'!$D$15*P$5</f>
        <v>#REF!</v>
      </c>
      <c r="Q10" s="1094" t="e">
        <f>'Cpte exploitation 1+2+3'!$D$15*Q$5</f>
        <v>#REF!</v>
      </c>
      <c r="R10" s="1094" t="e">
        <f>'Cpte exploitation 1+2+3'!$D$15*R$5</f>
        <v>#REF!</v>
      </c>
      <c r="S10" s="1094" t="e">
        <f>'Cpte exploitation 1+2+3'!$D$15*S$5</f>
        <v>#REF!</v>
      </c>
      <c r="T10" s="1094" t="e">
        <f>'Cpte exploitation 1+2+3'!$D$15*T$5</f>
        <v>#REF!</v>
      </c>
      <c r="U10" s="1094" t="e">
        <f>'Cpte exploitation 1+2+3'!$D$15*U$5</f>
        <v>#REF!</v>
      </c>
      <c r="V10" s="1094" t="e">
        <f>'Cpte exploitation 1+2+3'!$D$15*V$5</f>
        <v>#REF!</v>
      </c>
      <c r="W10" s="1094" t="e">
        <f>'Cpte exploitation 1+2+3'!$D$15*W$5</f>
        <v>#REF!</v>
      </c>
      <c r="X10" s="1094" t="e">
        <f>'Cpte exploitation 1+2+3'!$D$15*X$5</f>
        <v>#REF!</v>
      </c>
      <c r="Y10" s="1094" t="e">
        <f>'Cpte exploitation 1+2+3'!$D$15*Y$5</f>
        <v>#REF!</v>
      </c>
      <c r="Z10" s="1094" t="e">
        <f>'Cpte exploitation 1+2+3'!$D$15*Z$5</f>
        <v>#REF!</v>
      </c>
      <c r="AA10" s="1094" t="e">
        <f>'Cpte exploitation 1+2+3'!$D$15*AA$5</f>
        <v>#REF!</v>
      </c>
      <c r="AB10" s="1094" t="e">
        <f>'Cpte exploitation 1+2+3'!$D$15*AB$5</f>
        <v>#REF!</v>
      </c>
      <c r="AC10" s="1094" t="e">
        <f>'Cpte exploitation 1+2+3'!$D$15*AC$5</f>
        <v>#REF!</v>
      </c>
      <c r="AD10" s="1094" t="e">
        <f>'Cpte exploitation 1+2+3'!$D$15*AD$5</f>
        <v>#REF!</v>
      </c>
      <c r="AE10" s="1094" t="e">
        <f>'Cpte exploitation 1+2+3'!$D$15*AE$5</f>
        <v>#REF!</v>
      </c>
      <c r="AF10" s="1094" t="e">
        <f>'Cpte exploitation 1+2+3'!$D$15*AF$5</f>
        <v>#REF!</v>
      </c>
      <c r="AG10" s="1094" t="e">
        <f>'Cpte exploitation 1+2+3'!$D$15*AG$5</f>
        <v>#REF!</v>
      </c>
      <c r="AH10" s="1094" t="e">
        <f>'Cpte exploitation 1+2+3'!$D$15*AH$5</f>
        <v>#REF!</v>
      </c>
      <c r="AI10" s="1094" t="e">
        <f>'Cpte exploitation 1+2+3'!$D$15*AI$5</f>
        <v>#REF!</v>
      </c>
      <c r="AJ10" s="1094" t="e">
        <f>'Cpte exploitation 1+2+3'!$D$15*AJ$5</f>
        <v>#REF!</v>
      </c>
      <c r="AK10" s="1094" t="e">
        <f>'Cpte exploitation 1+2+3'!$D$15*AK$5</f>
        <v>#REF!</v>
      </c>
      <c r="AL10" s="1094" t="e">
        <f>'Cpte exploitation 1+2+3'!$D$15*AL$5</f>
        <v>#REF!</v>
      </c>
      <c r="AM10" s="1094" t="e">
        <f>'Cpte exploitation 1+2+3'!$D$15*AM$5</f>
        <v>#REF!</v>
      </c>
      <c r="AQ10" s="85"/>
      <c r="AR10" s="415" t="str">
        <f>+'Cpte exploitation 1+2+3'!$B$15</f>
        <v>Ventes Hors Groupe</v>
      </c>
      <c r="AT10" s="85"/>
      <c r="AU10" s="415" t="s">
        <v>1326</v>
      </c>
    </row>
    <row r="11" spans="1:47" ht="15">
      <c r="A11" s="85"/>
      <c r="B11" s="415" t="str">
        <f>IF('Mode Opératoire'!$I$1="Français",+AR11,AU11)</f>
        <v>Ventes GM</v>
      </c>
      <c r="C11" s="1109" t="s">
        <v>18</v>
      </c>
      <c r="D11" s="1094" t="e">
        <f>'Cpte exploitation 1+2+3'!$D$16*D$5</f>
        <v>#REF!</v>
      </c>
      <c r="E11" s="1094" t="e">
        <f>'Cpte exploitation 1+2+3'!$D$16*E$5</f>
        <v>#REF!</v>
      </c>
      <c r="F11" s="1094" t="e">
        <f>'Cpte exploitation 1+2+3'!$D$16*F$5</f>
        <v>#REF!</v>
      </c>
      <c r="G11" s="1094" t="e">
        <f>'Cpte exploitation 1+2+3'!$D$16*G$5</f>
        <v>#REF!</v>
      </c>
      <c r="H11" s="1094" t="e">
        <f>'Cpte exploitation 1+2+3'!$D$16*H$5</f>
        <v>#REF!</v>
      </c>
      <c r="I11" s="1094" t="e">
        <f>'Cpte exploitation 1+2+3'!$D$16*I$5</f>
        <v>#REF!</v>
      </c>
      <c r="J11" s="1094" t="e">
        <f>'Cpte exploitation 1+2+3'!$D$16*J$5</f>
        <v>#REF!</v>
      </c>
      <c r="K11" s="1094" t="e">
        <f>'Cpte exploitation 1+2+3'!$D$16*K$5</f>
        <v>#REF!</v>
      </c>
      <c r="L11" s="1094" t="e">
        <f>'Cpte exploitation 1+2+3'!$D$16*L$5</f>
        <v>#REF!</v>
      </c>
      <c r="M11" s="1094" t="e">
        <f>'Cpte exploitation 1+2+3'!$D$16*M$5</f>
        <v>#REF!</v>
      </c>
      <c r="N11" s="1094" t="e">
        <f>'Cpte exploitation 1+2+3'!$D$16*N$5</f>
        <v>#REF!</v>
      </c>
      <c r="O11" s="1094" t="e">
        <f>'Cpte exploitation 1+2+3'!$D$16*O$5</f>
        <v>#REF!</v>
      </c>
      <c r="P11" s="1094" t="e">
        <f>'Cpte exploitation 1+2+3'!$D$16*P$5</f>
        <v>#REF!</v>
      </c>
      <c r="Q11" s="1094" t="e">
        <f>'Cpte exploitation 1+2+3'!$D$16*Q$5</f>
        <v>#REF!</v>
      </c>
      <c r="R11" s="1094" t="e">
        <f>'Cpte exploitation 1+2+3'!$D$16*R$5</f>
        <v>#REF!</v>
      </c>
      <c r="S11" s="1094" t="e">
        <f>'Cpte exploitation 1+2+3'!$D$16*S$5</f>
        <v>#REF!</v>
      </c>
      <c r="T11" s="1094" t="e">
        <f>'Cpte exploitation 1+2+3'!$D$16*T$5</f>
        <v>#REF!</v>
      </c>
      <c r="U11" s="1094" t="e">
        <f>'Cpte exploitation 1+2+3'!$D$16*U$5</f>
        <v>#REF!</v>
      </c>
      <c r="V11" s="1094" t="e">
        <f>'Cpte exploitation 1+2+3'!$D$16*V$5</f>
        <v>#REF!</v>
      </c>
      <c r="W11" s="1094" t="e">
        <f>'Cpte exploitation 1+2+3'!$D$16*W$5</f>
        <v>#REF!</v>
      </c>
      <c r="X11" s="1094" t="e">
        <f>'Cpte exploitation 1+2+3'!$D$16*X$5</f>
        <v>#REF!</v>
      </c>
      <c r="Y11" s="1094" t="e">
        <f>'Cpte exploitation 1+2+3'!$D$16*Y$5</f>
        <v>#REF!</v>
      </c>
      <c r="Z11" s="1094" t="e">
        <f>'Cpte exploitation 1+2+3'!$D$16*Z$5</f>
        <v>#REF!</v>
      </c>
      <c r="AA11" s="1094" t="e">
        <f>'Cpte exploitation 1+2+3'!$D$16*AA$5</f>
        <v>#REF!</v>
      </c>
      <c r="AB11" s="1094" t="e">
        <f>'Cpte exploitation 1+2+3'!$D$16*AB$5</f>
        <v>#REF!</v>
      </c>
      <c r="AC11" s="1094" t="e">
        <f>'Cpte exploitation 1+2+3'!$D$16*AC$5</f>
        <v>#REF!</v>
      </c>
      <c r="AD11" s="1094" t="e">
        <f>'Cpte exploitation 1+2+3'!$D$16*AD$5</f>
        <v>#REF!</v>
      </c>
      <c r="AE11" s="1094" t="e">
        <f>'Cpte exploitation 1+2+3'!$D$16*AE$5</f>
        <v>#REF!</v>
      </c>
      <c r="AF11" s="1094" t="e">
        <f>'Cpte exploitation 1+2+3'!$D$16*AF$5</f>
        <v>#REF!</v>
      </c>
      <c r="AG11" s="1094" t="e">
        <f>'Cpte exploitation 1+2+3'!$D$16*AG$5</f>
        <v>#REF!</v>
      </c>
      <c r="AH11" s="1094" t="e">
        <f>'Cpte exploitation 1+2+3'!$D$16*AH$5</f>
        <v>#REF!</v>
      </c>
      <c r="AI11" s="1094" t="e">
        <f>'Cpte exploitation 1+2+3'!$D$16*AI$5</f>
        <v>#REF!</v>
      </c>
      <c r="AJ11" s="1094" t="e">
        <f>'Cpte exploitation 1+2+3'!$D$16*AJ$5</f>
        <v>#REF!</v>
      </c>
      <c r="AK11" s="1094" t="e">
        <f>'Cpte exploitation 1+2+3'!$D$16*AK$5</f>
        <v>#REF!</v>
      </c>
      <c r="AL11" s="1094" t="e">
        <f>'Cpte exploitation 1+2+3'!$D$16*AL$5</f>
        <v>#REF!</v>
      </c>
      <c r="AM11" s="1094" t="e">
        <f>'Cpte exploitation 1+2+3'!$D$16*AM$5</f>
        <v>#REF!</v>
      </c>
      <c r="AQ11" s="85"/>
      <c r="AR11" s="415" t="str">
        <f>+'Cpte exploitation 1+2+3'!$B$16</f>
        <v>Ventes GM</v>
      </c>
      <c r="AT11" s="85"/>
      <c r="AU11" s="415" t="s">
        <v>949</v>
      </c>
    </row>
    <row r="12" spans="1:47" ht="15">
      <c r="A12" s="85"/>
      <c r="B12" s="415" t="str">
        <f>IF('Mode Opératoire'!$I$1="Français",+AR12,AU12)</f>
        <v>Ventes RZD</v>
      </c>
      <c r="C12" s="1108" t="s">
        <v>18</v>
      </c>
      <c r="D12" s="1094" t="e">
        <f>'Cpte exploitation 1+2+3'!$D$17*D$5</f>
        <v>#REF!</v>
      </c>
      <c r="E12" s="1094" t="e">
        <f>'Cpte exploitation 1+2+3'!$D$17*E$5</f>
        <v>#REF!</v>
      </c>
      <c r="F12" s="1094" t="e">
        <f>'Cpte exploitation 1+2+3'!$D$17*F$5</f>
        <v>#REF!</v>
      </c>
      <c r="G12" s="1094" t="e">
        <f>'Cpte exploitation 1+2+3'!$D$17*G$5</f>
        <v>#REF!</v>
      </c>
      <c r="H12" s="1094" t="e">
        <f>'Cpte exploitation 1+2+3'!$D$17*H$5</f>
        <v>#REF!</v>
      </c>
      <c r="I12" s="1094" t="e">
        <f>'Cpte exploitation 1+2+3'!$D$17*I$5</f>
        <v>#REF!</v>
      </c>
      <c r="J12" s="1094" t="e">
        <f>'Cpte exploitation 1+2+3'!$D$17*J$5</f>
        <v>#REF!</v>
      </c>
      <c r="K12" s="1094" t="e">
        <f>'Cpte exploitation 1+2+3'!$D$17*K$5</f>
        <v>#REF!</v>
      </c>
      <c r="L12" s="1094" t="e">
        <f>'Cpte exploitation 1+2+3'!$D$17*L$5</f>
        <v>#REF!</v>
      </c>
      <c r="M12" s="1094" t="e">
        <f>'Cpte exploitation 1+2+3'!$D$17*M$5</f>
        <v>#REF!</v>
      </c>
      <c r="N12" s="1094" t="e">
        <f>'Cpte exploitation 1+2+3'!$D$17*N$5</f>
        <v>#REF!</v>
      </c>
      <c r="O12" s="1094" t="e">
        <f>'Cpte exploitation 1+2+3'!$D$17*O$5</f>
        <v>#REF!</v>
      </c>
      <c r="P12" s="1094" t="e">
        <f>'Cpte exploitation 1+2+3'!$D$17*P$5</f>
        <v>#REF!</v>
      </c>
      <c r="Q12" s="1094" t="e">
        <f>'Cpte exploitation 1+2+3'!$D$17*Q$5</f>
        <v>#REF!</v>
      </c>
      <c r="R12" s="1094" t="e">
        <f>'Cpte exploitation 1+2+3'!$D$17*R$5</f>
        <v>#REF!</v>
      </c>
      <c r="S12" s="1094" t="e">
        <f>'Cpte exploitation 1+2+3'!$D$17*S$5</f>
        <v>#REF!</v>
      </c>
      <c r="T12" s="1094" t="e">
        <f>'Cpte exploitation 1+2+3'!$D$17*T$5</f>
        <v>#REF!</v>
      </c>
      <c r="U12" s="1094" t="e">
        <f>'Cpte exploitation 1+2+3'!$D$17*U$5</f>
        <v>#REF!</v>
      </c>
      <c r="V12" s="1094" t="e">
        <f>'Cpte exploitation 1+2+3'!$D$17*V$5</f>
        <v>#REF!</v>
      </c>
      <c r="W12" s="1094" t="e">
        <f>'Cpte exploitation 1+2+3'!$D$17*W$5</f>
        <v>#REF!</v>
      </c>
      <c r="X12" s="1094" t="e">
        <f>'Cpte exploitation 1+2+3'!$D$17*X$5</f>
        <v>#REF!</v>
      </c>
      <c r="Y12" s="1094" t="e">
        <f>'Cpte exploitation 1+2+3'!$D$17*Y$5</f>
        <v>#REF!</v>
      </c>
      <c r="Z12" s="1094" t="e">
        <f>'Cpte exploitation 1+2+3'!$D$17*Z$5</f>
        <v>#REF!</v>
      </c>
      <c r="AA12" s="1094" t="e">
        <f>'Cpte exploitation 1+2+3'!$D$17*AA$5</f>
        <v>#REF!</v>
      </c>
      <c r="AB12" s="1094" t="e">
        <f>'Cpte exploitation 1+2+3'!$D$17*AB$5</f>
        <v>#REF!</v>
      </c>
      <c r="AC12" s="1094" t="e">
        <f>'Cpte exploitation 1+2+3'!$D$17*AC$5</f>
        <v>#REF!</v>
      </c>
      <c r="AD12" s="1094" t="e">
        <f>'Cpte exploitation 1+2+3'!$D$17*AD$5</f>
        <v>#REF!</v>
      </c>
      <c r="AE12" s="1094" t="e">
        <f>'Cpte exploitation 1+2+3'!$D$17*AE$5</f>
        <v>#REF!</v>
      </c>
      <c r="AF12" s="1094" t="e">
        <f>'Cpte exploitation 1+2+3'!$D$17*AF$5</f>
        <v>#REF!</v>
      </c>
      <c r="AG12" s="1094" t="e">
        <f>'Cpte exploitation 1+2+3'!$D$17*AG$5</f>
        <v>#REF!</v>
      </c>
      <c r="AH12" s="1094" t="e">
        <f>'Cpte exploitation 1+2+3'!$D$17*AH$5</f>
        <v>#REF!</v>
      </c>
      <c r="AI12" s="1094" t="e">
        <f>'Cpte exploitation 1+2+3'!$D$17*AI$5</f>
        <v>#REF!</v>
      </c>
      <c r="AJ12" s="1094" t="e">
        <f>'Cpte exploitation 1+2+3'!$D$17*AJ$5</f>
        <v>#REF!</v>
      </c>
      <c r="AK12" s="1094" t="e">
        <f>'Cpte exploitation 1+2+3'!$D$17*AK$5</f>
        <v>#REF!</v>
      </c>
      <c r="AL12" s="1094" t="e">
        <f>'Cpte exploitation 1+2+3'!$D$17*AL$5</f>
        <v>#REF!</v>
      </c>
      <c r="AM12" s="1094" t="e">
        <f>'Cpte exploitation 1+2+3'!$D$17*AM$5</f>
        <v>#REF!</v>
      </c>
      <c r="AQ12" s="85"/>
      <c r="AR12" s="415" t="str">
        <f>+'Cpte exploitation 1+2+3'!$B$17</f>
        <v>Ventes RZD</v>
      </c>
      <c r="AT12" s="85"/>
      <c r="AU12" s="415" t="s">
        <v>951</v>
      </c>
    </row>
    <row r="13" spans="1:47" ht="15">
      <c r="A13" s="85"/>
      <c r="B13" s="415" t="str">
        <f>IF('Mode Opératoire'!$I$1="Français",+AR13,AU13)</f>
        <v>Ventes Gefco</v>
      </c>
      <c r="C13" s="1109" t="s">
        <v>18</v>
      </c>
      <c r="D13" s="1094" t="e">
        <f>'Cpte exploitation 1+2+3'!$D$18*D$5</f>
        <v>#REF!</v>
      </c>
      <c r="E13" s="1094" t="e">
        <f>'Cpte exploitation 1+2+3'!$D$18*E$5</f>
        <v>#REF!</v>
      </c>
      <c r="F13" s="1094" t="e">
        <f>'Cpte exploitation 1+2+3'!$D$18*F$5</f>
        <v>#REF!</v>
      </c>
      <c r="G13" s="1094" t="e">
        <f>'Cpte exploitation 1+2+3'!$D$18*G$5</f>
        <v>#REF!</v>
      </c>
      <c r="H13" s="1094" t="e">
        <f>'Cpte exploitation 1+2+3'!$D$18*H$5</f>
        <v>#REF!</v>
      </c>
      <c r="I13" s="1094" t="e">
        <f>'Cpte exploitation 1+2+3'!$D$18*I$5</f>
        <v>#REF!</v>
      </c>
      <c r="J13" s="1094" t="e">
        <f>'Cpte exploitation 1+2+3'!$D$18*J$5</f>
        <v>#REF!</v>
      </c>
      <c r="K13" s="1094" t="e">
        <f>'Cpte exploitation 1+2+3'!$D$18*K$5</f>
        <v>#REF!</v>
      </c>
      <c r="L13" s="1094" t="e">
        <f>'Cpte exploitation 1+2+3'!$D$18*L$5</f>
        <v>#REF!</v>
      </c>
      <c r="M13" s="1094" t="e">
        <f>'Cpte exploitation 1+2+3'!$D$18*M$5</f>
        <v>#REF!</v>
      </c>
      <c r="N13" s="1094" t="e">
        <f>'Cpte exploitation 1+2+3'!$D$18*N$5</f>
        <v>#REF!</v>
      </c>
      <c r="O13" s="1094" t="e">
        <f>'Cpte exploitation 1+2+3'!$D$18*O$5</f>
        <v>#REF!</v>
      </c>
      <c r="P13" s="1094" t="e">
        <f>'Cpte exploitation 1+2+3'!$D$18*P$5</f>
        <v>#REF!</v>
      </c>
      <c r="Q13" s="1094" t="e">
        <f>'Cpte exploitation 1+2+3'!$D$18*Q$5</f>
        <v>#REF!</v>
      </c>
      <c r="R13" s="1094" t="e">
        <f>'Cpte exploitation 1+2+3'!$D$18*R$5</f>
        <v>#REF!</v>
      </c>
      <c r="S13" s="1094" t="e">
        <f>'Cpte exploitation 1+2+3'!$D$18*S$5</f>
        <v>#REF!</v>
      </c>
      <c r="T13" s="1094" t="e">
        <f>'Cpte exploitation 1+2+3'!$D$18*T$5</f>
        <v>#REF!</v>
      </c>
      <c r="U13" s="1094" t="e">
        <f>'Cpte exploitation 1+2+3'!$D$18*U$5</f>
        <v>#REF!</v>
      </c>
      <c r="V13" s="1094" t="e">
        <f>'Cpte exploitation 1+2+3'!$D$18*V$5</f>
        <v>#REF!</v>
      </c>
      <c r="W13" s="1094" t="e">
        <f>'Cpte exploitation 1+2+3'!$D$18*W$5</f>
        <v>#REF!</v>
      </c>
      <c r="X13" s="1094" t="e">
        <f>'Cpte exploitation 1+2+3'!$D$18*X$5</f>
        <v>#REF!</v>
      </c>
      <c r="Y13" s="1094" t="e">
        <f>'Cpte exploitation 1+2+3'!$D$18*Y$5</f>
        <v>#REF!</v>
      </c>
      <c r="Z13" s="1094" t="e">
        <f>'Cpte exploitation 1+2+3'!$D$18*Z$5</f>
        <v>#REF!</v>
      </c>
      <c r="AA13" s="1094" t="e">
        <f>'Cpte exploitation 1+2+3'!$D$18*AA$5</f>
        <v>#REF!</v>
      </c>
      <c r="AB13" s="1094" t="e">
        <f>'Cpte exploitation 1+2+3'!$D$18*AB$5</f>
        <v>#REF!</v>
      </c>
      <c r="AC13" s="1094" t="e">
        <f>'Cpte exploitation 1+2+3'!$D$18*AC$5</f>
        <v>#REF!</v>
      </c>
      <c r="AD13" s="1094" t="e">
        <f>'Cpte exploitation 1+2+3'!$D$18*AD$5</f>
        <v>#REF!</v>
      </c>
      <c r="AE13" s="1094" t="e">
        <f>'Cpte exploitation 1+2+3'!$D$18*AE$5</f>
        <v>#REF!</v>
      </c>
      <c r="AF13" s="1094" t="e">
        <f>'Cpte exploitation 1+2+3'!$D$18*AF$5</f>
        <v>#REF!</v>
      </c>
      <c r="AG13" s="1094" t="e">
        <f>'Cpte exploitation 1+2+3'!$D$18*AG$5</f>
        <v>#REF!</v>
      </c>
      <c r="AH13" s="1094" t="e">
        <f>'Cpte exploitation 1+2+3'!$D$18*AH$5</f>
        <v>#REF!</v>
      </c>
      <c r="AI13" s="1094" t="e">
        <f>'Cpte exploitation 1+2+3'!$D$18*AI$5</f>
        <v>#REF!</v>
      </c>
      <c r="AJ13" s="1094" t="e">
        <f>'Cpte exploitation 1+2+3'!$D$18*AJ$5</f>
        <v>#REF!</v>
      </c>
      <c r="AK13" s="1094" t="e">
        <f>'Cpte exploitation 1+2+3'!$D$18*AK$5</f>
        <v>#REF!</v>
      </c>
      <c r="AL13" s="1094" t="e">
        <f>'Cpte exploitation 1+2+3'!$D$18*AL$5</f>
        <v>#REF!</v>
      </c>
      <c r="AM13" s="1094" t="e">
        <f>'Cpte exploitation 1+2+3'!$D$18*AM$5</f>
        <v>#REF!</v>
      </c>
      <c r="AQ13" s="85"/>
      <c r="AR13" s="415" t="str">
        <f>+'Cpte exploitation 1+2+3'!$B$18</f>
        <v>Ventes Gefco</v>
      </c>
      <c r="AT13" s="85"/>
      <c r="AU13" s="415" t="s">
        <v>1327</v>
      </c>
    </row>
    <row r="14" spans="1:47" ht="18">
      <c r="A14" s="95"/>
      <c r="B14" s="419" t="str">
        <f>IF('Mode Opératoire'!$I$1="Français",+AR14,AU14)</f>
        <v>Total des ventes</v>
      </c>
      <c r="C14" s="420"/>
      <c r="D14" s="420" t="e">
        <f>SUM(D9:D13)</f>
        <v>#REF!</v>
      </c>
      <c r="E14" s="420" t="e">
        <f t="shared" ref="E14:AM14" si="0">SUM(E9:E13)</f>
        <v>#REF!</v>
      </c>
      <c r="F14" s="420" t="e">
        <f t="shared" si="0"/>
        <v>#REF!</v>
      </c>
      <c r="G14" s="420" t="e">
        <f t="shared" si="0"/>
        <v>#REF!</v>
      </c>
      <c r="H14" s="420" t="e">
        <f t="shared" si="0"/>
        <v>#REF!</v>
      </c>
      <c r="I14" s="420" t="e">
        <f t="shared" si="0"/>
        <v>#REF!</v>
      </c>
      <c r="J14" s="420" t="e">
        <f t="shared" si="0"/>
        <v>#REF!</v>
      </c>
      <c r="K14" s="420" t="e">
        <f t="shared" si="0"/>
        <v>#REF!</v>
      </c>
      <c r="L14" s="420" t="e">
        <f t="shared" si="0"/>
        <v>#REF!</v>
      </c>
      <c r="M14" s="420" t="e">
        <f t="shared" si="0"/>
        <v>#REF!</v>
      </c>
      <c r="N14" s="420" t="e">
        <f t="shared" si="0"/>
        <v>#REF!</v>
      </c>
      <c r="O14" s="420" t="e">
        <f t="shared" si="0"/>
        <v>#REF!</v>
      </c>
      <c r="P14" s="420" t="e">
        <f t="shared" si="0"/>
        <v>#REF!</v>
      </c>
      <c r="Q14" s="420" t="e">
        <f t="shared" si="0"/>
        <v>#REF!</v>
      </c>
      <c r="R14" s="420" t="e">
        <f t="shared" si="0"/>
        <v>#REF!</v>
      </c>
      <c r="S14" s="420" t="e">
        <f t="shared" si="0"/>
        <v>#REF!</v>
      </c>
      <c r="T14" s="420" t="e">
        <f t="shared" si="0"/>
        <v>#REF!</v>
      </c>
      <c r="U14" s="420" t="e">
        <f t="shared" si="0"/>
        <v>#REF!</v>
      </c>
      <c r="V14" s="420" t="e">
        <f t="shared" si="0"/>
        <v>#REF!</v>
      </c>
      <c r="W14" s="420" t="e">
        <f t="shared" si="0"/>
        <v>#REF!</v>
      </c>
      <c r="X14" s="420" t="e">
        <f t="shared" si="0"/>
        <v>#REF!</v>
      </c>
      <c r="Y14" s="420" t="e">
        <f t="shared" si="0"/>
        <v>#REF!</v>
      </c>
      <c r="Z14" s="420" t="e">
        <f t="shared" si="0"/>
        <v>#REF!</v>
      </c>
      <c r="AA14" s="420" t="e">
        <f t="shared" si="0"/>
        <v>#REF!</v>
      </c>
      <c r="AB14" s="420" t="e">
        <f t="shared" si="0"/>
        <v>#REF!</v>
      </c>
      <c r="AC14" s="420" t="e">
        <f t="shared" si="0"/>
        <v>#REF!</v>
      </c>
      <c r="AD14" s="420" t="e">
        <f t="shared" si="0"/>
        <v>#REF!</v>
      </c>
      <c r="AE14" s="420" t="e">
        <f t="shared" si="0"/>
        <v>#REF!</v>
      </c>
      <c r="AF14" s="420" t="e">
        <f t="shared" si="0"/>
        <v>#REF!</v>
      </c>
      <c r="AG14" s="420" t="e">
        <f t="shared" si="0"/>
        <v>#REF!</v>
      </c>
      <c r="AH14" s="420" t="e">
        <f t="shared" si="0"/>
        <v>#REF!</v>
      </c>
      <c r="AI14" s="420" t="e">
        <f t="shared" si="0"/>
        <v>#REF!</v>
      </c>
      <c r="AJ14" s="420" t="e">
        <f t="shared" si="0"/>
        <v>#REF!</v>
      </c>
      <c r="AK14" s="420" t="e">
        <f t="shared" si="0"/>
        <v>#REF!</v>
      </c>
      <c r="AL14" s="420" t="e">
        <f t="shared" si="0"/>
        <v>#REF!</v>
      </c>
      <c r="AM14" s="420" t="e">
        <f t="shared" si="0"/>
        <v>#REF!</v>
      </c>
      <c r="AQ14" s="95"/>
      <c r="AR14" s="419" t="s">
        <v>132</v>
      </c>
      <c r="AT14" s="95"/>
      <c r="AU14" s="419" t="s">
        <v>776</v>
      </c>
    </row>
    <row r="15" spans="1:47" ht="15">
      <c r="A15" s="85"/>
      <c r="B15" s="417" t="str">
        <f>IF('Mode Opératoire'!$I$1="Français",+AR15,AU15)</f>
        <v>Achats</v>
      </c>
      <c r="C15" s="1109" t="s">
        <v>20</v>
      </c>
      <c r="D15" s="1094" t="e">
        <f>'Cpte exploitation 1+2+3'!$D$21*D$5</f>
        <v>#REF!</v>
      </c>
      <c r="E15" s="1094" t="e">
        <f>'Cpte exploitation 1+2+3'!$D$21*E$5</f>
        <v>#REF!</v>
      </c>
      <c r="F15" s="1094" t="e">
        <f>'Cpte exploitation 1+2+3'!$D$21*F$5</f>
        <v>#REF!</v>
      </c>
      <c r="G15" s="1094" t="e">
        <f>'Cpte exploitation 1+2+3'!$D$21*G$5</f>
        <v>#REF!</v>
      </c>
      <c r="H15" s="1094" t="e">
        <f>'Cpte exploitation 1+2+3'!$D$21*H$5</f>
        <v>#REF!</v>
      </c>
      <c r="I15" s="1094" t="e">
        <f>'Cpte exploitation 1+2+3'!$D$21*I$5</f>
        <v>#REF!</v>
      </c>
      <c r="J15" s="1094" t="e">
        <f>'Cpte exploitation 1+2+3'!$D$21*J$5</f>
        <v>#REF!</v>
      </c>
      <c r="K15" s="1094" t="e">
        <f>'Cpte exploitation 1+2+3'!$D$21*K$5</f>
        <v>#REF!</v>
      </c>
      <c r="L15" s="1094" t="e">
        <f>'Cpte exploitation 1+2+3'!$D$21*L$5</f>
        <v>#REF!</v>
      </c>
      <c r="M15" s="1094" t="e">
        <f>'Cpte exploitation 1+2+3'!$D$21*M$5</f>
        <v>#REF!</v>
      </c>
      <c r="N15" s="1094" t="e">
        <f>'Cpte exploitation 1+2+3'!$D$21*N$5</f>
        <v>#REF!</v>
      </c>
      <c r="O15" s="1094" t="e">
        <f>'Cpte exploitation 1+2+3'!$D$21*O$5</f>
        <v>#REF!</v>
      </c>
      <c r="P15" s="1094" t="e">
        <f>'Cpte exploitation 1+2+3'!$E$21*P$5</f>
        <v>#REF!</v>
      </c>
      <c r="Q15" s="1094" t="e">
        <f>'Cpte exploitation 1+2+3'!$E$21*Q$5</f>
        <v>#REF!</v>
      </c>
      <c r="R15" s="1094" t="e">
        <f>'Cpte exploitation 1+2+3'!$E$21*R$5</f>
        <v>#REF!</v>
      </c>
      <c r="S15" s="1094" t="e">
        <f>'Cpte exploitation 1+2+3'!$E$21*S$5</f>
        <v>#REF!</v>
      </c>
      <c r="T15" s="1094" t="e">
        <f>'Cpte exploitation 1+2+3'!$E$21*T$5</f>
        <v>#REF!</v>
      </c>
      <c r="U15" s="1094" t="e">
        <f>'Cpte exploitation 1+2+3'!$E$21*U$5</f>
        <v>#REF!</v>
      </c>
      <c r="V15" s="1094" t="e">
        <f>'Cpte exploitation 1+2+3'!$E$21*V$5</f>
        <v>#REF!</v>
      </c>
      <c r="W15" s="1094" t="e">
        <f>'Cpte exploitation 1+2+3'!$E$21*W$5</f>
        <v>#REF!</v>
      </c>
      <c r="X15" s="1094" t="e">
        <f>'Cpte exploitation 1+2+3'!$E$21*X$5</f>
        <v>#REF!</v>
      </c>
      <c r="Y15" s="1094" t="e">
        <f>'Cpte exploitation 1+2+3'!$E$21*Y$5</f>
        <v>#REF!</v>
      </c>
      <c r="Z15" s="1094" t="e">
        <f>'Cpte exploitation 1+2+3'!$E$21*Z$5</f>
        <v>#REF!</v>
      </c>
      <c r="AA15" s="1094" t="e">
        <f>'Cpte exploitation 1+2+3'!$E$21*AA$5</f>
        <v>#REF!</v>
      </c>
      <c r="AB15" s="1094" t="e">
        <f>'Cpte exploitation 1+2+3'!$F$21*AB$5</f>
        <v>#REF!</v>
      </c>
      <c r="AC15" s="1094" t="e">
        <f>'Cpte exploitation 1+2+3'!$F$21*AC$5</f>
        <v>#REF!</v>
      </c>
      <c r="AD15" s="1094" t="e">
        <f>'Cpte exploitation 1+2+3'!$F$21*AD$5</f>
        <v>#REF!</v>
      </c>
      <c r="AE15" s="1094" t="e">
        <f>'Cpte exploitation 1+2+3'!$F$21*AE$5</f>
        <v>#REF!</v>
      </c>
      <c r="AF15" s="1094" t="e">
        <f>'Cpte exploitation 1+2+3'!$F$21*AF$5</f>
        <v>#REF!</v>
      </c>
      <c r="AG15" s="1094" t="e">
        <f>'Cpte exploitation 1+2+3'!$F$21*AG$5</f>
        <v>#REF!</v>
      </c>
      <c r="AH15" s="1094" t="e">
        <f>'Cpte exploitation 1+2+3'!$F$21*AH$5</f>
        <v>#REF!</v>
      </c>
      <c r="AI15" s="1094" t="e">
        <f>'Cpte exploitation 1+2+3'!$F$21*AI$5</f>
        <v>#REF!</v>
      </c>
      <c r="AJ15" s="1094" t="e">
        <f>'Cpte exploitation 1+2+3'!$F$21*AJ$5</f>
        <v>#REF!</v>
      </c>
      <c r="AK15" s="1094" t="e">
        <f>'Cpte exploitation 1+2+3'!$F$21*AK$5</f>
        <v>#REF!</v>
      </c>
      <c r="AL15" s="1094" t="e">
        <f>'Cpte exploitation 1+2+3'!$F$21*AL$5</f>
        <v>#REF!</v>
      </c>
      <c r="AM15" s="1094" t="e">
        <f>'Cpte exploitation 1+2+3'!$F$21*AM$5</f>
        <v>#REF!</v>
      </c>
      <c r="AQ15" s="85"/>
      <c r="AR15" s="417" t="s">
        <v>123</v>
      </c>
      <c r="AT15" s="85"/>
      <c r="AU15" s="417" t="s">
        <v>82</v>
      </c>
    </row>
    <row r="16" spans="1:47" ht="18">
      <c r="A16" s="97"/>
      <c r="B16" s="419" t="str">
        <f>IF('Mode Opératoire'!$I$1="Français",+AR16,AU16)</f>
        <v>Marge commerciale</v>
      </c>
      <c r="C16" s="420"/>
      <c r="D16" s="420" t="e">
        <f>D9+D10+D11+D12+D13+D15</f>
        <v>#REF!</v>
      </c>
      <c r="E16" s="420" t="e">
        <f>E9+E10+E11+E12+E13+E15</f>
        <v>#REF!</v>
      </c>
      <c r="F16" s="420" t="e">
        <f>F9+F10+F11+F12+F13+F15</f>
        <v>#REF!</v>
      </c>
      <c r="G16" s="420" t="e">
        <f t="shared" ref="G16:AM16" si="1">G9+G10+G11+G12+G13+G15</f>
        <v>#REF!</v>
      </c>
      <c r="H16" s="420" t="e">
        <f t="shared" si="1"/>
        <v>#REF!</v>
      </c>
      <c r="I16" s="420" t="e">
        <f t="shared" si="1"/>
        <v>#REF!</v>
      </c>
      <c r="J16" s="420" t="e">
        <f>J9+J10+J11+J12+J13+J15</f>
        <v>#REF!</v>
      </c>
      <c r="K16" s="420" t="e">
        <f t="shared" si="1"/>
        <v>#REF!</v>
      </c>
      <c r="L16" s="420" t="e">
        <f t="shared" si="1"/>
        <v>#REF!</v>
      </c>
      <c r="M16" s="420" t="e">
        <f t="shared" si="1"/>
        <v>#REF!</v>
      </c>
      <c r="N16" s="420" t="e">
        <f t="shared" si="1"/>
        <v>#REF!</v>
      </c>
      <c r="O16" s="420" t="e">
        <f t="shared" si="1"/>
        <v>#REF!</v>
      </c>
      <c r="P16" s="420" t="e">
        <f t="shared" si="1"/>
        <v>#REF!</v>
      </c>
      <c r="Q16" s="420" t="e">
        <f t="shared" si="1"/>
        <v>#REF!</v>
      </c>
      <c r="R16" s="420" t="e">
        <f t="shared" si="1"/>
        <v>#REF!</v>
      </c>
      <c r="S16" s="420" t="e">
        <f t="shared" si="1"/>
        <v>#REF!</v>
      </c>
      <c r="T16" s="420" t="e">
        <f t="shared" si="1"/>
        <v>#REF!</v>
      </c>
      <c r="U16" s="420" t="e">
        <f t="shared" si="1"/>
        <v>#REF!</v>
      </c>
      <c r="V16" s="420" t="e">
        <f t="shared" si="1"/>
        <v>#REF!</v>
      </c>
      <c r="W16" s="420" t="e">
        <f t="shared" si="1"/>
        <v>#REF!</v>
      </c>
      <c r="X16" s="420" t="e">
        <f t="shared" si="1"/>
        <v>#REF!</v>
      </c>
      <c r="Y16" s="420" t="e">
        <f t="shared" si="1"/>
        <v>#REF!</v>
      </c>
      <c r="Z16" s="420" t="e">
        <f t="shared" si="1"/>
        <v>#REF!</v>
      </c>
      <c r="AA16" s="420" t="e">
        <f t="shared" si="1"/>
        <v>#REF!</v>
      </c>
      <c r="AB16" s="420" t="e">
        <f t="shared" si="1"/>
        <v>#REF!</v>
      </c>
      <c r="AC16" s="420" t="e">
        <f t="shared" si="1"/>
        <v>#REF!</v>
      </c>
      <c r="AD16" s="420" t="e">
        <f t="shared" si="1"/>
        <v>#REF!</v>
      </c>
      <c r="AE16" s="420" t="e">
        <f t="shared" si="1"/>
        <v>#REF!</v>
      </c>
      <c r="AF16" s="420" t="e">
        <f t="shared" si="1"/>
        <v>#REF!</v>
      </c>
      <c r="AG16" s="420" t="e">
        <f t="shared" si="1"/>
        <v>#REF!</v>
      </c>
      <c r="AH16" s="420" t="e">
        <f t="shared" si="1"/>
        <v>#REF!</v>
      </c>
      <c r="AI16" s="420" t="e">
        <f t="shared" si="1"/>
        <v>#REF!</v>
      </c>
      <c r="AJ16" s="420" t="e">
        <f t="shared" si="1"/>
        <v>#REF!</v>
      </c>
      <c r="AK16" s="420" t="e">
        <f t="shared" si="1"/>
        <v>#REF!</v>
      </c>
      <c r="AL16" s="420" t="e">
        <f t="shared" si="1"/>
        <v>#REF!</v>
      </c>
      <c r="AM16" s="420" t="e">
        <f t="shared" si="1"/>
        <v>#REF!</v>
      </c>
      <c r="AQ16" s="97"/>
      <c r="AR16" s="419" t="s">
        <v>21</v>
      </c>
      <c r="AT16" s="97"/>
      <c r="AU16" s="419" t="s">
        <v>83</v>
      </c>
    </row>
    <row r="17" spans="1:47" ht="15">
      <c r="A17" s="107"/>
      <c r="B17" s="421" t="str">
        <f>IF('Mode Opératoire'!$I$1="Français",+AR17,AU17)</f>
        <v>% MCO/Ventes</v>
      </c>
      <c r="C17" s="1110"/>
      <c r="D17" s="1095" t="e">
        <f>IF(SUM(D$9:D$13)&lt;&gt;0,D16/SUM(D$9:D$13),"")</f>
        <v>#REF!</v>
      </c>
      <c r="E17" s="1095" t="e">
        <f t="shared" ref="E17:AM17" si="2">IF(SUM(E$9:E$13)&lt;&gt;0,E16/SUM(E$9:E$13),"")</f>
        <v>#REF!</v>
      </c>
      <c r="F17" s="1095" t="e">
        <f t="shared" si="2"/>
        <v>#REF!</v>
      </c>
      <c r="G17" s="1095" t="e">
        <f t="shared" si="2"/>
        <v>#REF!</v>
      </c>
      <c r="H17" s="1095" t="e">
        <f t="shared" si="2"/>
        <v>#REF!</v>
      </c>
      <c r="I17" s="1095" t="e">
        <f t="shared" si="2"/>
        <v>#REF!</v>
      </c>
      <c r="J17" s="1095" t="e">
        <f t="shared" si="2"/>
        <v>#REF!</v>
      </c>
      <c r="K17" s="1095" t="e">
        <f t="shared" si="2"/>
        <v>#REF!</v>
      </c>
      <c r="L17" s="1095" t="e">
        <f t="shared" si="2"/>
        <v>#REF!</v>
      </c>
      <c r="M17" s="1095" t="e">
        <f t="shared" si="2"/>
        <v>#REF!</v>
      </c>
      <c r="N17" s="1095" t="e">
        <f t="shared" si="2"/>
        <v>#REF!</v>
      </c>
      <c r="O17" s="1095" t="e">
        <f t="shared" si="2"/>
        <v>#REF!</v>
      </c>
      <c r="P17" s="1095" t="e">
        <f t="shared" si="2"/>
        <v>#REF!</v>
      </c>
      <c r="Q17" s="1095" t="e">
        <f t="shared" si="2"/>
        <v>#REF!</v>
      </c>
      <c r="R17" s="1095" t="e">
        <f t="shared" si="2"/>
        <v>#REF!</v>
      </c>
      <c r="S17" s="1095" t="e">
        <f t="shared" si="2"/>
        <v>#REF!</v>
      </c>
      <c r="T17" s="1095" t="e">
        <f t="shared" si="2"/>
        <v>#REF!</v>
      </c>
      <c r="U17" s="1095" t="e">
        <f t="shared" si="2"/>
        <v>#REF!</v>
      </c>
      <c r="V17" s="1095" t="e">
        <f t="shared" si="2"/>
        <v>#REF!</v>
      </c>
      <c r="W17" s="1095" t="e">
        <f t="shared" si="2"/>
        <v>#REF!</v>
      </c>
      <c r="X17" s="1095" t="e">
        <f t="shared" si="2"/>
        <v>#REF!</v>
      </c>
      <c r="Y17" s="1095" t="e">
        <f t="shared" si="2"/>
        <v>#REF!</v>
      </c>
      <c r="Z17" s="1095" t="e">
        <f t="shared" si="2"/>
        <v>#REF!</v>
      </c>
      <c r="AA17" s="1095" t="e">
        <f t="shared" si="2"/>
        <v>#REF!</v>
      </c>
      <c r="AB17" s="1095" t="e">
        <f t="shared" si="2"/>
        <v>#REF!</v>
      </c>
      <c r="AC17" s="1095" t="e">
        <f t="shared" si="2"/>
        <v>#REF!</v>
      </c>
      <c r="AD17" s="1095" t="e">
        <f t="shared" si="2"/>
        <v>#REF!</v>
      </c>
      <c r="AE17" s="1095" t="e">
        <f t="shared" si="2"/>
        <v>#REF!</v>
      </c>
      <c r="AF17" s="1095" t="e">
        <f t="shared" si="2"/>
        <v>#REF!</v>
      </c>
      <c r="AG17" s="1095" t="e">
        <f t="shared" si="2"/>
        <v>#REF!</v>
      </c>
      <c r="AH17" s="1095" t="e">
        <f t="shared" si="2"/>
        <v>#REF!</v>
      </c>
      <c r="AI17" s="1095" t="e">
        <f t="shared" si="2"/>
        <v>#REF!</v>
      </c>
      <c r="AJ17" s="1095" t="e">
        <f t="shared" si="2"/>
        <v>#REF!</v>
      </c>
      <c r="AK17" s="1095" t="e">
        <f t="shared" si="2"/>
        <v>#REF!</v>
      </c>
      <c r="AL17" s="1095" t="e">
        <f t="shared" si="2"/>
        <v>#REF!</v>
      </c>
      <c r="AM17" s="1095" t="e">
        <f t="shared" si="2"/>
        <v>#REF!</v>
      </c>
      <c r="AQ17" s="107"/>
      <c r="AR17" s="421" t="s">
        <v>22</v>
      </c>
      <c r="AT17" s="107"/>
      <c r="AU17" s="421" t="s">
        <v>777</v>
      </c>
    </row>
    <row r="18" spans="1:47" ht="15">
      <c r="A18" s="85"/>
      <c r="B18" s="417" t="str">
        <f>IF('Mode Opératoire'!$I$1="Français",+AR18,AU18)</f>
        <v>Frais de personnel</v>
      </c>
      <c r="C18" s="1109" t="s">
        <v>20</v>
      </c>
      <c r="D18" s="1096" t="e">
        <f>'Cpte exploitation 1+2+3'!$D$34*D$5</f>
        <v>#REF!</v>
      </c>
      <c r="E18" s="1096" t="e">
        <f>'Cpte exploitation 1+2+3'!$D$34*E$5</f>
        <v>#REF!</v>
      </c>
      <c r="F18" s="1096" t="e">
        <f>'Cpte exploitation 1+2+3'!$D$34*F$5</f>
        <v>#REF!</v>
      </c>
      <c r="G18" s="1096" t="e">
        <f>'Cpte exploitation 1+2+3'!$D$34*G$5</f>
        <v>#REF!</v>
      </c>
      <c r="H18" s="1096" t="e">
        <f>'Cpte exploitation 1+2+3'!$D$34*H$5</f>
        <v>#REF!</v>
      </c>
      <c r="I18" s="1096" t="e">
        <f>'Cpte exploitation 1+2+3'!$D$34*I$5</f>
        <v>#REF!</v>
      </c>
      <c r="J18" s="1096" t="e">
        <f>'Cpte exploitation 1+2+3'!$D$34*J$5</f>
        <v>#REF!</v>
      </c>
      <c r="K18" s="1096" t="e">
        <f>'Cpte exploitation 1+2+3'!$D$34*K$5</f>
        <v>#REF!</v>
      </c>
      <c r="L18" s="1096" t="e">
        <f>'Cpte exploitation 1+2+3'!$D$34*L$5</f>
        <v>#REF!</v>
      </c>
      <c r="M18" s="1096" t="e">
        <f>'Cpte exploitation 1+2+3'!$D$34*M$5</f>
        <v>#REF!</v>
      </c>
      <c r="N18" s="1096" t="e">
        <f>'Cpte exploitation 1+2+3'!$D$34*N$5</f>
        <v>#REF!</v>
      </c>
      <c r="O18" s="1096" t="e">
        <f>'Cpte exploitation 1+2+3'!$D$34*O$5</f>
        <v>#REF!</v>
      </c>
      <c r="P18" s="1096" t="e">
        <f>'Cpte exploitation 1+2+3'!$E$34*P$5</f>
        <v>#REF!</v>
      </c>
      <c r="Q18" s="1096" t="e">
        <f>'Cpte exploitation 1+2+3'!$E$34*Q$5</f>
        <v>#REF!</v>
      </c>
      <c r="R18" s="1096" t="e">
        <f>'Cpte exploitation 1+2+3'!$E$34*R$5</f>
        <v>#REF!</v>
      </c>
      <c r="S18" s="1096" t="e">
        <f>'Cpte exploitation 1+2+3'!$E$34*S$5</f>
        <v>#REF!</v>
      </c>
      <c r="T18" s="1096" t="e">
        <f>'Cpte exploitation 1+2+3'!$E$34*T$5</f>
        <v>#REF!</v>
      </c>
      <c r="U18" s="1096" t="e">
        <f>'Cpte exploitation 1+2+3'!$E$34*U$5</f>
        <v>#REF!</v>
      </c>
      <c r="V18" s="1096" t="e">
        <f>'Cpte exploitation 1+2+3'!$E$34*V$5</f>
        <v>#REF!</v>
      </c>
      <c r="W18" s="1096" t="e">
        <f>'Cpte exploitation 1+2+3'!$E$34*W$5</f>
        <v>#REF!</v>
      </c>
      <c r="X18" s="1096" t="e">
        <f>'Cpte exploitation 1+2+3'!$E$34*X$5</f>
        <v>#REF!</v>
      </c>
      <c r="Y18" s="1096" t="e">
        <f>'Cpte exploitation 1+2+3'!$E$34*Y$5</f>
        <v>#REF!</v>
      </c>
      <c r="Z18" s="1096" t="e">
        <f>'Cpte exploitation 1+2+3'!$E$34*Z$5</f>
        <v>#REF!</v>
      </c>
      <c r="AA18" s="1096" t="e">
        <f>'Cpte exploitation 1+2+3'!$E$34*AA$5</f>
        <v>#REF!</v>
      </c>
      <c r="AB18" s="1096" t="e">
        <f>'Cpte exploitation 1+2+3'!$F$34*AB$5</f>
        <v>#REF!</v>
      </c>
      <c r="AC18" s="1096" t="e">
        <f>'Cpte exploitation 1+2+3'!$F$34*AC$5</f>
        <v>#REF!</v>
      </c>
      <c r="AD18" s="1096" t="e">
        <f>'Cpte exploitation 1+2+3'!$F$34*AD$5</f>
        <v>#REF!</v>
      </c>
      <c r="AE18" s="1096" t="e">
        <f>'Cpte exploitation 1+2+3'!$F$34*AE$5</f>
        <v>#REF!</v>
      </c>
      <c r="AF18" s="1096" t="e">
        <f>'Cpte exploitation 1+2+3'!$F$34*AF$5</f>
        <v>#REF!</v>
      </c>
      <c r="AG18" s="1096" t="e">
        <f>'Cpte exploitation 1+2+3'!$F$34*AG$5</f>
        <v>#REF!</v>
      </c>
      <c r="AH18" s="1096" t="e">
        <f>'Cpte exploitation 1+2+3'!$F$34*AH$5</f>
        <v>#REF!</v>
      </c>
      <c r="AI18" s="1096" t="e">
        <f>'Cpte exploitation 1+2+3'!$F$34*AI$5</f>
        <v>#REF!</v>
      </c>
      <c r="AJ18" s="1096" t="e">
        <f>'Cpte exploitation 1+2+3'!$F$34*AJ$5</f>
        <v>#REF!</v>
      </c>
      <c r="AK18" s="1096" t="e">
        <f>'Cpte exploitation 1+2+3'!$F$34*AK$5</f>
        <v>#REF!</v>
      </c>
      <c r="AL18" s="1096" t="e">
        <f>'Cpte exploitation 1+2+3'!$F$34*AL$5</f>
        <v>#REF!</v>
      </c>
      <c r="AM18" s="1096" t="e">
        <f>'Cpte exploitation 1+2+3'!$F$34*AM$5</f>
        <v>#REF!</v>
      </c>
      <c r="AQ18" s="85"/>
      <c r="AR18" s="417" t="s">
        <v>117</v>
      </c>
      <c r="AT18" s="85"/>
      <c r="AU18" s="417" t="s">
        <v>89</v>
      </c>
    </row>
    <row r="19" spans="1:47" ht="15">
      <c r="A19" s="85"/>
      <c r="B19" s="417" t="str">
        <f>IF('Mode Opératoire'!$I$1="Français",+AR19,AU19)</f>
        <v>Autres frais d'exploitation</v>
      </c>
      <c r="C19" s="1109" t="s">
        <v>20</v>
      </c>
      <c r="D19" s="1096" t="e">
        <f>'Cpte exploitation 1+2+3'!$D$42*D$5</f>
        <v>#REF!</v>
      </c>
      <c r="E19" s="1096" t="e">
        <f>'Cpte exploitation 1+2+3'!$D$42*E$5</f>
        <v>#REF!</v>
      </c>
      <c r="F19" s="1096" t="e">
        <f>'Cpte exploitation 1+2+3'!$D$42*F$5</f>
        <v>#REF!</v>
      </c>
      <c r="G19" s="1096" t="e">
        <f>'Cpte exploitation 1+2+3'!$D$42*G$5</f>
        <v>#REF!</v>
      </c>
      <c r="H19" s="1096" t="e">
        <f>'Cpte exploitation 1+2+3'!$D$42*H$5</f>
        <v>#REF!</v>
      </c>
      <c r="I19" s="1096" t="e">
        <f>'Cpte exploitation 1+2+3'!$D$42*I$5</f>
        <v>#REF!</v>
      </c>
      <c r="J19" s="1096" t="e">
        <f>'Cpte exploitation 1+2+3'!$D$42*J$5</f>
        <v>#REF!</v>
      </c>
      <c r="K19" s="1096" t="e">
        <f>'Cpte exploitation 1+2+3'!$D$42*K$5</f>
        <v>#REF!</v>
      </c>
      <c r="L19" s="1096" t="e">
        <f>'Cpte exploitation 1+2+3'!$D$42*L$5</f>
        <v>#REF!</v>
      </c>
      <c r="M19" s="1096" t="e">
        <f>'Cpte exploitation 1+2+3'!$D$42*M$5</f>
        <v>#REF!</v>
      </c>
      <c r="N19" s="1096" t="e">
        <f>'Cpte exploitation 1+2+3'!$D$42*N$5</f>
        <v>#REF!</v>
      </c>
      <c r="O19" s="1096" t="e">
        <f>'Cpte exploitation 1+2+3'!$D$42*O$5</f>
        <v>#REF!</v>
      </c>
      <c r="P19" s="1096" t="e">
        <f>'Cpte exploitation 1+2+3'!$E$42*P$5</f>
        <v>#REF!</v>
      </c>
      <c r="Q19" s="1096" t="e">
        <f>'Cpte exploitation 1+2+3'!$E$42*Q$5</f>
        <v>#REF!</v>
      </c>
      <c r="R19" s="1096" t="e">
        <f>'Cpte exploitation 1+2+3'!$E$42*R$5</f>
        <v>#REF!</v>
      </c>
      <c r="S19" s="1096" t="e">
        <f>'Cpte exploitation 1+2+3'!$E$42*S$5</f>
        <v>#REF!</v>
      </c>
      <c r="T19" s="1096" t="e">
        <f>'Cpte exploitation 1+2+3'!$E$42*T$5</f>
        <v>#REF!</v>
      </c>
      <c r="U19" s="1096" t="e">
        <f>'Cpte exploitation 1+2+3'!$E$42*U$5</f>
        <v>#REF!</v>
      </c>
      <c r="V19" s="1096" t="e">
        <f>'Cpte exploitation 1+2+3'!$E$42*V$5</f>
        <v>#REF!</v>
      </c>
      <c r="W19" s="1096" t="e">
        <f>'Cpte exploitation 1+2+3'!$E$42*W$5</f>
        <v>#REF!</v>
      </c>
      <c r="X19" s="1096" t="e">
        <f>'Cpte exploitation 1+2+3'!$E$42*X$5</f>
        <v>#REF!</v>
      </c>
      <c r="Y19" s="1096" t="e">
        <f>'Cpte exploitation 1+2+3'!$E$42*Y$5</f>
        <v>#REF!</v>
      </c>
      <c r="Z19" s="1096" t="e">
        <f>'Cpte exploitation 1+2+3'!$E$42*Z$5</f>
        <v>#REF!</v>
      </c>
      <c r="AA19" s="1096" t="e">
        <f>'Cpte exploitation 1+2+3'!$E$42*AA$5</f>
        <v>#REF!</v>
      </c>
      <c r="AB19" s="1096" t="e">
        <f>'Cpte exploitation 1+2+3'!$F$42*AB$5</f>
        <v>#REF!</v>
      </c>
      <c r="AC19" s="1096" t="e">
        <f>'Cpte exploitation 1+2+3'!$F$42*AC$5</f>
        <v>#REF!</v>
      </c>
      <c r="AD19" s="1096" t="e">
        <f>'Cpte exploitation 1+2+3'!$F$42*AD$5</f>
        <v>#REF!</v>
      </c>
      <c r="AE19" s="1096" t="e">
        <f>'Cpte exploitation 1+2+3'!$F$42*AE$5</f>
        <v>#REF!</v>
      </c>
      <c r="AF19" s="1096" t="e">
        <f>'Cpte exploitation 1+2+3'!$F$42*AF$5</f>
        <v>#REF!</v>
      </c>
      <c r="AG19" s="1096" t="e">
        <f>'Cpte exploitation 1+2+3'!$F$42*AG$5</f>
        <v>#REF!</v>
      </c>
      <c r="AH19" s="1096" t="e">
        <f>'Cpte exploitation 1+2+3'!$F$42*AH$5</f>
        <v>#REF!</v>
      </c>
      <c r="AI19" s="1096" t="e">
        <f>'Cpte exploitation 1+2+3'!$F$42*AI$5</f>
        <v>#REF!</v>
      </c>
      <c r="AJ19" s="1096" t="e">
        <f>'Cpte exploitation 1+2+3'!$F$42*AJ$5</f>
        <v>#REF!</v>
      </c>
      <c r="AK19" s="1096" t="e">
        <f>'Cpte exploitation 1+2+3'!$F$42*AK$5</f>
        <v>#REF!</v>
      </c>
      <c r="AL19" s="1096" t="e">
        <f>'Cpte exploitation 1+2+3'!$F$42*AL$5</f>
        <v>#REF!</v>
      </c>
      <c r="AM19" s="1096" t="e">
        <f>'Cpte exploitation 1+2+3'!$F$42*AM$5</f>
        <v>#REF!</v>
      </c>
      <c r="AQ19" s="85"/>
      <c r="AR19" s="417" t="s">
        <v>50</v>
      </c>
      <c r="AT19" s="85"/>
      <c r="AU19" s="417" t="s">
        <v>778</v>
      </c>
    </row>
    <row r="20" spans="1:47" ht="15">
      <c r="A20" s="85"/>
      <c r="B20" s="417" t="str">
        <f>IF('Mode Opératoire'!$I$1="Français",+AR20,AU20)</f>
        <v>Frais d'agence</v>
      </c>
      <c r="C20" s="1109" t="s">
        <v>20</v>
      </c>
      <c r="D20" s="1096" t="e">
        <f>'Cpte exploitation 1+2+3'!$D$50*D$5</f>
        <v>#REF!</v>
      </c>
      <c r="E20" s="1096" t="e">
        <f>'Cpte exploitation 1+2+3'!$D$50*E$5</f>
        <v>#REF!</v>
      </c>
      <c r="F20" s="1096" t="e">
        <f>'Cpte exploitation 1+2+3'!$D$50*F$5</f>
        <v>#REF!</v>
      </c>
      <c r="G20" s="1096" t="e">
        <f>'Cpte exploitation 1+2+3'!$D$50*G$5</f>
        <v>#REF!</v>
      </c>
      <c r="H20" s="1096" t="e">
        <f>'Cpte exploitation 1+2+3'!$D$50*H$5</f>
        <v>#REF!</v>
      </c>
      <c r="I20" s="1096" t="e">
        <f>'Cpte exploitation 1+2+3'!$D$50*I$5</f>
        <v>#REF!</v>
      </c>
      <c r="J20" s="1096" t="e">
        <f>'Cpte exploitation 1+2+3'!$D$50*J$5</f>
        <v>#REF!</v>
      </c>
      <c r="K20" s="1096" t="e">
        <f>'Cpte exploitation 1+2+3'!$D$50*K$5</f>
        <v>#REF!</v>
      </c>
      <c r="L20" s="1096" t="e">
        <f>'Cpte exploitation 1+2+3'!$D$50*L$5</f>
        <v>#REF!</v>
      </c>
      <c r="M20" s="1096" t="e">
        <f>'Cpte exploitation 1+2+3'!$D$50*M$5</f>
        <v>#REF!</v>
      </c>
      <c r="N20" s="1096" t="e">
        <f>'Cpte exploitation 1+2+3'!$D$50*N$5</f>
        <v>#REF!</v>
      </c>
      <c r="O20" s="1096" t="e">
        <f>'Cpte exploitation 1+2+3'!$D$50*O$5</f>
        <v>#REF!</v>
      </c>
      <c r="P20" s="1096" t="e">
        <f>'Cpte exploitation 1+2+3'!$E$50*P$5</f>
        <v>#REF!</v>
      </c>
      <c r="Q20" s="1096" t="e">
        <f>'Cpte exploitation 1+2+3'!$E$50*Q$5</f>
        <v>#REF!</v>
      </c>
      <c r="R20" s="1096" t="e">
        <f>'Cpte exploitation 1+2+3'!$E$50*R$5</f>
        <v>#REF!</v>
      </c>
      <c r="S20" s="1096" t="e">
        <f>'Cpte exploitation 1+2+3'!$E$50*S$5</f>
        <v>#REF!</v>
      </c>
      <c r="T20" s="1096" t="e">
        <f>'Cpte exploitation 1+2+3'!$E$50*T$5</f>
        <v>#REF!</v>
      </c>
      <c r="U20" s="1096" t="e">
        <f>'Cpte exploitation 1+2+3'!$E$50*U$5</f>
        <v>#REF!</v>
      </c>
      <c r="V20" s="1096" t="e">
        <f>'Cpte exploitation 1+2+3'!$E$50*V$5</f>
        <v>#REF!</v>
      </c>
      <c r="W20" s="1096" t="e">
        <f>'Cpte exploitation 1+2+3'!$E$50*W$5</f>
        <v>#REF!</v>
      </c>
      <c r="X20" s="1096" t="e">
        <f>'Cpte exploitation 1+2+3'!$E$50*X$5</f>
        <v>#REF!</v>
      </c>
      <c r="Y20" s="1096" t="e">
        <f>'Cpte exploitation 1+2+3'!$E$50*Y$5</f>
        <v>#REF!</v>
      </c>
      <c r="Z20" s="1096" t="e">
        <f>'Cpte exploitation 1+2+3'!$E$50*Z$5</f>
        <v>#REF!</v>
      </c>
      <c r="AA20" s="1096" t="e">
        <f>'Cpte exploitation 1+2+3'!$E$50*AA$5</f>
        <v>#REF!</v>
      </c>
      <c r="AB20" s="1096" t="e">
        <f>'Cpte exploitation 1+2+3'!$F$50*AB$5</f>
        <v>#REF!</v>
      </c>
      <c r="AC20" s="1096" t="e">
        <f>'Cpte exploitation 1+2+3'!$F$50*AC$5</f>
        <v>#REF!</v>
      </c>
      <c r="AD20" s="1096" t="e">
        <f>'Cpte exploitation 1+2+3'!$F$50*AD$5</f>
        <v>#REF!</v>
      </c>
      <c r="AE20" s="1096" t="e">
        <f>'Cpte exploitation 1+2+3'!$F$50*AE$5</f>
        <v>#REF!</v>
      </c>
      <c r="AF20" s="1096" t="e">
        <f>'Cpte exploitation 1+2+3'!$F$50*AF$5</f>
        <v>#REF!</v>
      </c>
      <c r="AG20" s="1096" t="e">
        <f>'Cpte exploitation 1+2+3'!$F$50*AG$5</f>
        <v>#REF!</v>
      </c>
      <c r="AH20" s="1096" t="e">
        <f>'Cpte exploitation 1+2+3'!$F$50*AH$5</f>
        <v>#REF!</v>
      </c>
      <c r="AI20" s="1096" t="e">
        <f>'Cpte exploitation 1+2+3'!$F$50*AI$5</f>
        <v>#REF!</v>
      </c>
      <c r="AJ20" s="1096" t="e">
        <f>'Cpte exploitation 1+2+3'!$F$50*AJ$5</f>
        <v>#REF!</v>
      </c>
      <c r="AK20" s="1096" t="e">
        <f>'Cpte exploitation 1+2+3'!$F$50*AK$5</f>
        <v>#REF!</v>
      </c>
      <c r="AL20" s="1096" t="e">
        <f>'Cpte exploitation 1+2+3'!$F$50*AL$5</f>
        <v>#REF!</v>
      </c>
      <c r="AM20" s="1096" t="e">
        <f>'Cpte exploitation 1+2+3'!$F$50*AM$5</f>
        <v>#REF!</v>
      </c>
      <c r="AQ20" s="85"/>
      <c r="AR20" s="417" t="s">
        <v>119</v>
      </c>
      <c r="AT20" s="85"/>
      <c r="AU20" s="417" t="s">
        <v>92</v>
      </c>
    </row>
    <row r="21" spans="1:47" ht="15">
      <c r="A21" s="85"/>
      <c r="B21" s="417" t="str">
        <f>IF('Mode Opératoire'!$I$1="Français",+AR21,AU21)</f>
        <v>Dépréciation créances douteuses</v>
      </c>
      <c r="C21" s="1109" t="s">
        <v>20</v>
      </c>
      <c r="D21" s="1096">
        <f>'Cpte exploitation 1+2+3'!$D$51*D$5</f>
        <v>0</v>
      </c>
      <c r="E21" s="1096">
        <f>'Cpte exploitation 1+2+3'!$D$51*E$5</f>
        <v>0</v>
      </c>
      <c r="F21" s="1096">
        <f>'Cpte exploitation 1+2+3'!$D$51*F$5</f>
        <v>0</v>
      </c>
      <c r="G21" s="1096">
        <f>'Cpte exploitation 1+2+3'!$D$51*G$5</f>
        <v>0</v>
      </c>
      <c r="H21" s="1096">
        <f>'Cpte exploitation 1+2+3'!$D$51*H$5</f>
        <v>0</v>
      </c>
      <c r="I21" s="1096">
        <f>'Cpte exploitation 1+2+3'!$D$51*I$5</f>
        <v>0</v>
      </c>
      <c r="J21" s="1096">
        <f>'Cpte exploitation 1+2+3'!$D$51*J$5</f>
        <v>0</v>
      </c>
      <c r="K21" s="1096">
        <f>'Cpte exploitation 1+2+3'!$D$51*K$5</f>
        <v>0</v>
      </c>
      <c r="L21" s="1096">
        <f>'Cpte exploitation 1+2+3'!$D$51*L$5</f>
        <v>0</v>
      </c>
      <c r="M21" s="1096">
        <f>'Cpte exploitation 1+2+3'!$D$51*M$5</f>
        <v>0</v>
      </c>
      <c r="N21" s="1096">
        <f>'Cpte exploitation 1+2+3'!$D$51*N$5</f>
        <v>0</v>
      </c>
      <c r="O21" s="1096">
        <f>'Cpte exploitation 1+2+3'!$D$51*O$5</f>
        <v>0</v>
      </c>
      <c r="P21" s="1096">
        <f>'Cpte exploitation 1+2+3'!$E$51*P$5</f>
        <v>0</v>
      </c>
      <c r="Q21" s="1096">
        <f>'Cpte exploitation 1+2+3'!$E$51*Q$5</f>
        <v>0</v>
      </c>
      <c r="R21" s="1096">
        <f>'Cpte exploitation 1+2+3'!$E$51*R$5</f>
        <v>0</v>
      </c>
      <c r="S21" s="1096">
        <f>'Cpte exploitation 1+2+3'!$E$51*S$5</f>
        <v>0</v>
      </c>
      <c r="T21" s="1096">
        <f>'Cpte exploitation 1+2+3'!$E$51*T$5</f>
        <v>0</v>
      </c>
      <c r="U21" s="1096">
        <f>'Cpte exploitation 1+2+3'!$E$51*U$5</f>
        <v>0</v>
      </c>
      <c r="V21" s="1096">
        <f>'Cpte exploitation 1+2+3'!$E$51*V$5</f>
        <v>0</v>
      </c>
      <c r="W21" s="1096">
        <f>'Cpte exploitation 1+2+3'!$E$51*W$5</f>
        <v>0</v>
      </c>
      <c r="X21" s="1096">
        <f>'Cpte exploitation 1+2+3'!$E$51*X$5</f>
        <v>0</v>
      </c>
      <c r="Y21" s="1096">
        <f>'Cpte exploitation 1+2+3'!$E$51*Y$5</f>
        <v>0</v>
      </c>
      <c r="Z21" s="1096">
        <f>'Cpte exploitation 1+2+3'!$E$51*Z$5</f>
        <v>0</v>
      </c>
      <c r="AA21" s="1096">
        <f>'Cpte exploitation 1+2+3'!$E$51*AA$5</f>
        <v>0</v>
      </c>
      <c r="AB21" s="1096">
        <f>'Cpte exploitation 1+2+3'!$F$51*AB$5</f>
        <v>0</v>
      </c>
      <c r="AC21" s="1096">
        <f>'Cpte exploitation 1+2+3'!$F$51*AC$5</f>
        <v>0</v>
      </c>
      <c r="AD21" s="1096">
        <f>'Cpte exploitation 1+2+3'!$F$51*AD$5</f>
        <v>0</v>
      </c>
      <c r="AE21" s="1096">
        <f>'Cpte exploitation 1+2+3'!$F$51*AE$5</f>
        <v>0</v>
      </c>
      <c r="AF21" s="1096">
        <f>'Cpte exploitation 1+2+3'!$F$51*AF$5</f>
        <v>0</v>
      </c>
      <c r="AG21" s="1096">
        <f>'Cpte exploitation 1+2+3'!$F$51*AG$5</f>
        <v>0</v>
      </c>
      <c r="AH21" s="1096">
        <f>'Cpte exploitation 1+2+3'!$F$51*AH$5</f>
        <v>0</v>
      </c>
      <c r="AI21" s="1096">
        <f>'Cpte exploitation 1+2+3'!$F$51*AI$5</f>
        <v>0</v>
      </c>
      <c r="AJ21" s="1096">
        <f>'Cpte exploitation 1+2+3'!$F$51*AJ$5</f>
        <v>0</v>
      </c>
      <c r="AK21" s="1096">
        <f>'Cpte exploitation 1+2+3'!$F$51*AK$5</f>
        <v>0</v>
      </c>
      <c r="AL21" s="1096">
        <f>'Cpte exploitation 1+2+3'!$F$51*AL$5</f>
        <v>0</v>
      </c>
      <c r="AM21" s="1096">
        <f>'Cpte exploitation 1+2+3'!$F$51*AM$5</f>
        <v>0</v>
      </c>
      <c r="AQ21" s="85"/>
      <c r="AR21" s="417" t="s">
        <v>209</v>
      </c>
      <c r="AT21" s="85"/>
      <c r="AU21" s="417" t="s">
        <v>198</v>
      </c>
    </row>
    <row r="22" spans="1:47" ht="15">
      <c r="A22" s="85"/>
      <c r="B22" s="417" t="str">
        <f>IF('Mode Opératoire'!$I$1="Français",+AR22,AU22)</f>
        <v>Frais de siège opérationnel</v>
      </c>
      <c r="C22" s="1109"/>
      <c r="D22" s="1096" t="e">
        <f>'Cpte exploitation 1+2+3'!$D$56*D$5</f>
        <v>#REF!</v>
      </c>
      <c r="E22" s="1096" t="e">
        <f>'Cpte exploitation 1+2+3'!$D$56*E$5</f>
        <v>#REF!</v>
      </c>
      <c r="F22" s="1096" t="e">
        <f>'Cpte exploitation 1+2+3'!$D$56*F$5</f>
        <v>#REF!</v>
      </c>
      <c r="G22" s="1096" t="e">
        <f>'Cpte exploitation 1+2+3'!$D$56*G$5</f>
        <v>#REF!</v>
      </c>
      <c r="H22" s="1096" t="e">
        <f>'Cpte exploitation 1+2+3'!$D$56*H$5</f>
        <v>#REF!</v>
      </c>
      <c r="I22" s="1096" t="e">
        <f>'Cpte exploitation 1+2+3'!$D$56*I$5</f>
        <v>#REF!</v>
      </c>
      <c r="J22" s="1096" t="e">
        <f>'Cpte exploitation 1+2+3'!$D$56*J$5</f>
        <v>#REF!</v>
      </c>
      <c r="K22" s="1096" t="e">
        <f>'Cpte exploitation 1+2+3'!$D$56*K$5</f>
        <v>#REF!</v>
      </c>
      <c r="L22" s="1096" t="e">
        <f>'Cpte exploitation 1+2+3'!$D$56*L$5</f>
        <v>#REF!</v>
      </c>
      <c r="M22" s="1096" t="e">
        <f>'Cpte exploitation 1+2+3'!$D$56*M$5</f>
        <v>#REF!</v>
      </c>
      <c r="N22" s="1096" t="e">
        <f>'Cpte exploitation 1+2+3'!$D$56*N$5</f>
        <v>#REF!</v>
      </c>
      <c r="O22" s="1096" t="e">
        <f>'Cpte exploitation 1+2+3'!$D$56*O$5</f>
        <v>#REF!</v>
      </c>
      <c r="P22" s="1096" t="e">
        <f>'Cpte exploitation 1+2+3'!$E$56*P$5</f>
        <v>#REF!</v>
      </c>
      <c r="Q22" s="1096" t="e">
        <f>'Cpte exploitation 1+2+3'!$E$56*Q$5</f>
        <v>#REF!</v>
      </c>
      <c r="R22" s="1096" t="e">
        <f>'Cpte exploitation 1+2+3'!$E$56*R$5</f>
        <v>#REF!</v>
      </c>
      <c r="S22" s="1096" t="e">
        <f>'Cpte exploitation 1+2+3'!$E$56*S$5</f>
        <v>#REF!</v>
      </c>
      <c r="T22" s="1096" t="e">
        <f>'Cpte exploitation 1+2+3'!$E$56*T$5</f>
        <v>#REF!</v>
      </c>
      <c r="U22" s="1096" t="e">
        <f>'Cpte exploitation 1+2+3'!$E$56*U$5</f>
        <v>#REF!</v>
      </c>
      <c r="V22" s="1096" t="e">
        <f>'Cpte exploitation 1+2+3'!$E$56*V$5</f>
        <v>#REF!</v>
      </c>
      <c r="W22" s="1096" t="e">
        <f>'Cpte exploitation 1+2+3'!$E$56*W$5</f>
        <v>#REF!</v>
      </c>
      <c r="X22" s="1096" t="e">
        <f>'Cpte exploitation 1+2+3'!$E$56*X$5</f>
        <v>#REF!</v>
      </c>
      <c r="Y22" s="1096" t="e">
        <f>'Cpte exploitation 1+2+3'!$E$56*Y$5</f>
        <v>#REF!</v>
      </c>
      <c r="Z22" s="1096" t="e">
        <f>'Cpte exploitation 1+2+3'!$E$56*Z$5</f>
        <v>#REF!</v>
      </c>
      <c r="AA22" s="1096" t="e">
        <f>'Cpte exploitation 1+2+3'!$E$56*AA$5</f>
        <v>#REF!</v>
      </c>
      <c r="AB22" s="1096" t="e">
        <f>'Cpte exploitation 1+2+3'!$F$56*AB$5</f>
        <v>#REF!</v>
      </c>
      <c r="AC22" s="1096" t="e">
        <f>'Cpte exploitation 1+2+3'!$F$56*AC$5</f>
        <v>#REF!</v>
      </c>
      <c r="AD22" s="1096" t="e">
        <f>'Cpte exploitation 1+2+3'!$F$56*AD$5</f>
        <v>#REF!</v>
      </c>
      <c r="AE22" s="1096" t="e">
        <f>'Cpte exploitation 1+2+3'!$F$56*AE$5</f>
        <v>#REF!</v>
      </c>
      <c r="AF22" s="1096" t="e">
        <f>'Cpte exploitation 1+2+3'!$F$56*AF$5</f>
        <v>#REF!</v>
      </c>
      <c r="AG22" s="1096" t="e">
        <f>'Cpte exploitation 1+2+3'!$F$56*AG$5</f>
        <v>#REF!</v>
      </c>
      <c r="AH22" s="1096" t="e">
        <f>'Cpte exploitation 1+2+3'!$F$56*AH$5</f>
        <v>#REF!</v>
      </c>
      <c r="AI22" s="1096" t="e">
        <f>'Cpte exploitation 1+2+3'!$F$56*AI$5</f>
        <v>#REF!</v>
      </c>
      <c r="AJ22" s="1096" t="e">
        <f>'Cpte exploitation 1+2+3'!$F$56*AJ$5</f>
        <v>#REF!</v>
      </c>
      <c r="AK22" s="1096" t="e">
        <f>'Cpte exploitation 1+2+3'!$F$56*AK$5</f>
        <v>#REF!</v>
      </c>
      <c r="AL22" s="1096" t="e">
        <f>'Cpte exploitation 1+2+3'!$F$56*AL$5</f>
        <v>#REF!</v>
      </c>
      <c r="AM22" s="1096" t="e">
        <f>'Cpte exploitation 1+2+3'!$F$56*AM$5</f>
        <v>#REF!</v>
      </c>
      <c r="AQ22" s="85"/>
      <c r="AR22" s="417" t="s">
        <v>1322</v>
      </c>
      <c r="AT22" s="85"/>
      <c r="AU22" s="417" t="s">
        <v>957</v>
      </c>
    </row>
    <row r="23" spans="1:47" ht="15">
      <c r="A23" s="85"/>
      <c r="B23" s="422" t="str">
        <f>IF('Mode Opératoire'!$I$1="Français",+AR23,AU23)</f>
        <v>Frais de groupe</v>
      </c>
      <c r="C23" s="1109" t="s">
        <v>20</v>
      </c>
      <c r="D23" s="1096" t="e">
        <f>'Cpte exploitation 1+2+3'!$D$60*D$5</f>
        <v>#REF!</v>
      </c>
      <c r="E23" s="1096" t="e">
        <f>'Cpte exploitation 1+2+3'!$D$60*E$5</f>
        <v>#REF!</v>
      </c>
      <c r="F23" s="1096" t="e">
        <f>'Cpte exploitation 1+2+3'!$D$60*F$5</f>
        <v>#REF!</v>
      </c>
      <c r="G23" s="1096" t="e">
        <f>'Cpte exploitation 1+2+3'!$D$60*G$5</f>
        <v>#REF!</v>
      </c>
      <c r="H23" s="1096" t="e">
        <f>'Cpte exploitation 1+2+3'!$D$60*H$5</f>
        <v>#REF!</v>
      </c>
      <c r="I23" s="1096" t="e">
        <f>'Cpte exploitation 1+2+3'!$D$60*I$5</f>
        <v>#REF!</v>
      </c>
      <c r="J23" s="1096" t="e">
        <f>'Cpte exploitation 1+2+3'!$D$60*J$5</f>
        <v>#REF!</v>
      </c>
      <c r="K23" s="1096" t="e">
        <f>'Cpte exploitation 1+2+3'!$D$60*K$5</f>
        <v>#REF!</v>
      </c>
      <c r="L23" s="1096" t="e">
        <f>'Cpte exploitation 1+2+3'!$D$60*L$5</f>
        <v>#REF!</v>
      </c>
      <c r="M23" s="1096" t="e">
        <f>'Cpte exploitation 1+2+3'!$D$60*M$5</f>
        <v>#REF!</v>
      </c>
      <c r="N23" s="1096" t="e">
        <f>'Cpte exploitation 1+2+3'!$D$60*N$5</f>
        <v>#REF!</v>
      </c>
      <c r="O23" s="1096" t="e">
        <f>'Cpte exploitation 1+2+3'!$D$60*O$5</f>
        <v>#REF!</v>
      </c>
      <c r="P23" s="1096" t="e">
        <f>'Cpte exploitation 1+2+3'!$E$60*P$5</f>
        <v>#REF!</v>
      </c>
      <c r="Q23" s="1096" t="e">
        <f>'Cpte exploitation 1+2+3'!$E$60*Q$5</f>
        <v>#REF!</v>
      </c>
      <c r="R23" s="1096" t="e">
        <f>'Cpte exploitation 1+2+3'!$E$60*R$5</f>
        <v>#REF!</v>
      </c>
      <c r="S23" s="1096" t="e">
        <f>'Cpte exploitation 1+2+3'!$E$60*S$5</f>
        <v>#REF!</v>
      </c>
      <c r="T23" s="1096" t="e">
        <f>'Cpte exploitation 1+2+3'!$E$60*T$5</f>
        <v>#REF!</v>
      </c>
      <c r="U23" s="1096" t="e">
        <f>'Cpte exploitation 1+2+3'!$E$60*U$5</f>
        <v>#REF!</v>
      </c>
      <c r="V23" s="1096" t="e">
        <f>'Cpte exploitation 1+2+3'!$E$60*V$5</f>
        <v>#REF!</v>
      </c>
      <c r="W23" s="1096" t="e">
        <f>'Cpte exploitation 1+2+3'!$E$60*W$5</f>
        <v>#REF!</v>
      </c>
      <c r="X23" s="1096" t="e">
        <f>'Cpte exploitation 1+2+3'!$E$60*X$5</f>
        <v>#REF!</v>
      </c>
      <c r="Y23" s="1096" t="e">
        <f>'Cpte exploitation 1+2+3'!$E$60*Y$5</f>
        <v>#REF!</v>
      </c>
      <c r="Z23" s="1096" t="e">
        <f>'Cpte exploitation 1+2+3'!$E$60*Z$5</f>
        <v>#REF!</v>
      </c>
      <c r="AA23" s="1096" t="e">
        <f>'Cpte exploitation 1+2+3'!$E$60*AA$5</f>
        <v>#REF!</v>
      </c>
      <c r="AB23" s="1096" t="e">
        <f>'Cpte exploitation 1+2+3'!$F$60*AB$5</f>
        <v>#REF!</v>
      </c>
      <c r="AC23" s="1096" t="e">
        <f>'Cpte exploitation 1+2+3'!$F$60*AC$5</f>
        <v>#REF!</v>
      </c>
      <c r="AD23" s="1096" t="e">
        <f>'Cpte exploitation 1+2+3'!$F$60*AD$5</f>
        <v>#REF!</v>
      </c>
      <c r="AE23" s="1096" t="e">
        <f>'Cpte exploitation 1+2+3'!$F$60*AE$5</f>
        <v>#REF!</v>
      </c>
      <c r="AF23" s="1096" t="e">
        <f>'Cpte exploitation 1+2+3'!$F$60*AF$5</f>
        <v>#REF!</v>
      </c>
      <c r="AG23" s="1096" t="e">
        <f>'Cpte exploitation 1+2+3'!$F$60*AG$5</f>
        <v>#REF!</v>
      </c>
      <c r="AH23" s="1096" t="e">
        <f>'Cpte exploitation 1+2+3'!$F$60*AH$5</f>
        <v>#REF!</v>
      </c>
      <c r="AI23" s="1096" t="e">
        <f>'Cpte exploitation 1+2+3'!$F$60*AI$5</f>
        <v>#REF!</v>
      </c>
      <c r="AJ23" s="1096" t="e">
        <f>'Cpte exploitation 1+2+3'!$F$60*AJ$5</f>
        <v>#REF!</v>
      </c>
      <c r="AK23" s="1096" t="e">
        <f>'Cpte exploitation 1+2+3'!$F$60*AK$5</f>
        <v>#REF!</v>
      </c>
      <c r="AL23" s="1096" t="e">
        <f>'Cpte exploitation 1+2+3'!$F$60*AL$5</f>
        <v>#REF!</v>
      </c>
      <c r="AM23" s="1096" t="e">
        <f>'Cpte exploitation 1+2+3'!$F$60*AM$5</f>
        <v>#REF!</v>
      </c>
      <c r="AQ23" s="85"/>
      <c r="AR23" s="422" t="s">
        <v>1323</v>
      </c>
      <c r="AT23" s="85"/>
      <c r="AU23" s="422" t="s">
        <v>1324</v>
      </c>
    </row>
    <row r="24" spans="1:47" ht="18">
      <c r="A24" s="97"/>
      <c r="B24" s="419" t="str">
        <f>IF('Mode Opératoire'!$I$1="Français",+AR24,AU24)</f>
        <v>Résultat Opérationnel Courant</v>
      </c>
      <c r="C24" s="420"/>
      <c r="D24" s="420" t="e">
        <f>D16+SUM(D18:D23)</f>
        <v>#REF!</v>
      </c>
      <c r="E24" s="420" t="e">
        <f>E16+SUM(E18:E23)</f>
        <v>#REF!</v>
      </c>
      <c r="F24" s="420" t="e">
        <f>F16+SUM(F18:F23)</f>
        <v>#REF!</v>
      </c>
      <c r="G24" s="420" t="e">
        <f t="shared" ref="G24:O24" si="3">G16+SUM(G18:G23)</f>
        <v>#REF!</v>
      </c>
      <c r="H24" s="420" t="e">
        <f t="shared" si="3"/>
        <v>#REF!</v>
      </c>
      <c r="I24" s="420" t="e">
        <f t="shared" si="3"/>
        <v>#REF!</v>
      </c>
      <c r="J24" s="420" t="e">
        <f t="shared" si="3"/>
        <v>#REF!</v>
      </c>
      <c r="K24" s="420" t="e">
        <f t="shared" si="3"/>
        <v>#REF!</v>
      </c>
      <c r="L24" s="420" t="e">
        <f t="shared" si="3"/>
        <v>#REF!</v>
      </c>
      <c r="M24" s="420" t="e">
        <f t="shared" si="3"/>
        <v>#REF!</v>
      </c>
      <c r="N24" s="420" t="e">
        <f t="shared" si="3"/>
        <v>#REF!</v>
      </c>
      <c r="O24" s="420" t="e">
        <f t="shared" si="3"/>
        <v>#REF!</v>
      </c>
      <c r="P24" s="420" t="e">
        <f t="shared" ref="P24:AA24" si="4">P16+SUM(P18:P23)</f>
        <v>#REF!</v>
      </c>
      <c r="Q24" s="420" t="e">
        <f t="shared" si="4"/>
        <v>#REF!</v>
      </c>
      <c r="R24" s="420" t="e">
        <f t="shared" si="4"/>
        <v>#REF!</v>
      </c>
      <c r="S24" s="420" t="e">
        <f t="shared" si="4"/>
        <v>#REF!</v>
      </c>
      <c r="T24" s="420" t="e">
        <f t="shared" si="4"/>
        <v>#REF!</v>
      </c>
      <c r="U24" s="420" t="e">
        <f t="shared" si="4"/>
        <v>#REF!</v>
      </c>
      <c r="V24" s="420" t="e">
        <f t="shared" si="4"/>
        <v>#REF!</v>
      </c>
      <c r="W24" s="420" t="e">
        <f t="shared" si="4"/>
        <v>#REF!</v>
      </c>
      <c r="X24" s="420" t="e">
        <f t="shared" si="4"/>
        <v>#REF!</v>
      </c>
      <c r="Y24" s="420" t="e">
        <f t="shared" si="4"/>
        <v>#REF!</v>
      </c>
      <c r="Z24" s="420" t="e">
        <f t="shared" si="4"/>
        <v>#REF!</v>
      </c>
      <c r="AA24" s="420" t="e">
        <f t="shared" si="4"/>
        <v>#REF!</v>
      </c>
      <c r="AB24" s="420" t="e">
        <f t="shared" ref="AB24:AM24" si="5">AB16+SUM(AB18:AB23)</f>
        <v>#REF!</v>
      </c>
      <c r="AC24" s="420" t="e">
        <f t="shared" si="5"/>
        <v>#REF!</v>
      </c>
      <c r="AD24" s="420" t="e">
        <f t="shared" si="5"/>
        <v>#REF!</v>
      </c>
      <c r="AE24" s="420" t="e">
        <f t="shared" si="5"/>
        <v>#REF!</v>
      </c>
      <c r="AF24" s="420" t="e">
        <f t="shared" si="5"/>
        <v>#REF!</v>
      </c>
      <c r="AG24" s="420" t="e">
        <f t="shared" si="5"/>
        <v>#REF!</v>
      </c>
      <c r="AH24" s="420" t="e">
        <f t="shared" si="5"/>
        <v>#REF!</v>
      </c>
      <c r="AI24" s="420" t="e">
        <f t="shared" si="5"/>
        <v>#REF!</v>
      </c>
      <c r="AJ24" s="420" t="e">
        <f t="shared" si="5"/>
        <v>#REF!</v>
      </c>
      <c r="AK24" s="420" t="e">
        <f t="shared" si="5"/>
        <v>#REF!</v>
      </c>
      <c r="AL24" s="420" t="e">
        <f t="shared" si="5"/>
        <v>#REF!</v>
      </c>
      <c r="AM24" s="420" t="e">
        <f t="shared" si="5"/>
        <v>#REF!</v>
      </c>
      <c r="AQ24" s="97"/>
      <c r="AR24" s="419" t="s">
        <v>148</v>
      </c>
      <c r="AT24" s="97"/>
      <c r="AU24" s="419" t="s">
        <v>94</v>
      </c>
    </row>
    <row r="25" spans="1:47" ht="15">
      <c r="A25" s="107"/>
      <c r="B25" s="423" t="str">
        <f>IF('Mode Opératoire'!$I$1="Français",+AR25,AU25)</f>
        <v>% ROC / ventes</v>
      </c>
      <c r="C25" s="424"/>
      <c r="D25" s="425" t="e">
        <f>IF(SUM(D$9:D$11)&lt;&gt;0,D24/SUM(D$9:D$11),"")</f>
        <v>#REF!</v>
      </c>
      <c r="E25" s="425" t="e">
        <f t="shared" ref="E25:O25" si="6">IF(SUM(E$9:E$11)&lt;&gt;0,E24/SUM(E$9:E$11),"")</f>
        <v>#REF!</v>
      </c>
      <c r="F25" s="425" t="e">
        <f t="shared" si="6"/>
        <v>#REF!</v>
      </c>
      <c r="G25" s="425" t="e">
        <f t="shared" si="6"/>
        <v>#REF!</v>
      </c>
      <c r="H25" s="425" t="e">
        <f t="shared" si="6"/>
        <v>#REF!</v>
      </c>
      <c r="I25" s="425" t="e">
        <f t="shared" si="6"/>
        <v>#REF!</v>
      </c>
      <c r="J25" s="425" t="e">
        <f t="shared" si="6"/>
        <v>#REF!</v>
      </c>
      <c r="K25" s="425" t="e">
        <f t="shared" si="6"/>
        <v>#REF!</v>
      </c>
      <c r="L25" s="425" t="e">
        <f t="shared" si="6"/>
        <v>#REF!</v>
      </c>
      <c r="M25" s="425" t="e">
        <f t="shared" si="6"/>
        <v>#REF!</v>
      </c>
      <c r="N25" s="425" t="e">
        <f t="shared" si="6"/>
        <v>#REF!</v>
      </c>
      <c r="O25" s="425" t="e">
        <f t="shared" si="6"/>
        <v>#REF!</v>
      </c>
      <c r="P25" s="425" t="e">
        <f t="shared" ref="P25:AA25" si="7">IF(SUM(P$9:P$11)&lt;&gt;0,P24/SUM(P$9:P$11),"")</f>
        <v>#REF!</v>
      </c>
      <c r="Q25" s="425" t="e">
        <f t="shared" si="7"/>
        <v>#REF!</v>
      </c>
      <c r="R25" s="425" t="e">
        <f t="shared" si="7"/>
        <v>#REF!</v>
      </c>
      <c r="S25" s="425" t="e">
        <f t="shared" si="7"/>
        <v>#REF!</v>
      </c>
      <c r="T25" s="425" t="e">
        <f t="shared" si="7"/>
        <v>#REF!</v>
      </c>
      <c r="U25" s="425" t="e">
        <f t="shared" si="7"/>
        <v>#REF!</v>
      </c>
      <c r="V25" s="425" t="e">
        <f t="shared" si="7"/>
        <v>#REF!</v>
      </c>
      <c r="W25" s="425" t="e">
        <f t="shared" si="7"/>
        <v>#REF!</v>
      </c>
      <c r="X25" s="425" t="e">
        <f t="shared" si="7"/>
        <v>#REF!</v>
      </c>
      <c r="Y25" s="425" t="e">
        <f t="shared" si="7"/>
        <v>#REF!</v>
      </c>
      <c r="Z25" s="425" t="e">
        <f t="shared" si="7"/>
        <v>#REF!</v>
      </c>
      <c r="AA25" s="425" t="e">
        <f t="shared" si="7"/>
        <v>#REF!</v>
      </c>
      <c r="AB25" s="425" t="e">
        <f t="shared" ref="AB25:AM25" si="8">IF(SUM(AB$9:AB$11)&lt;&gt;0,AB24/SUM(AB$9:AB$11),"")</f>
        <v>#REF!</v>
      </c>
      <c r="AC25" s="425" t="e">
        <f t="shared" si="8"/>
        <v>#REF!</v>
      </c>
      <c r="AD25" s="425" t="e">
        <f t="shared" si="8"/>
        <v>#REF!</v>
      </c>
      <c r="AE25" s="425" t="e">
        <f t="shared" si="8"/>
        <v>#REF!</v>
      </c>
      <c r="AF25" s="425" t="e">
        <f t="shared" si="8"/>
        <v>#REF!</v>
      </c>
      <c r="AG25" s="425" t="e">
        <f t="shared" si="8"/>
        <v>#REF!</v>
      </c>
      <c r="AH25" s="425" t="e">
        <f t="shared" si="8"/>
        <v>#REF!</v>
      </c>
      <c r="AI25" s="425" t="e">
        <f t="shared" si="8"/>
        <v>#REF!</v>
      </c>
      <c r="AJ25" s="425" t="e">
        <f t="shared" si="8"/>
        <v>#REF!</v>
      </c>
      <c r="AK25" s="425" t="e">
        <f t="shared" si="8"/>
        <v>#REF!</v>
      </c>
      <c r="AL25" s="425" t="e">
        <f t="shared" si="8"/>
        <v>#REF!</v>
      </c>
      <c r="AM25" s="425" t="e">
        <f t="shared" si="8"/>
        <v>#REF!</v>
      </c>
      <c r="AQ25" s="107"/>
      <c r="AR25" s="423" t="s">
        <v>156</v>
      </c>
      <c r="AT25" s="107"/>
      <c r="AU25" s="423" t="s">
        <v>848</v>
      </c>
    </row>
    <row r="26" spans="1:47">
      <c r="A26" s="8"/>
      <c r="B26" s="155" t="str">
        <f>IF('Mode Opératoire'!$I$1="Français",+AR26,AU26)</f>
        <v>Ref ROC Groupe : 5%</v>
      </c>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Q26" s="8"/>
      <c r="AR26" s="155" t="s">
        <v>169</v>
      </c>
      <c r="AT26" s="8"/>
      <c r="AU26" s="155" t="s">
        <v>849</v>
      </c>
    </row>
    <row r="27" spans="1:47">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Q27" s="5"/>
      <c r="AR27" s="5"/>
      <c r="AT27" s="5"/>
      <c r="AU27" s="5"/>
    </row>
    <row r="28" spans="1:47" ht="18">
      <c r="A28" s="2831" t="str">
        <f>IF('Mode Opératoire'!$I$1="Français",+AQ28,AT28)</f>
        <v>Besoin en fonds de roulement</v>
      </c>
      <c r="B28" s="2831"/>
      <c r="C28" s="108" t="s">
        <v>25</v>
      </c>
      <c r="D28" s="436">
        <f>Financier!D73</f>
        <v>0.21</v>
      </c>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Q28" s="2831" t="s">
        <v>24</v>
      </c>
      <c r="AR28" s="2831"/>
      <c r="AT28" s="2831" t="s">
        <v>850</v>
      </c>
      <c r="AU28" s="2831"/>
    </row>
    <row r="29" spans="1:47" ht="15">
      <c r="A29" s="85"/>
      <c r="B29" s="287" t="str">
        <f>IF('Mode Opératoire'!$I$1="Français",+AR29,AU29)</f>
        <v>Clients hors groupe</v>
      </c>
      <c r="C29" s="277" t="s">
        <v>18</v>
      </c>
      <c r="D29" s="1100" t="e">
        <f t="shared" ref="D29:AM29" si="9">ROUND(D10*D38/365*(1+$D$28),0)</f>
        <v>#REF!</v>
      </c>
      <c r="E29" s="1097" t="e">
        <f t="shared" si="9"/>
        <v>#REF!</v>
      </c>
      <c r="F29" s="1097" t="e">
        <f t="shared" si="9"/>
        <v>#REF!</v>
      </c>
      <c r="G29" s="1097" t="e">
        <f t="shared" si="9"/>
        <v>#REF!</v>
      </c>
      <c r="H29" s="1097" t="e">
        <f t="shared" si="9"/>
        <v>#REF!</v>
      </c>
      <c r="I29" s="1097" t="e">
        <f t="shared" si="9"/>
        <v>#REF!</v>
      </c>
      <c r="J29" s="1097" t="e">
        <f t="shared" si="9"/>
        <v>#REF!</v>
      </c>
      <c r="K29" s="1097" t="e">
        <f t="shared" si="9"/>
        <v>#REF!</v>
      </c>
      <c r="L29" s="1097" t="e">
        <f t="shared" si="9"/>
        <v>#REF!</v>
      </c>
      <c r="M29" s="1097" t="e">
        <f t="shared" si="9"/>
        <v>#REF!</v>
      </c>
      <c r="N29" s="1097" t="e">
        <f t="shared" si="9"/>
        <v>#REF!</v>
      </c>
      <c r="O29" s="1097" t="e">
        <f t="shared" si="9"/>
        <v>#REF!</v>
      </c>
      <c r="P29" s="1097" t="e">
        <f t="shared" si="9"/>
        <v>#REF!</v>
      </c>
      <c r="Q29" s="1097" t="e">
        <f t="shared" si="9"/>
        <v>#REF!</v>
      </c>
      <c r="R29" s="1097" t="e">
        <f t="shared" si="9"/>
        <v>#REF!</v>
      </c>
      <c r="S29" s="1097" t="e">
        <f t="shared" si="9"/>
        <v>#REF!</v>
      </c>
      <c r="T29" s="1097" t="e">
        <f t="shared" si="9"/>
        <v>#REF!</v>
      </c>
      <c r="U29" s="1097" t="e">
        <f t="shared" si="9"/>
        <v>#REF!</v>
      </c>
      <c r="V29" s="1097" t="e">
        <f t="shared" si="9"/>
        <v>#REF!</v>
      </c>
      <c r="W29" s="1097" t="e">
        <f t="shared" si="9"/>
        <v>#REF!</v>
      </c>
      <c r="X29" s="1097" t="e">
        <f t="shared" si="9"/>
        <v>#REF!</v>
      </c>
      <c r="Y29" s="1097" t="e">
        <f t="shared" si="9"/>
        <v>#REF!</v>
      </c>
      <c r="Z29" s="1097" t="e">
        <f t="shared" si="9"/>
        <v>#REF!</v>
      </c>
      <c r="AA29" s="1097" t="e">
        <f t="shared" si="9"/>
        <v>#REF!</v>
      </c>
      <c r="AB29" s="1097" t="e">
        <f t="shared" si="9"/>
        <v>#REF!</v>
      </c>
      <c r="AC29" s="1097" t="e">
        <f t="shared" si="9"/>
        <v>#REF!</v>
      </c>
      <c r="AD29" s="1097" t="e">
        <f t="shared" si="9"/>
        <v>#REF!</v>
      </c>
      <c r="AE29" s="1097" t="e">
        <f t="shared" si="9"/>
        <v>#REF!</v>
      </c>
      <c r="AF29" s="1097" t="e">
        <f t="shared" si="9"/>
        <v>#REF!</v>
      </c>
      <c r="AG29" s="1097" t="e">
        <f t="shared" si="9"/>
        <v>#REF!</v>
      </c>
      <c r="AH29" s="1097" t="e">
        <f t="shared" si="9"/>
        <v>#REF!</v>
      </c>
      <c r="AI29" s="1097" t="e">
        <f t="shared" si="9"/>
        <v>#REF!</v>
      </c>
      <c r="AJ29" s="1097" t="e">
        <f t="shared" si="9"/>
        <v>#REF!</v>
      </c>
      <c r="AK29" s="1097" t="e">
        <f t="shared" si="9"/>
        <v>#REF!</v>
      </c>
      <c r="AL29" s="1097" t="e">
        <f t="shared" si="9"/>
        <v>#REF!</v>
      </c>
      <c r="AM29" s="1097" t="e">
        <f t="shared" si="9"/>
        <v>#REF!</v>
      </c>
      <c r="AQ29" s="85"/>
      <c r="AR29" s="85" t="s">
        <v>26</v>
      </c>
      <c r="AT29" s="85"/>
      <c r="AU29" s="287" t="s">
        <v>969</v>
      </c>
    </row>
    <row r="30" spans="1:47" ht="15">
      <c r="A30" s="85"/>
      <c r="B30" s="289" t="str">
        <f>IF('Mode Opératoire'!$I$1="Français",+AR30,AU30)</f>
        <v>Clients groupe</v>
      </c>
      <c r="C30" s="278" t="s">
        <v>18</v>
      </c>
      <c r="D30" s="1101" t="e">
        <f t="shared" ref="D30:AM30" si="10">ROUND(D9*D39/365*(1+$D$28),0)</f>
        <v>#REF!</v>
      </c>
      <c r="E30" s="1098" t="e">
        <f t="shared" si="10"/>
        <v>#REF!</v>
      </c>
      <c r="F30" s="1098" t="e">
        <f t="shared" si="10"/>
        <v>#REF!</v>
      </c>
      <c r="G30" s="1098" t="e">
        <f t="shared" si="10"/>
        <v>#REF!</v>
      </c>
      <c r="H30" s="1098" t="e">
        <f t="shared" si="10"/>
        <v>#REF!</v>
      </c>
      <c r="I30" s="1098" t="e">
        <f t="shared" si="10"/>
        <v>#REF!</v>
      </c>
      <c r="J30" s="1098" t="e">
        <f t="shared" si="10"/>
        <v>#REF!</v>
      </c>
      <c r="K30" s="1098" t="e">
        <f t="shared" si="10"/>
        <v>#REF!</v>
      </c>
      <c r="L30" s="1098" t="e">
        <f t="shared" si="10"/>
        <v>#REF!</v>
      </c>
      <c r="M30" s="1098" t="e">
        <f t="shared" si="10"/>
        <v>#REF!</v>
      </c>
      <c r="N30" s="1098" t="e">
        <f t="shared" si="10"/>
        <v>#REF!</v>
      </c>
      <c r="O30" s="1098" t="e">
        <f t="shared" si="10"/>
        <v>#REF!</v>
      </c>
      <c r="P30" s="1098" t="e">
        <f t="shared" si="10"/>
        <v>#REF!</v>
      </c>
      <c r="Q30" s="1098" t="e">
        <f t="shared" si="10"/>
        <v>#REF!</v>
      </c>
      <c r="R30" s="1098" t="e">
        <f t="shared" si="10"/>
        <v>#REF!</v>
      </c>
      <c r="S30" s="1098" t="e">
        <f t="shared" si="10"/>
        <v>#REF!</v>
      </c>
      <c r="T30" s="1098" t="e">
        <f t="shared" si="10"/>
        <v>#REF!</v>
      </c>
      <c r="U30" s="1098" t="e">
        <f t="shared" si="10"/>
        <v>#REF!</v>
      </c>
      <c r="V30" s="1098" t="e">
        <f t="shared" si="10"/>
        <v>#REF!</v>
      </c>
      <c r="W30" s="1098" t="e">
        <f t="shared" si="10"/>
        <v>#REF!</v>
      </c>
      <c r="X30" s="1098" t="e">
        <f t="shared" si="10"/>
        <v>#REF!</v>
      </c>
      <c r="Y30" s="1098" t="e">
        <f t="shared" si="10"/>
        <v>#REF!</v>
      </c>
      <c r="Z30" s="1098" t="e">
        <f t="shared" si="10"/>
        <v>#REF!</v>
      </c>
      <c r="AA30" s="1098" t="e">
        <f t="shared" si="10"/>
        <v>#REF!</v>
      </c>
      <c r="AB30" s="1098" t="e">
        <f t="shared" si="10"/>
        <v>#REF!</v>
      </c>
      <c r="AC30" s="1098" t="e">
        <f t="shared" si="10"/>
        <v>#REF!</v>
      </c>
      <c r="AD30" s="1098" t="e">
        <f t="shared" si="10"/>
        <v>#REF!</v>
      </c>
      <c r="AE30" s="1098" t="e">
        <f t="shared" si="10"/>
        <v>#REF!</v>
      </c>
      <c r="AF30" s="1098" t="e">
        <f t="shared" si="10"/>
        <v>#REF!</v>
      </c>
      <c r="AG30" s="1098" t="e">
        <f t="shared" si="10"/>
        <v>#REF!</v>
      </c>
      <c r="AH30" s="1098" t="e">
        <f t="shared" si="10"/>
        <v>#REF!</v>
      </c>
      <c r="AI30" s="1098" t="e">
        <f t="shared" si="10"/>
        <v>#REF!</v>
      </c>
      <c r="AJ30" s="1098" t="e">
        <f t="shared" si="10"/>
        <v>#REF!</v>
      </c>
      <c r="AK30" s="1098" t="e">
        <f t="shared" si="10"/>
        <v>#REF!</v>
      </c>
      <c r="AL30" s="1098" t="e">
        <f t="shared" si="10"/>
        <v>#REF!</v>
      </c>
      <c r="AM30" s="1098" t="e">
        <f t="shared" si="10"/>
        <v>#REF!</v>
      </c>
      <c r="AQ30" s="85"/>
      <c r="AR30" s="85" t="s">
        <v>27</v>
      </c>
      <c r="AT30" s="85"/>
      <c r="AU30" s="289" t="s">
        <v>972</v>
      </c>
    </row>
    <row r="31" spans="1:47" ht="15">
      <c r="A31" s="85"/>
      <c r="B31" s="289" t="str">
        <f>IF('Mode Opératoire'!$I$1="Français",+AR31,AU31)</f>
        <v>Clients GM</v>
      </c>
      <c r="C31" s="278" t="s">
        <v>18</v>
      </c>
      <c r="D31" s="1101" t="e">
        <f t="shared" ref="D31:AM31" si="11">ROUND(D11*D40/365,0)</f>
        <v>#REF!</v>
      </c>
      <c r="E31" s="1098" t="e">
        <f t="shared" si="11"/>
        <v>#REF!</v>
      </c>
      <c r="F31" s="1098" t="e">
        <f t="shared" si="11"/>
        <v>#REF!</v>
      </c>
      <c r="G31" s="1098" t="e">
        <f t="shared" si="11"/>
        <v>#REF!</v>
      </c>
      <c r="H31" s="1098" t="e">
        <f t="shared" si="11"/>
        <v>#REF!</v>
      </c>
      <c r="I31" s="1098" t="e">
        <f t="shared" si="11"/>
        <v>#REF!</v>
      </c>
      <c r="J31" s="1098" t="e">
        <f t="shared" si="11"/>
        <v>#REF!</v>
      </c>
      <c r="K31" s="1098" t="e">
        <f t="shared" si="11"/>
        <v>#REF!</v>
      </c>
      <c r="L31" s="1098" t="e">
        <f t="shared" si="11"/>
        <v>#REF!</v>
      </c>
      <c r="M31" s="1098" t="e">
        <f t="shared" si="11"/>
        <v>#REF!</v>
      </c>
      <c r="N31" s="1098" t="e">
        <f t="shared" si="11"/>
        <v>#REF!</v>
      </c>
      <c r="O31" s="1098" t="e">
        <f t="shared" si="11"/>
        <v>#REF!</v>
      </c>
      <c r="P31" s="1098" t="e">
        <f t="shared" si="11"/>
        <v>#REF!</v>
      </c>
      <c r="Q31" s="1098" t="e">
        <f t="shared" si="11"/>
        <v>#REF!</v>
      </c>
      <c r="R31" s="1098" t="e">
        <f t="shared" si="11"/>
        <v>#REF!</v>
      </c>
      <c r="S31" s="1098" t="e">
        <f t="shared" si="11"/>
        <v>#REF!</v>
      </c>
      <c r="T31" s="1098" t="e">
        <f t="shared" si="11"/>
        <v>#REF!</v>
      </c>
      <c r="U31" s="1098" t="e">
        <f t="shared" si="11"/>
        <v>#REF!</v>
      </c>
      <c r="V31" s="1098" t="e">
        <f t="shared" si="11"/>
        <v>#REF!</v>
      </c>
      <c r="W31" s="1098" t="e">
        <f t="shared" si="11"/>
        <v>#REF!</v>
      </c>
      <c r="X31" s="1098" t="e">
        <f t="shared" si="11"/>
        <v>#REF!</v>
      </c>
      <c r="Y31" s="1098" t="e">
        <f t="shared" si="11"/>
        <v>#REF!</v>
      </c>
      <c r="Z31" s="1098" t="e">
        <f t="shared" si="11"/>
        <v>#REF!</v>
      </c>
      <c r="AA31" s="1098" t="e">
        <f t="shared" si="11"/>
        <v>#REF!</v>
      </c>
      <c r="AB31" s="1098" t="e">
        <f t="shared" si="11"/>
        <v>#REF!</v>
      </c>
      <c r="AC31" s="1098" t="e">
        <f t="shared" si="11"/>
        <v>#REF!</v>
      </c>
      <c r="AD31" s="1098" t="e">
        <f t="shared" si="11"/>
        <v>#REF!</v>
      </c>
      <c r="AE31" s="1098" t="e">
        <f t="shared" si="11"/>
        <v>#REF!</v>
      </c>
      <c r="AF31" s="1098" t="e">
        <f t="shared" si="11"/>
        <v>#REF!</v>
      </c>
      <c r="AG31" s="1098" t="e">
        <f t="shared" si="11"/>
        <v>#REF!</v>
      </c>
      <c r="AH31" s="1098" t="e">
        <f t="shared" si="11"/>
        <v>#REF!</v>
      </c>
      <c r="AI31" s="1098" t="e">
        <f t="shared" si="11"/>
        <v>#REF!</v>
      </c>
      <c r="AJ31" s="1098" t="e">
        <f t="shared" si="11"/>
        <v>#REF!</v>
      </c>
      <c r="AK31" s="1098" t="e">
        <f t="shared" si="11"/>
        <v>#REF!</v>
      </c>
      <c r="AL31" s="1098" t="e">
        <f t="shared" si="11"/>
        <v>#REF!</v>
      </c>
      <c r="AM31" s="1098" t="e">
        <f t="shared" si="11"/>
        <v>#REF!</v>
      </c>
      <c r="AQ31" s="85"/>
      <c r="AR31" s="85" t="s">
        <v>967</v>
      </c>
      <c r="AT31" s="85"/>
      <c r="AU31" s="289" t="s">
        <v>968</v>
      </c>
    </row>
    <row r="32" spans="1:47" ht="15">
      <c r="A32" s="85"/>
      <c r="B32" s="289" t="str">
        <f>IF('Mode Opératoire'!$I$1="Français",+AR32,AU32)</f>
        <v>Clients RZD</v>
      </c>
      <c r="C32" s="278" t="s">
        <v>18</v>
      </c>
      <c r="D32" s="1101" t="e">
        <f>ROUND(D12*D41/365,0)</f>
        <v>#REF!</v>
      </c>
      <c r="E32" s="1098" t="e">
        <f t="shared" ref="E32:T33" si="12">ROUND(E12*E41/365,0)</f>
        <v>#REF!</v>
      </c>
      <c r="F32" s="1098" t="e">
        <f t="shared" si="12"/>
        <v>#REF!</v>
      </c>
      <c r="G32" s="1098" t="e">
        <f t="shared" si="12"/>
        <v>#REF!</v>
      </c>
      <c r="H32" s="1098" t="e">
        <f t="shared" si="12"/>
        <v>#REF!</v>
      </c>
      <c r="I32" s="1098" t="e">
        <f t="shared" si="12"/>
        <v>#REF!</v>
      </c>
      <c r="J32" s="1098" t="e">
        <f t="shared" si="12"/>
        <v>#REF!</v>
      </c>
      <c r="K32" s="1098" t="e">
        <f t="shared" si="12"/>
        <v>#REF!</v>
      </c>
      <c r="L32" s="1098" t="e">
        <f t="shared" si="12"/>
        <v>#REF!</v>
      </c>
      <c r="M32" s="1098" t="e">
        <f t="shared" si="12"/>
        <v>#REF!</v>
      </c>
      <c r="N32" s="1098" t="e">
        <f t="shared" si="12"/>
        <v>#REF!</v>
      </c>
      <c r="O32" s="1098" t="e">
        <f t="shared" si="12"/>
        <v>#REF!</v>
      </c>
      <c r="P32" s="1098" t="e">
        <f t="shared" si="12"/>
        <v>#REF!</v>
      </c>
      <c r="Q32" s="1098" t="e">
        <f t="shared" si="12"/>
        <v>#REF!</v>
      </c>
      <c r="R32" s="1098" t="e">
        <f t="shared" si="12"/>
        <v>#REF!</v>
      </c>
      <c r="S32" s="1098" t="e">
        <f t="shared" si="12"/>
        <v>#REF!</v>
      </c>
      <c r="T32" s="1098" t="e">
        <f t="shared" si="12"/>
        <v>#REF!</v>
      </c>
      <c r="U32" s="1098" t="e">
        <f t="shared" ref="U32:AM32" si="13">ROUND(U12*U41/365,0)</f>
        <v>#REF!</v>
      </c>
      <c r="V32" s="1098" t="e">
        <f t="shared" si="13"/>
        <v>#REF!</v>
      </c>
      <c r="W32" s="1098" t="e">
        <f t="shared" si="13"/>
        <v>#REF!</v>
      </c>
      <c r="X32" s="1098" t="e">
        <f t="shared" si="13"/>
        <v>#REF!</v>
      </c>
      <c r="Y32" s="1098" t="e">
        <f t="shared" si="13"/>
        <v>#REF!</v>
      </c>
      <c r="Z32" s="1098" t="e">
        <f t="shared" si="13"/>
        <v>#REF!</v>
      </c>
      <c r="AA32" s="1098" t="e">
        <f t="shared" si="13"/>
        <v>#REF!</v>
      </c>
      <c r="AB32" s="1098" t="e">
        <f t="shared" si="13"/>
        <v>#REF!</v>
      </c>
      <c r="AC32" s="1098" t="e">
        <f t="shared" si="13"/>
        <v>#REF!</v>
      </c>
      <c r="AD32" s="1098" t="e">
        <f t="shared" si="13"/>
        <v>#REF!</v>
      </c>
      <c r="AE32" s="1098" t="e">
        <f t="shared" si="13"/>
        <v>#REF!</v>
      </c>
      <c r="AF32" s="1098" t="e">
        <f t="shared" si="13"/>
        <v>#REF!</v>
      </c>
      <c r="AG32" s="1098" t="e">
        <f t="shared" si="13"/>
        <v>#REF!</v>
      </c>
      <c r="AH32" s="1098" t="e">
        <f t="shared" si="13"/>
        <v>#REF!</v>
      </c>
      <c r="AI32" s="1098" t="e">
        <f t="shared" si="13"/>
        <v>#REF!</v>
      </c>
      <c r="AJ32" s="1098" t="e">
        <f t="shared" si="13"/>
        <v>#REF!</v>
      </c>
      <c r="AK32" s="1098" t="e">
        <f t="shared" si="13"/>
        <v>#REF!</v>
      </c>
      <c r="AL32" s="1098" t="e">
        <f t="shared" si="13"/>
        <v>#REF!</v>
      </c>
      <c r="AM32" s="1098" t="e">
        <f t="shared" si="13"/>
        <v>#REF!</v>
      </c>
      <c r="AQ32" s="85"/>
      <c r="AR32" s="85" t="s">
        <v>970</v>
      </c>
      <c r="AT32" s="85"/>
      <c r="AU32" s="291" t="s">
        <v>971</v>
      </c>
    </row>
    <row r="33" spans="1:47" ht="15">
      <c r="A33" s="85"/>
      <c r="B33" s="289" t="str">
        <f>IF('Mode Opératoire'!$I$1="Français",+AR33,AU33)</f>
        <v>Clients Gefco</v>
      </c>
      <c r="C33" s="278" t="s">
        <v>18</v>
      </c>
      <c r="D33" s="1101" t="e">
        <f>ROUND(D13*D42/365,0)</f>
        <v>#REF!</v>
      </c>
      <c r="E33" s="1098" t="e">
        <f t="shared" si="12"/>
        <v>#REF!</v>
      </c>
      <c r="F33" s="1098" t="e">
        <f t="shared" si="12"/>
        <v>#REF!</v>
      </c>
      <c r="G33" s="1098" t="e">
        <f t="shared" si="12"/>
        <v>#REF!</v>
      </c>
      <c r="H33" s="1098" t="e">
        <f t="shared" si="12"/>
        <v>#REF!</v>
      </c>
      <c r="I33" s="1098" t="e">
        <f t="shared" si="12"/>
        <v>#REF!</v>
      </c>
      <c r="J33" s="1098" t="e">
        <f t="shared" si="12"/>
        <v>#REF!</v>
      </c>
      <c r="K33" s="1098" t="e">
        <f t="shared" si="12"/>
        <v>#REF!</v>
      </c>
      <c r="L33" s="1098" t="e">
        <f t="shared" si="12"/>
        <v>#REF!</v>
      </c>
      <c r="M33" s="1098" t="e">
        <f t="shared" si="12"/>
        <v>#REF!</v>
      </c>
      <c r="N33" s="1098" t="e">
        <f t="shared" si="12"/>
        <v>#REF!</v>
      </c>
      <c r="O33" s="1098" t="e">
        <f t="shared" si="12"/>
        <v>#REF!</v>
      </c>
      <c r="P33" s="1098" t="e">
        <f t="shared" si="12"/>
        <v>#REF!</v>
      </c>
      <c r="Q33" s="1098" t="e">
        <f t="shared" si="12"/>
        <v>#REF!</v>
      </c>
      <c r="R33" s="1098" t="e">
        <f t="shared" si="12"/>
        <v>#REF!</v>
      </c>
      <c r="S33" s="1098" t="e">
        <f t="shared" si="12"/>
        <v>#REF!</v>
      </c>
      <c r="T33" s="1098" t="e">
        <f t="shared" si="12"/>
        <v>#REF!</v>
      </c>
      <c r="U33" s="1098" t="e">
        <f t="shared" ref="U33:AM33" si="14">ROUND(U13*U42/365,0)</f>
        <v>#REF!</v>
      </c>
      <c r="V33" s="1098" t="e">
        <f t="shared" si="14"/>
        <v>#REF!</v>
      </c>
      <c r="W33" s="1098" t="e">
        <f t="shared" si="14"/>
        <v>#REF!</v>
      </c>
      <c r="X33" s="1098" t="e">
        <f t="shared" si="14"/>
        <v>#REF!</v>
      </c>
      <c r="Y33" s="1098" t="e">
        <f t="shared" si="14"/>
        <v>#REF!</v>
      </c>
      <c r="Z33" s="1098" t="e">
        <f t="shared" si="14"/>
        <v>#REF!</v>
      </c>
      <c r="AA33" s="1098" t="e">
        <f t="shared" si="14"/>
        <v>#REF!</v>
      </c>
      <c r="AB33" s="1098" t="e">
        <f t="shared" si="14"/>
        <v>#REF!</v>
      </c>
      <c r="AC33" s="1098" t="e">
        <f t="shared" si="14"/>
        <v>#REF!</v>
      </c>
      <c r="AD33" s="1098" t="e">
        <f t="shared" si="14"/>
        <v>#REF!</v>
      </c>
      <c r="AE33" s="1098" t="e">
        <f t="shared" si="14"/>
        <v>#REF!</v>
      </c>
      <c r="AF33" s="1098" t="e">
        <f t="shared" si="14"/>
        <v>#REF!</v>
      </c>
      <c r="AG33" s="1098" t="e">
        <f t="shared" si="14"/>
        <v>#REF!</v>
      </c>
      <c r="AH33" s="1098" t="e">
        <f t="shared" si="14"/>
        <v>#REF!</v>
      </c>
      <c r="AI33" s="1098" t="e">
        <f t="shared" si="14"/>
        <v>#REF!</v>
      </c>
      <c r="AJ33" s="1098" t="e">
        <f t="shared" si="14"/>
        <v>#REF!</v>
      </c>
      <c r="AK33" s="1098" t="e">
        <f t="shared" si="14"/>
        <v>#REF!</v>
      </c>
      <c r="AL33" s="1098" t="e">
        <f t="shared" si="14"/>
        <v>#REF!</v>
      </c>
      <c r="AM33" s="1098" t="e">
        <f t="shared" si="14"/>
        <v>#REF!</v>
      </c>
      <c r="AQ33" s="85"/>
      <c r="AR33" s="85" t="s">
        <v>157</v>
      </c>
      <c r="AT33" s="85"/>
      <c r="AU33" s="291" t="s">
        <v>157</v>
      </c>
    </row>
    <row r="34" spans="1:47" ht="15">
      <c r="B34" s="291" t="str">
        <f>IF('Mode Opératoire'!$I$1="Français",+AR34,AU34)</f>
        <v>Achats</v>
      </c>
      <c r="C34" s="338" t="s">
        <v>20</v>
      </c>
      <c r="D34" s="1102" t="e">
        <f t="shared" ref="D34:AM34" si="15">ROUND(D15*D40/365*(1+$D$28),0)</f>
        <v>#REF!</v>
      </c>
      <c r="E34" s="1099" t="e">
        <f t="shared" si="15"/>
        <v>#REF!</v>
      </c>
      <c r="F34" s="1099" t="e">
        <f t="shared" si="15"/>
        <v>#REF!</v>
      </c>
      <c r="G34" s="1099" t="e">
        <f t="shared" si="15"/>
        <v>#REF!</v>
      </c>
      <c r="H34" s="1099" t="e">
        <f t="shared" si="15"/>
        <v>#REF!</v>
      </c>
      <c r="I34" s="1099" t="e">
        <f t="shared" si="15"/>
        <v>#REF!</v>
      </c>
      <c r="J34" s="1099" t="e">
        <f t="shared" si="15"/>
        <v>#REF!</v>
      </c>
      <c r="K34" s="1099" t="e">
        <f t="shared" si="15"/>
        <v>#REF!</v>
      </c>
      <c r="L34" s="1099" t="e">
        <f t="shared" si="15"/>
        <v>#REF!</v>
      </c>
      <c r="M34" s="1099" t="e">
        <f t="shared" si="15"/>
        <v>#REF!</v>
      </c>
      <c r="N34" s="1099" t="e">
        <f t="shared" si="15"/>
        <v>#REF!</v>
      </c>
      <c r="O34" s="1099" t="e">
        <f t="shared" si="15"/>
        <v>#REF!</v>
      </c>
      <c r="P34" s="1099" t="e">
        <f t="shared" si="15"/>
        <v>#REF!</v>
      </c>
      <c r="Q34" s="1099" t="e">
        <f t="shared" si="15"/>
        <v>#REF!</v>
      </c>
      <c r="R34" s="1099" t="e">
        <f t="shared" si="15"/>
        <v>#REF!</v>
      </c>
      <c r="S34" s="1099" t="e">
        <f t="shared" si="15"/>
        <v>#REF!</v>
      </c>
      <c r="T34" s="1099" t="e">
        <f t="shared" si="15"/>
        <v>#REF!</v>
      </c>
      <c r="U34" s="1099" t="e">
        <f t="shared" si="15"/>
        <v>#REF!</v>
      </c>
      <c r="V34" s="1099" t="e">
        <f t="shared" si="15"/>
        <v>#REF!</v>
      </c>
      <c r="W34" s="1099" t="e">
        <f t="shared" si="15"/>
        <v>#REF!</v>
      </c>
      <c r="X34" s="1099" t="e">
        <f t="shared" si="15"/>
        <v>#REF!</v>
      </c>
      <c r="Y34" s="1099" t="e">
        <f t="shared" si="15"/>
        <v>#REF!</v>
      </c>
      <c r="Z34" s="1099" t="e">
        <f t="shared" si="15"/>
        <v>#REF!</v>
      </c>
      <c r="AA34" s="1099" t="e">
        <f t="shared" si="15"/>
        <v>#REF!</v>
      </c>
      <c r="AB34" s="1099" t="e">
        <f t="shared" si="15"/>
        <v>#REF!</v>
      </c>
      <c r="AC34" s="1099" t="e">
        <f t="shared" si="15"/>
        <v>#REF!</v>
      </c>
      <c r="AD34" s="1099" t="e">
        <f t="shared" si="15"/>
        <v>#REF!</v>
      </c>
      <c r="AE34" s="1099" t="e">
        <f t="shared" si="15"/>
        <v>#REF!</v>
      </c>
      <c r="AF34" s="1099" t="e">
        <f t="shared" si="15"/>
        <v>#REF!</v>
      </c>
      <c r="AG34" s="1099" t="e">
        <f t="shared" si="15"/>
        <v>#REF!</v>
      </c>
      <c r="AH34" s="1099" t="e">
        <f t="shared" si="15"/>
        <v>#REF!</v>
      </c>
      <c r="AI34" s="1099" t="e">
        <f t="shared" si="15"/>
        <v>#REF!</v>
      </c>
      <c r="AJ34" s="1099" t="e">
        <f t="shared" si="15"/>
        <v>#REF!</v>
      </c>
      <c r="AK34" s="1099" t="e">
        <f t="shared" si="15"/>
        <v>#REF!</v>
      </c>
      <c r="AL34" s="1099" t="e">
        <f t="shared" si="15"/>
        <v>#REF!</v>
      </c>
      <c r="AM34" s="1099" t="e">
        <f t="shared" si="15"/>
        <v>#REF!</v>
      </c>
      <c r="AQ34" s="85"/>
      <c r="AR34" s="291" t="s">
        <v>123</v>
      </c>
      <c r="AT34" s="85"/>
      <c r="AU34" s="291" t="s">
        <v>755</v>
      </c>
    </row>
    <row r="35" spans="1:47" ht="18">
      <c r="A35" s="97" t="s">
        <v>123</v>
      </c>
      <c r="B35" s="336" t="str">
        <f>IF('Mode Opératoire'!$I$1="Français",+AR35,AU35)</f>
        <v>BFR d'exploitation</v>
      </c>
      <c r="C35" s="339"/>
      <c r="D35" s="343" t="e">
        <f>ROUND(SUM(D29:D33)+D34,0)</f>
        <v>#REF!</v>
      </c>
      <c r="E35" s="343" t="e">
        <f t="shared" ref="E35:AM35" si="16">ROUND(SUM(E29:E33)+E34,0)</f>
        <v>#REF!</v>
      </c>
      <c r="F35" s="343" t="e">
        <f t="shared" si="16"/>
        <v>#REF!</v>
      </c>
      <c r="G35" s="343" t="e">
        <f t="shared" si="16"/>
        <v>#REF!</v>
      </c>
      <c r="H35" s="343" t="e">
        <f t="shared" si="16"/>
        <v>#REF!</v>
      </c>
      <c r="I35" s="343" t="e">
        <f t="shared" si="16"/>
        <v>#REF!</v>
      </c>
      <c r="J35" s="343" t="e">
        <f t="shared" si="16"/>
        <v>#REF!</v>
      </c>
      <c r="K35" s="343" t="e">
        <f t="shared" si="16"/>
        <v>#REF!</v>
      </c>
      <c r="L35" s="343" t="e">
        <f t="shared" si="16"/>
        <v>#REF!</v>
      </c>
      <c r="M35" s="343" t="e">
        <f t="shared" si="16"/>
        <v>#REF!</v>
      </c>
      <c r="N35" s="343" t="e">
        <f t="shared" si="16"/>
        <v>#REF!</v>
      </c>
      <c r="O35" s="343" t="e">
        <f t="shared" si="16"/>
        <v>#REF!</v>
      </c>
      <c r="P35" s="343" t="e">
        <f t="shared" si="16"/>
        <v>#REF!</v>
      </c>
      <c r="Q35" s="343" t="e">
        <f t="shared" si="16"/>
        <v>#REF!</v>
      </c>
      <c r="R35" s="343" t="e">
        <f t="shared" si="16"/>
        <v>#REF!</v>
      </c>
      <c r="S35" s="343" t="e">
        <f t="shared" si="16"/>
        <v>#REF!</v>
      </c>
      <c r="T35" s="343" t="e">
        <f t="shared" si="16"/>
        <v>#REF!</v>
      </c>
      <c r="U35" s="343" t="e">
        <f t="shared" si="16"/>
        <v>#REF!</v>
      </c>
      <c r="V35" s="343" t="e">
        <f t="shared" si="16"/>
        <v>#REF!</v>
      </c>
      <c r="W35" s="343" t="e">
        <f t="shared" si="16"/>
        <v>#REF!</v>
      </c>
      <c r="X35" s="343" t="e">
        <f t="shared" si="16"/>
        <v>#REF!</v>
      </c>
      <c r="Y35" s="343" t="e">
        <f t="shared" si="16"/>
        <v>#REF!</v>
      </c>
      <c r="Z35" s="343" t="e">
        <f t="shared" si="16"/>
        <v>#REF!</v>
      </c>
      <c r="AA35" s="343" t="e">
        <f t="shared" si="16"/>
        <v>#REF!</v>
      </c>
      <c r="AB35" s="343" t="e">
        <f t="shared" si="16"/>
        <v>#REF!</v>
      </c>
      <c r="AC35" s="343" t="e">
        <f t="shared" si="16"/>
        <v>#REF!</v>
      </c>
      <c r="AD35" s="343" t="e">
        <f t="shared" si="16"/>
        <v>#REF!</v>
      </c>
      <c r="AE35" s="343" t="e">
        <f t="shared" si="16"/>
        <v>#REF!</v>
      </c>
      <c r="AF35" s="343" t="e">
        <f t="shared" si="16"/>
        <v>#REF!</v>
      </c>
      <c r="AG35" s="343" t="e">
        <f t="shared" si="16"/>
        <v>#REF!</v>
      </c>
      <c r="AH35" s="343" t="e">
        <f t="shared" si="16"/>
        <v>#REF!</v>
      </c>
      <c r="AI35" s="343" t="e">
        <f t="shared" si="16"/>
        <v>#REF!</v>
      </c>
      <c r="AJ35" s="343" t="e">
        <f t="shared" si="16"/>
        <v>#REF!</v>
      </c>
      <c r="AK35" s="343" t="e">
        <f t="shared" si="16"/>
        <v>#REF!</v>
      </c>
      <c r="AL35" s="343" t="e">
        <f t="shared" si="16"/>
        <v>#REF!</v>
      </c>
      <c r="AM35" s="343" t="e">
        <f t="shared" si="16"/>
        <v>#REF!</v>
      </c>
      <c r="AQ35" s="97"/>
      <c r="AR35" s="336" t="s">
        <v>166</v>
      </c>
      <c r="AT35" s="97"/>
      <c r="AU35" s="336" t="s">
        <v>851</v>
      </c>
    </row>
    <row r="36" spans="1:47">
      <c r="A36" s="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Q36" s="4"/>
      <c r="AR36" s="5"/>
      <c r="AT36" s="4"/>
      <c r="AU36" s="5"/>
    </row>
    <row r="37" spans="1:47" ht="15.75">
      <c r="A37" s="86"/>
      <c r="B37" s="110" t="str">
        <f>IF('Mode Opératoire'!$I$1="Français",+AR37,AU37)</f>
        <v>Délai de paiement (jours)</v>
      </c>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Q37" s="86"/>
      <c r="AR37" s="110" t="s">
        <v>124</v>
      </c>
      <c r="AT37" s="86"/>
      <c r="AU37" s="110" t="s">
        <v>781</v>
      </c>
    </row>
    <row r="38" spans="1:47" ht="15.75">
      <c r="A38" s="85"/>
      <c r="B38" s="348" t="str">
        <f>IF('Mode Opératoire'!$I$1="Français",+AR38,AU38)</f>
        <v>Clients hors groupe</v>
      </c>
      <c r="C38" s="1105"/>
      <c r="D38" s="2443">
        <v>72</v>
      </c>
      <c r="E38" s="1103">
        <f>D38</f>
        <v>72</v>
      </c>
      <c r="F38" s="1103">
        <f t="shared" ref="F38:AA38" si="17">E38</f>
        <v>72</v>
      </c>
      <c r="G38" s="1103">
        <f>F38</f>
        <v>72</v>
      </c>
      <c r="H38" s="1103">
        <f>G38</f>
        <v>72</v>
      </c>
      <c r="I38" s="1103">
        <f t="shared" si="17"/>
        <v>72</v>
      </c>
      <c r="J38" s="1103">
        <f t="shared" si="17"/>
        <v>72</v>
      </c>
      <c r="K38" s="1103">
        <f t="shared" si="17"/>
        <v>72</v>
      </c>
      <c r="L38" s="1103">
        <f t="shared" si="17"/>
        <v>72</v>
      </c>
      <c r="M38" s="1103">
        <f t="shared" si="17"/>
        <v>72</v>
      </c>
      <c r="N38" s="1103">
        <f t="shared" si="17"/>
        <v>72</v>
      </c>
      <c r="O38" s="1103">
        <f t="shared" si="17"/>
        <v>72</v>
      </c>
      <c r="P38" s="1103">
        <f t="shared" si="17"/>
        <v>72</v>
      </c>
      <c r="Q38" s="1103">
        <f t="shared" si="17"/>
        <v>72</v>
      </c>
      <c r="R38" s="1103">
        <f t="shared" si="17"/>
        <v>72</v>
      </c>
      <c r="S38" s="1103">
        <f t="shared" si="17"/>
        <v>72</v>
      </c>
      <c r="T38" s="1103">
        <f t="shared" si="17"/>
        <v>72</v>
      </c>
      <c r="U38" s="1103">
        <f t="shared" si="17"/>
        <v>72</v>
      </c>
      <c r="V38" s="1103">
        <f t="shared" si="17"/>
        <v>72</v>
      </c>
      <c r="W38" s="1103">
        <f t="shared" si="17"/>
        <v>72</v>
      </c>
      <c r="X38" s="1103">
        <f t="shared" si="17"/>
        <v>72</v>
      </c>
      <c r="Y38" s="1103">
        <f t="shared" si="17"/>
        <v>72</v>
      </c>
      <c r="Z38" s="1103">
        <f t="shared" si="17"/>
        <v>72</v>
      </c>
      <c r="AA38" s="1103">
        <f t="shared" si="17"/>
        <v>72</v>
      </c>
      <c r="AB38" s="1103">
        <f t="shared" ref="AB38:AM38" si="18">AA38</f>
        <v>72</v>
      </c>
      <c r="AC38" s="1103">
        <f t="shared" si="18"/>
        <v>72</v>
      </c>
      <c r="AD38" s="1103">
        <f t="shared" si="18"/>
        <v>72</v>
      </c>
      <c r="AE38" s="1103">
        <f t="shared" si="18"/>
        <v>72</v>
      </c>
      <c r="AF38" s="1103">
        <f t="shared" si="18"/>
        <v>72</v>
      </c>
      <c r="AG38" s="1103">
        <f t="shared" si="18"/>
        <v>72</v>
      </c>
      <c r="AH38" s="1103">
        <f t="shared" si="18"/>
        <v>72</v>
      </c>
      <c r="AI38" s="1103">
        <f t="shared" si="18"/>
        <v>72</v>
      </c>
      <c r="AJ38" s="1103">
        <f t="shared" si="18"/>
        <v>72</v>
      </c>
      <c r="AK38" s="1103">
        <f t="shared" si="18"/>
        <v>72</v>
      </c>
      <c r="AL38" s="1103">
        <f t="shared" si="18"/>
        <v>72</v>
      </c>
      <c r="AM38" s="1103">
        <f t="shared" si="18"/>
        <v>72</v>
      </c>
      <c r="AQ38" s="85"/>
      <c r="AR38" s="348" t="s">
        <v>26</v>
      </c>
      <c r="AT38" s="85"/>
      <c r="AU38" s="348" t="s">
        <v>969</v>
      </c>
    </row>
    <row r="39" spans="1:47" ht="15.75">
      <c r="A39" s="85"/>
      <c r="B39" s="351" t="str">
        <f>IF('Mode Opératoire'!$I$1="Français",+AR39,AU39)</f>
        <v>Clients groupe</v>
      </c>
      <c r="C39" s="1106"/>
      <c r="D39" s="2444">
        <v>60</v>
      </c>
      <c r="E39" s="1104">
        <f>D39</f>
        <v>60</v>
      </c>
      <c r="F39" s="1104">
        <f t="shared" ref="F39:AA39" si="19">E39</f>
        <v>60</v>
      </c>
      <c r="G39" s="1104">
        <f t="shared" si="19"/>
        <v>60</v>
      </c>
      <c r="H39" s="1104">
        <f t="shared" si="19"/>
        <v>60</v>
      </c>
      <c r="I39" s="1104">
        <f t="shared" si="19"/>
        <v>60</v>
      </c>
      <c r="J39" s="1104">
        <f t="shared" si="19"/>
        <v>60</v>
      </c>
      <c r="K39" s="1104">
        <f t="shared" si="19"/>
        <v>60</v>
      </c>
      <c r="L39" s="1104">
        <f t="shared" si="19"/>
        <v>60</v>
      </c>
      <c r="M39" s="1104">
        <f t="shared" si="19"/>
        <v>60</v>
      </c>
      <c r="N39" s="1104">
        <f t="shared" si="19"/>
        <v>60</v>
      </c>
      <c r="O39" s="1104">
        <f t="shared" si="19"/>
        <v>60</v>
      </c>
      <c r="P39" s="1104">
        <f t="shared" si="19"/>
        <v>60</v>
      </c>
      <c r="Q39" s="1104">
        <f t="shared" si="19"/>
        <v>60</v>
      </c>
      <c r="R39" s="1104">
        <f t="shared" si="19"/>
        <v>60</v>
      </c>
      <c r="S39" s="1104">
        <f t="shared" si="19"/>
        <v>60</v>
      </c>
      <c r="T39" s="1104">
        <f t="shared" si="19"/>
        <v>60</v>
      </c>
      <c r="U39" s="1104">
        <f t="shared" si="19"/>
        <v>60</v>
      </c>
      <c r="V39" s="1104">
        <f t="shared" si="19"/>
        <v>60</v>
      </c>
      <c r="W39" s="1104">
        <f t="shared" si="19"/>
        <v>60</v>
      </c>
      <c r="X39" s="1104">
        <f t="shared" si="19"/>
        <v>60</v>
      </c>
      <c r="Y39" s="1104">
        <f t="shared" si="19"/>
        <v>60</v>
      </c>
      <c r="Z39" s="1104">
        <f t="shared" si="19"/>
        <v>60</v>
      </c>
      <c r="AA39" s="1104">
        <f t="shared" si="19"/>
        <v>60</v>
      </c>
      <c r="AB39" s="1104">
        <f t="shared" ref="AB39:AM39" si="20">AA39</f>
        <v>60</v>
      </c>
      <c r="AC39" s="1104">
        <f t="shared" si="20"/>
        <v>60</v>
      </c>
      <c r="AD39" s="1104">
        <f t="shared" si="20"/>
        <v>60</v>
      </c>
      <c r="AE39" s="1104">
        <f t="shared" si="20"/>
        <v>60</v>
      </c>
      <c r="AF39" s="1104">
        <f t="shared" si="20"/>
        <v>60</v>
      </c>
      <c r="AG39" s="1104">
        <f t="shared" si="20"/>
        <v>60</v>
      </c>
      <c r="AH39" s="1104">
        <f t="shared" si="20"/>
        <v>60</v>
      </c>
      <c r="AI39" s="1104">
        <f t="shared" si="20"/>
        <v>60</v>
      </c>
      <c r="AJ39" s="1104">
        <f t="shared" si="20"/>
        <v>60</v>
      </c>
      <c r="AK39" s="1104">
        <f t="shared" si="20"/>
        <v>60</v>
      </c>
      <c r="AL39" s="1104">
        <f t="shared" si="20"/>
        <v>60</v>
      </c>
      <c r="AM39" s="1104">
        <f t="shared" si="20"/>
        <v>60</v>
      </c>
      <c r="AQ39" s="85"/>
      <c r="AR39" s="351" t="s">
        <v>27</v>
      </c>
      <c r="AT39" s="85"/>
      <c r="AU39" s="351" t="s">
        <v>972</v>
      </c>
    </row>
    <row r="40" spans="1:47" ht="15.75">
      <c r="A40" s="85"/>
      <c r="B40" s="351" t="str">
        <f>IF('Mode Opératoire'!$I$1="Français",+AR40,AU40)</f>
        <v>Clients GM</v>
      </c>
      <c r="C40" s="1106"/>
      <c r="D40" s="2444">
        <v>54</v>
      </c>
      <c r="E40" s="1104">
        <f>D40</f>
        <v>54</v>
      </c>
      <c r="F40" s="1104">
        <f t="shared" ref="F40:AA42" si="21">E40</f>
        <v>54</v>
      </c>
      <c r="G40" s="1104">
        <f t="shared" si="21"/>
        <v>54</v>
      </c>
      <c r="H40" s="1104">
        <f t="shared" si="21"/>
        <v>54</v>
      </c>
      <c r="I40" s="1104">
        <f t="shared" si="21"/>
        <v>54</v>
      </c>
      <c r="J40" s="1104">
        <f t="shared" si="21"/>
        <v>54</v>
      </c>
      <c r="K40" s="1104">
        <f t="shared" si="21"/>
        <v>54</v>
      </c>
      <c r="L40" s="1104">
        <f t="shared" si="21"/>
        <v>54</v>
      </c>
      <c r="M40" s="1104">
        <f t="shared" si="21"/>
        <v>54</v>
      </c>
      <c r="N40" s="1104">
        <f t="shared" si="21"/>
        <v>54</v>
      </c>
      <c r="O40" s="1104">
        <f t="shared" si="21"/>
        <v>54</v>
      </c>
      <c r="P40" s="1104">
        <f t="shared" si="21"/>
        <v>54</v>
      </c>
      <c r="Q40" s="1104">
        <f t="shared" si="21"/>
        <v>54</v>
      </c>
      <c r="R40" s="1104">
        <f t="shared" si="21"/>
        <v>54</v>
      </c>
      <c r="S40" s="1104">
        <f t="shared" si="21"/>
        <v>54</v>
      </c>
      <c r="T40" s="1104">
        <f t="shared" si="21"/>
        <v>54</v>
      </c>
      <c r="U40" s="1104">
        <f t="shared" si="21"/>
        <v>54</v>
      </c>
      <c r="V40" s="1104">
        <f t="shared" si="21"/>
        <v>54</v>
      </c>
      <c r="W40" s="1104">
        <f t="shared" si="21"/>
        <v>54</v>
      </c>
      <c r="X40" s="1104">
        <f t="shared" si="21"/>
        <v>54</v>
      </c>
      <c r="Y40" s="1104">
        <f t="shared" si="21"/>
        <v>54</v>
      </c>
      <c r="Z40" s="1104">
        <f t="shared" si="21"/>
        <v>54</v>
      </c>
      <c r="AA40" s="1104">
        <f t="shared" si="21"/>
        <v>54</v>
      </c>
      <c r="AB40" s="1104">
        <f t="shared" ref="AB40:AM40" si="22">AA40</f>
        <v>54</v>
      </c>
      <c r="AC40" s="1104">
        <f t="shared" si="22"/>
        <v>54</v>
      </c>
      <c r="AD40" s="1104">
        <f t="shared" si="22"/>
        <v>54</v>
      </c>
      <c r="AE40" s="1104">
        <f t="shared" si="22"/>
        <v>54</v>
      </c>
      <c r="AF40" s="1104">
        <f t="shared" si="22"/>
        <v>54</v>
      </c>
      <c r="AG40" s="1104">
        <f t="shared" si="22"/>
        <v>54</v>
      </c>
      <c r="AH40" s="1104">
        <f t="shared" si="22"/>
        <v>54</v>
      </c>
      <c r="AI40" s="1104">
        <f t="shared" si="22"/>
        <v>54</v>
      </c>
      <c r="AJ40" s="1104">
        <f t="shared" si="22"/>
        <v>54</v>
      </c>
      <c r="AK40" s="1104">
        <f t="shared" si="22"/>
        <v>54</v>
      </c>
      <c r="AL40" s="1104">
        <f t="shared" si="22"/>
        <v>54</v>
      </c>
      <c r="AM40" s="1104">
        <f t="shared" si="22"/>
        <v>54</v>
      </c>
      <c r="AQ40" s="85"/>
      <c r="AR40" s="351" t="s">
        <v>967</v>
      </c>
      <c r="AT40" s="85"/>
      <c r="AU40" s="351" t="s">
        <v>968</v>
      </c>
    </row>
    <row r="41" spans="1:47" ht="15.75">
      <c r="A41" s="85"/>
      <c r="B41" s="429" t="str">
        <f>IF('Mode Opératoire'!$I$1="Français",+AR41,AU41)</f>
        <v>Clients RZD</v>
      </c>
      <c r="C41" s="1106"/>
      <c r="D41" s="2444">
        <v>0</v>
      </c>
      <c r="E41" s="1104">
        <f>D41</f>
        <v>0</v>
      </c>
      <c r="F41" s="1104">
        <f t="shared" si="21"/>
        <v>0</v>
      </c>
      <c r="G41" s="1104">
        <f t="shared" si="21"/>
        <v>0</v>
      </c>
      <c r="H41" s="1104">
        <f t="shared" si="21"/>
        <v>0</v>
      </c>
      <c r="I41" s="1104">
        <f t="shared" si="21"/>
        <v>0</v>
      </c>
      <c r="J41" s="1104">
        <f t="shared" si="21"/>
        <v>0</v>
      </c>
      <c r="K41" s="1104">
        <f t="shared" si="21"/>
        <v>0</v>
      </c>
      <c r="L41" s="1104">
        <f t="shared" si="21"/>
        <v>0</v>
      </c>
      <c r="M41" s="1104">
        <f t="shared" si="21"/>
        <v>0</v>
      </c>
      <c r="N41" s="1104">
        <f t="shared" si="21"/>
        <v>0</v>
      </c>
      <c r="O41" s="1104">
        <f t="shared" si="21"/>
        <v>0</v>
      </c>
      <c r="P41" s="1104">
        <f t="shared" si="21"/>
        <v>0</v>
      </c>
      <c r="Q41" s="1104">
        <f t="shared" si="21"/>
        <v>0</v>
      </c>
      <c r="R41" s="1104">
        <f t="shared" si="21"/>
        <v>0</v>
      </c>
      <c r="S41" s="1104">
        <f t="shared" si="21"/>
        <v>0</v>
      </c>
      <c r="T41" s="1104">
        <f t="shared" si="21"/>
        <v>0</v>
      </c>
      <c r="U41" s="1104">
        <f t="shared" si="21"/>
        <v>0</v>
      </c>
      <c r="V41" s="1104">
        <f t="shared" si="21"/>
        <v>0</v>
      </c>
      <c r="W41" s="1104">
        <f t="shared" si="21"/>
        <v>0</v>
      </c>
      <c r="X41" s="1104">
        <f t="shared" si="21"/>
        <v>0</v>
      </c>
      <c r="Y41" s="1104">
        <f t="shared" si="21"/>
        <v>0</v>
      </c>
      <c r="Z41" s="1104">
        <f t="shared" si="21"/>
        <v>0</v>
      </c>
      <c r="AA41" s="1104">
        <f t="shared" si="21"/>
        <v>0</v>
      </c>
      <c r="AB41" s="1104">
        <f t="shared" ref="AB41:AM41" si="23">AA41</f>
        <v>0</v>
      </c>
      <c r="AC41" s="1104">
        <f t="shared" si="23"/>
        <v>0</v>
      </c>
      <c r="AD41" s="1104">
        <f t="shared" si="23"/>
        <v>0</v>
      </c>
      <c r="AE41" s="1104">
        <f t="shared" si="23"/>
        <v>0</v>
      </c>
      <c r="AF41" s="1104">
        <f t="shared" si="23"/>
        <v>0</v>
      </c>
      <c r="AG41" s="1104">
        <f t="shared" si="23"/>
        <v>0</v>
      </c>
      <c r="AH41" s="1104">
        <f t="shared" si="23"/>
        <v>0</v>
      </c>
      <c r="AI41" s="1104">
        <f t="shared" si="23"/>
        <v>0</v>
      </c>
      <c r="AJ41" s="1104">
        <f t="shared" si="23"/>
        <v>0</v>
      </c>
      <c r="AK41" s="1104">
        <f t="shared" si="23"/>
        <v>0</v>
      </c>
      <c r="AL41" s="1104">
        <f t="shared" si="23"/>
        <v>0</v>
      </c>
      <c r="AM41" s="1104">
        <f t="shared" si="23"/>
        <v>0</v>
      </c>
      <c r="AQ41" s="85"/>
      <c r="AR41" s="429" t="s">
        <v>970</v>
      </c>
      <c r="AT41" s="85"/>
      <c r="AU41" s="429" t="s">
        <v>971</v>
      </c>
    </row>
    <row r="42" spans="1:47" ht="15.75">
      <c r="A42" s="85"/>
      <c r="B42" s="429" t="str">
        <f>IF('Mode Opératoire'!$I$1="Français",+AR42,AU42)</f>
        <v>Fournisseurs</v>
      </c>
      <c r="C42" s="1107"/>
      <c r="D42" s="2444">
        <v>0</v>
      </c>
      <c r="E42" s="1104">
        <f>D42</f>
        <v>0</v>
      </c>
      <c r="F42" s="1104">
        <f t="shared" si="21"/>
        <v>0</v>
      </c>
      <c r="G42" s="1104">
        <f t="shared" si="21"/>
        <v>0</v>
      </c>
      <c r="H42" s="1104">
        <f t="shared" si="21"/>
        <v>0</v>
      </c>
      <c r="I42" s="1104">
        <f t="shared" si="21"/>
        <v>0</v>
      </c>
      <c r="J42" s="1104">
        <f t="shared" si="21"/>
        <v>0</v>
      </c>
      <c r="K42" s="1104">
        <f t="shared" si="21"/>
        <v>0</v>
      </c>
      <c r="L42" s="1104">
        <f t="shared" si="21"/>
        <v>0</v>
      </c>
      <c r="M42" s="1104">
        <f t="shared" si="21"/>
        <v>0</v>
      </c>
      <c r="N42" s="1104">
        <f t="shared" si="21"/>
        <v>0</v>
      </c>
      <c r="O42" s="1104">
        <f t="shared" si="21"/>
        <v>0</v>
      </c>
      <c r="P42" s="1104">
        <f t="shared" si="21"/>
        <v>0</v>
      </c>
      <c r="Q42" s="1104">
        <f t="shared" si="21"/>
        <v>0</v>
      </c>
      <c r="R42" s="1104">
        <f t="shared" si="21"/>
        <v>0</v>
      </c>
      <c r="S42" s="1104">
        <f t="shared" si="21"/>
        <v>0</v>
      </c>
      <c r="T42" s="1104">
        <f t="shared" si="21"/>
        <v>0</v>
      </c>
      <c r="U42" s="1104">
        <f t="shared" si="21"/>
        <v>0</v>
      </c>
      <c r="V42" s="1104">
        <f t="shared" si="21"/>
        <v>0</v>
      </c>
      <c r="W42" s="1104">
        <f t="shared" si="21"/>
        <v>0</v>
      </c>
      <c r="X42" s="1104">
        <f t="shared" si="21"/>
        <v>0</v>
      </c>
      <c r="Y42" s="1104">
        <f t="shared" si="21"/>
        <v>0</v>
      </c>
      <c r="Z42" s="1104">
        <f t="shared" si="21"/>
        <v>0</v>
      </c>
      <c r="AA42" s="1104">
        <f t="shared" si="21"/>
        <v>0</v>
      </c>
      <c r="AB42" s="1104">
        <f t="shared" ref="AB42:AM42" si="24">AA42</f>
        <v>0</v>
      </c>
      <c r="AC42" s="1104">
        <f t="shared" si="24"/>
        <v>0</v>
      </c>
      <c r="AD42" s="1104">
        <f t="shared" si="24"/>
        <v>0</v>
      </c>
      <c r="AE42" s="1104">
        <f t="shared" si="24"/>
        <v>0</v>
      </c>
      <c r="AF42" s="1104">
        <f t="shared" si="24"/>
        <v>0</v>
      </c>
      <c r="AG42" s="1104">
        <f t="shared" si="24"/>
        <v>0</v>
      </c>
      <c r="AH42" s="1104">
        <f t="shared" si="24"/>
        <v>0</v>
      </c>
      <c r="AI42" s="1104">
        <f t="shared" si="24"/>
        <v>0</v>
      </c>
      <c r="AJ42" s="1104">
        <f t="shared" si="24"/>
        <v>0</v>
      </c>
      <c r="AK42" s="1104">
        <f t="shared" si="24"/>
        <v>0</v>
      </c>
      <c r="AL42" s="1104">
        <f t="shared" si="24"/>
        <v>0</v>
      </c>
      <c r="AM42" s="1104">
        <f t="shared" si="24"/>
        <v>0</v>
      </c>
      <c r="AQ42" s="85"/>
      <c r="AR42" s="429" t="s">
        <v>125</v>
      </c>
      <c r="AT42" s="85"/>
      <c r="AU42" s="429" t="s">
        <v>782</v>
      </c>
    </row>
    <row r="43" spans="1:47" ht="15">
      <c r="A43" s="5"/>
      <c r="B43" s="11"/>
      <c r="C43" s="40"/>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Q43" s="5"/>
      <c r="AR43" s="11"/>
      <c r="AT43" s="5"/>
      <c r="AU43" s="11"/>
    </row>
    <row r="44" spans="1:47" ht="15.75">
      <c r="A44" s="5"/>
      <c r="B44" s="1114"/>
      <c r="C44" s="1115" t="s">
        <v>220</v>
      </c>
      <c r="D44" s="431">
        <v>-30</v>
      </c>
      <c r="E44" s="431">
        <v>0</v>
      </c>
      <c r="F44" s="431">
        <v>30</v>
      </c>
      <c r="G44" s="431">
        <v>60</v>
      </c>
      <c r="H44" s="432">
        <v>90</v>
      </c>
      <c r="I44" s="1111"/>
      <c r="J44" s="433">
        <v>360</v>
      </c>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Q44" s="5"/>
      <c r="AR44" s="1114"/>
      <c r="AT44" s="5"/>
      <c r="AU44" s="1114"/>
    </row>
    <row r="45" spans="1:47" ht="15.75">
      <c r="A45" s="5"/>
      <c r="B45" s="430" t="str">
        <f>IF('Mode Opératoire'!$I$1="Français",+AR45,AU45)</f>
        <v>Cash in hypothesis</v>
      </c>
      <c r="C45" s="1116" t="s">
        <v>218</v>
      </c>
      <c r="D45" s="1117" t="s">
        <v>213</v>
      </c>
      <c r="E45" s="1117" t="s">
        <v>214</v>
      </c>
      <c r="F45" s="1117" t="s">
        <v>215</v>
      </c>
      <c r="G45" s="1117" t="s">
        <v>216</v>
      </c>
      <c r="H45" s="1118" t="s">
        <v>217</v>
      </c>
      <c r="I45" s="1111"/>
      <c r="J45" s="1119" t="s">
        <v>219</v>
      </c>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Q45" s="5"/>
      <c r="AR45" s="430" t="s">
        <v>212</v>
      </c>
      <c r="AT45" s="5"/>
      <c r="AU45" s="430" t="s">
        <v>212</v>
      </c>
    </row>
    <row r="46" spans="1:47" ht="15">
      <c r="A46" s="5"/>
      <c r="B46" s="359" t="str">
        <f>IF('Mode Opératoire'!$I$1="Français",+AR46,AU46)</f>
        <v>Clients hors groupe</v>
      </c>
      <c r="C46" s="1120">
        <f t="shared" ref="C46:C54" si="25">SUM(D46:J46)</f>
        <v>1</v>
      </c>
      <c r="D46" s="2445">
        <v>0</v>
      </c>
      <c r="E46" s="2446">
        <v>0</v>
      </c>
      <c r="F46" s="2446">
        <v>0</v>
      </c>
      <c r="G46" s="2446">
        <v>0.8</v>
      </c>
      <c r="H46" s="2447">
        <v>0.2</v>
      </c>
      <c r="I46" s="1111"/>
      <c r="J46" s="1122">
        <v>0</v>
      </c>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Q46" s="5"/>
      <c r="AR46" s="85" t="s">
        <v>26</v>
      </c>
      <c r="AT46" s="5"/>
      <c r="AU46" s="287" t="s">
        <v>969</v>
      </c>
    </row>
    <row r="47" spans="1:47" ht="15">
      <c r="A47" s="5"/>
      <c r="B47" s="360" t="str">
        <f>IF('Mode Opératoire'!$I$1="Français",+AR47,AU47)</f>
        <v>Clients groupe</v>
      </c>
      <c r="C47" s="1120">
        <f t="shared" si="25"/>
        <v>0.99999999999999989</v>
      </c>
      <c r="D47" s="2448">
        <v>0</v>
      </c>
      <c r="E47" s="2449">
        <v>0</v>
      </c>
      <c r="F47" s="2449">
        <v>0.3</v>
      </c>
      <c r="G47" s="2449">
        <v>0.6</v>
      </c>
      <c r="H47" s="2450">
        <v>0.1</v>
      </c>
      <c r="I47" s="1111"/>
      <c r="J47" s="1123">
        <v>0</v>
      </c>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Q47" s="5"/>
      <c r="AR47" s="85" t="s">
        <v>27</v>
      </c>
      <c r="AT47" s="5"/>
      <c r="AU47" s="289" t="s">
        <v>972</v>
      </c>
    </row>
    <row r="48" spans="1:47" ht="15">
      <c r="A48" s="5"/>
      <c r="B48" s="360" t="str">
        <f>IF('Mode Opératoire'!$I$1="Français",+AR48,AU48)</f>
        <v>Clients GM</v>
      </c>
      <c r="C48" s="1120">
        <f t="shared" si="25"/>
        <v>0.99999999999999989</v>
      </c>
      <c r="D48" s="2448">
        <v>0</v>
      </c>
      <c r="E48" s="2449">
        <v>0</v>
      </c>
      <c r="F48" s="2449">
        <v>0.3</v>
      </c>
      <c r="G48" s="2449">
        <v>0.6</v>
      </c>
      <c r="H48" s="2450">
        <v>0.1</v>
      </c>
      <c r="I48" s="1111"/>
      <c r="J48" s="1123">
        <v>0</v>
      </c>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Q48" s="5"/>
      <c r="AR48" s="85" t="s">
        <v>967</v>
      </c>
      <c r="AT48" s="5"/>
      <c r="AU48" s="289" t="s">
        <v>968</v>
      </c>
    </row>
    <row r="49" spans="1:47" ht="15">
      <c r="A49" s="5"/>
      <c r="B49" s="360" t="str">
        <f>IF('Mode Opératoire'!$I$1="Français",+AR49,AU49)</f>
        <v>Clients RZD</v>
      </c>
      <c r="C49" s="1120">
        <f t="shared" si="25"/>
        <v>0.99999999999999989</v>
      </c>
      <c r="D49" s="2448">
        <v>0</v>
      </c>
      <c r="E49" s="2449">
        <v>0</v>
      </c>
      <c r="F49" s="2449">
        <v>0.3</v>
      </c>
      <c r="G49" s="2449">
        <v>0.6</v>
      </c>
      <c r="H49" s="2450">
        <v>0.1</v>
      </c>
      <c r="I49" s="1111"/>
      <c r="J49" s="1123">
        <v>0</v>
      </c>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Q49" s="5"/>
      <c r="AR49" s="85" t="s">
        <v>970</v>
      </c>
      <c r="AT49" s="5"/>
      <c r="AU49" s="291" t="s">
        <v>971</v>
      </c>
    </row>
    <row r="50" spans="1:47" ht="15">
      <c r="A50" s="5"/>
      <c r="B50" s="360" t="str">
        <f>IF('Mode Opératoire'!$I$1="Français",+AR50,AU50)</f>
        <v>Fournisseurs</v>
      </c>
      <c r="C50" s="1120">
        <f>SUM(D50:J50)</f>
        <v>1</v>
      </c>
      <c r="D50" s="2448">
        <v>0</v>
      </c>
      <c r="E50" s="2449">
        <v>0.2</v>
      </c>
      <c r="F50" s="2449">
        <v>0.3</v>
      </c>
      <c r="G50" s="2449">
        <v>0.4</v>
      </c>
      <c r="H50" s="2450">
        <v>0.1</v>
      </c>
      <c r="I50" s="1111"/>
      <c r="J50" s="1123">
        <v>0</v>
      </c>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Q50" s="5"/>
      <c r="AR50" s="360" t="s">
        <v>125</v>
      </c>
      <c r="AT50" s="5"/>
      <c r="AU50" s="360" t="s">
        <v>782</v>
      </c>
    </row>
    <row r="51" spans="1:47" ht="15">
      <c r="A51" s="5"/>
      <c r="B51" s="1112" t="str">
        <f>IF('Mode Opératoire'!$I$1="Français",+AR51,AU51)</f>
        <v>Personnel</v>
      </c>
      <c r="C51" s="1120">
        <f t="shared" si="25"/>
        <v>1</v>
      </c>
      <c r="D51" s="2448">
        <v>0</v>
      </c>
      <c r="E51" s="2449">
        <v>1</v>
      </c>
      <c r="F51" s="2449">
        <v>0</v>
      </c>
      <c r="G51" s="2449">
        <v>0</v>
      </c>
      <c r="H51" s="2450">
        <v>0</v>
      </c>
      <c r="I51" s="1111"/>
      <c r="J51" s="1123">
        <v>0</v>
      </c>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Q51" s="5"/>
      <c r="AR51" s="1112" t="s">
        <v>210</v>
      </c>
      <c r="AT51" s="5"/>
      <c r="AU51" s="1112" t="s">
        <v>210</v>
      </c>
    </row>
    <row r="52" spans="1:47" ht="15">
      <c r="A52" s="5"/>
      <c r="B52" s="1112" t="str">
        <f>IF('Mode Opératoire'!$I$1="Français",+AR52,AU52)</f>
        <v>Frais d'agence</v>
      </c>
      <c r="C52" s="1120">
        <f t="shared" si="25"/>
        <v>1</v>
      </c>
      <c r="D52" s="2448">
        <v>0</v>
      </c>
      <c r="E52" s="2449">
        <v>1</v>
      </c>
      <c r="F52" s="2449">
        <v>0</v>
      </c>
      <c r="G52" s="2449">
        <v>0</v>
      </c>
      <c r="H52" s="2450">
        <v>0</v>
      </c>
      <c r="I52" s="1111"/>
      <c r="J52" s="1123">
        <v>0</v>
      </c>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Q52" s="5"/>
      <c r="AR52" s="1112" t="s">
        <v>119</v>
      </c>
      <c r="AT52" s="5"/>
      <c r="AU52" s="1112" t="s">
        <v>92</v>
      </c>
    </row>
    <row r="53" spans="1:47" ht="15">
      <c r="A53" s="5"/>
      <c r="B53" s="1112" t="str">
        <f>IF('Mode Opératoire'!$I$1="Français",+AR53,AU53)</f>
        <v>Frais de siège opérationnel</v>
      </c>
      <c r="C53" s="1120">
        <f t="shared" si="25"/>
        <v>1</v>
      </c>
      <c r="D53" s="2448">
        <v>0</v>
      </c>
      <c r="E53" s="2449">
        <v>1</v>
      </c>
      <c r="F53" s="2449">
        <v>0</v>
      </c>
      <c r="G53" s="2449">
        <v>0</v>
      </c>
      <c r="H53" s="2450">
        <v>0</v>
      </c>
      <c r="I53" s="1111"/>
      <c r="J53" s="1123">
        <v>0</v>
      </c>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Q53" s="5"/>
      <c r="AR53" s="417" t="s">
        <v>1322</v>
      </c>
      <c r="AT53" s="85"/>
      <c r="AU53" s="417" t="s">
        <v>957</v>
      </c>
    </row>
    <row r="54" spans="1:47" ht="15">
      <c r="A54" s="5"/>
      <c r="B54" s="1113" t="str">
        <f>IF('Mode Opératoire'!$I$1="Français",+AR54,AU54)</f>
        <v>Frais de Groupe</v>
      </c>
      <c r="C54" s="1121">
        <f t="shared" si="25"/>
        <v>1</v>
      </c>
      <c r="D54" s="2451">
        <v>0</v>
      </c>
      <c r="E54" s="2452">
        <v>0.6</v>
      </c>
      <c r="F54" s="2452">
        <v>0</v>
      </c>
      <c r="G54" s="2452">
        <v>0</v>
      </c>
      <c r="H54" s="2453">
        <v>0</v>
      </c>
      <c r="I54" s="1111"/>
      <c r="J54" s="1124">
        <v>0.4</v>
      </c>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Q54" s="5"/>
      <c r="AR54" s="1113" t="s">
        <v>211</v>
      </c>
      <c r="AT54" s="5"/>
      <c r="AU54" s="1113" t="s">
        <v>852</v>
      </c>
    </row>
    <row r="55" spans="1:47" ht="15">
      <c r="A55" s="5"/>
      <c r="B55" s="11"/>
      <c r="C55" s="40"/>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Q55" s="5"/>
      <c r="AR55" s="11"/>
      <c r="AT55" s="5"/>
      <c r="AU55" s="11"/>
    </row>
    <row r="56" spans="1:47" ht="15">
      <c r="A56" s="5"/>
      <c r="B56" s="11"/>
      <c r="C56" s="40"/>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Q56" s="5"/>
      <c r="AR56" s="11"/>
      <c r="AT56" s="5"/>
      <c r="AU56" s="11"/>
    </row>
    <row r="57" spans="1:47" ht="15">
      <c r="A57" s="5"/>
      <c r="B57" s="11"/>
      <c r="C57" s="40"/>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Q57" s="5"/>
      <c r="AR57" s="11"/>
      <c r="AT57" s="5"/>
      <c r="AU57" s="11"/>
    </row>
    <row r="58" spans="1:47" ht="18">
      <c r="A58" s="427" t="s">
        <v>224</v>
      </c>
      <c r="B58" s="427"/>
      <c r="C58" s="435"/>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Q58" s="427" t="s">
        <v>224</v>
      </c>
      <c r="AR58" s="427"/>
      <c r="AT58" s="427" t="s">
        <v>224</v>
      </c>
      <c r="AU58" s="427"/>
    </row>
    <row r="59" spans="1:47" ht="15">
      <c r="A59" s="5"/>
      <c r="B59" s="11"/>
      <c r="C59" s="40"/>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Q59" s="5"/>
      <c r="AR59" s="11"/>
      <c r="AT59" s="5"/>
      <c r="AU59" s="11"/>
    </row>
    <row r="60" spans="1:47" ht="18">
      <c r="A60" s="427" t="s">
        <v>221</v>
      </c>
      <c r="B60" s="427"/>
      <c r="C60" s="434"/>
      <c r="D60" s="437" t="e">
        <f>D61+D62+D63+D66+D64+D65</f>
        <v>#REF!</v>
      </c>
      <c r="E60" s="437" t="e">
        <f t="shared" ref="E60:AM60" si="26">E61+E62+E63+E66+E64+E65</f>
        <v>#REF!</v>
      </c>
      <c r="F60" s="437" t="e">
        <f t="shared" si="26"/>
        <v>#REF!</v>
      </c>
      <c r="G60" s="437" t="e">
        <f t="shared" si="26"/>
        <v>#REF!</v>
      </c>
      <c r="H60" s="437" t="e">
        <f t="shared" si="26"/>
        <v>#REF!</v>
      </c>
      <c r="I60" s="437" t="e">
        <f t="shared" si="26"/>
        <v>#REF!</v>
      </c>
      <c r="J60" s="437" t="e">
        <f t="shared" si="26"/>
        <v>#REF!</v>
      </c>
      <c r="K60" s="437" t="e">
        <f t="shared" si="26"/>
        <v>#REF!</v>
      </c>
      <c r="L60" s="437" t="e">
        <f t="shared" si="26"/>
        <v>#REF!</v>
      </c>
      <c r="M60" s="437" t="e">
        <f t="shared" si="26"/>
        <v>#REF!</v>
      </c>
      <c r="N60" s="437" t="e">
        <f t="shared" si="26"/>
        <v>#REF!</v>
      </c>
      <c r="O60" s="437" t="e">
        <f t="shared" si="26"/>
        <v>#REF!</v>
      </c>
      <c r="P60" s="437" t="e">
        <f t="shared" si="26"/>
        <v>#REF!</v>
      </c>
      <c r="Q60" s="437" t="e">
        <f t="shared" si="26"/>
        <v>#REF!</v>
      </c>
      <c r="R60" s="437" t="e">
        <f t="shared" si="26"/>
        <v>#REF!</v>
      </c>
      <c r="S60" s="437" t="e">
        <f t="shared" si="26"/>
        <v>#REF!</v>
      </c>
      <c r="T60" s="437" t="e">
        <f t="shared" si="26"/>
        <v>#REF!</v>
      </c>
      <c r="U60" s="437" t="e">
        <f t="shared" si="26"/>
        <v>#REF!</v>
      </c>
      <c r="V60" s="437" t="e">
        <f t="shared" si="26"/>
        <v>#REF!</v>
      </c>
      <c r="W60" s="437" t="e">
        <f t="shared" si="26"/>
        <v>#REF!</v>
      </c>
      <c r="X60" s="437" t="e">
        <f t="shared" si="26"/>
        <v>#REF!</v>
      </c>
      <c r="Y60" s="437" t="e">
        <f t="shared" si="26"/>
        <v>#REF!</v>
      </c>
      <c r="Z60" s="437" t="e">
        <f t="shared" si="26"/>
        <v>#REF!</v>
      </c>
      <c r="AA60" s="437" t="e">
        <f t="shared" si="26"/>
        <v>#REF!</v>
      </c>
      <c r="AB60" s="437" t="e">
        <f t="shared" si="26"/>
        <v>#REF!</v>
      </c>
      <c r="AC60" s="437" t="e">
        <f t="shared" si="26"/>
        <v>#REF!</v>
      </c>
      <c r="AD60" s="437" t="e">
        <f t="shared" si="26"/>
        <v>#REF!</v>
      </c>
      <c r="AE60" s="437" t="e">
        <f t="shared" si="26"/>
        <v>#REF!</v>
      </c>
      <c r="AF60" s="437" t="e">
        <f t="shared" si="26"/>
        <v>#REF!</v>
      </c>
      <c r="AG60" s="437" t="e">
        <f t="shared" si="26"/>
        <v>#REF!</v>
      </c>
      <c r="AH60" s="437" t="e">
        <f t="shared" si="26"/>
        <v>#REF!</v>
      </c>
      <c r="AI60" s="437" t="e">
        <f t="shared" si="26"/>
        <v>#REF!</v>
      </c>
      <c r="AJ60" s="437" t="e">
        <f t="shared" si="26"/>
        <v>#REF!</v>
      </c>
      <c r="AK60" s="437" t="e">
        <f t="shared" si="26"/>
        <v>#REF!</v>
      </c>
      <c r="AL60" s="437" t="e">
        <f t="shared" si="26"/>
        <v>#REF!</v>
      </c>
      <c r="AM60" s="437" t="e">
        <f t="shared" si="26"/>
        <v>#REF!</v>
      </c>
      <c r="AQ60" s="427" t="s">
        <v>221</v>
      </c>
      <c r="AR60" s="427"/>
      <c r="AT60" s="427" t="s">
        <v>221</v>
      </c>
      <c r="AU60" s="427"/>
    </row>
    <row r="61" spans="1:47" ht="15">
      <c r="B61" s="415" t="str">
        <f>IF('Mode Opératoire'!$I$1="Français",+AR61,AU61)</f>
        <v>Ventes PSA</v>
      </c>
      <c r="C61" s="416" t="s">
        <v>18</v>
      </c>
      <c r="D61" s="1093" t="e">
        <f>E9*$D$47+D9*$E$47</f>
        <v>#REF!</v>
      </c>
      <c r="E61" s="1093" t="e">
        <f>F9*$D$47+E9*$E$47+D9*$F$47</f>
        <v>#REF!</v>
      </c>
      <c r="F61" s="1093" t="e">
        <f>G9*$D$47+F9*$E$47+E9*$F$47+D9*$G$47</f>
        <v>#REF!</v>
      </c>
      <c r="G61" s="1093" t="e">
        <f>H9*$D$47+G9*$E$47+F9*$F$47+E9*$G$47+D9*$H$47</f>
        <v>#REF!</v>
      </c>
      <c r="H61" s="1093" t="e">
        <f>I9*$D$47+H9*$E$47+G9*$F$47+F9*$G$47+E9*$H$47</f>
        <v>#REF!</v>
      </c>
      <c r="I61" s="1093" t="e">
        <f t="shared" ref="I61:AA61" si="27">J9*$D$47+I9*$E$47+H9*$F$47+G9*$G$47+F9*$H$47</f>
        <v>#REF!</v>
      </c>
      <c r="J61" s="1093" t="e">
        <f t="shared" si="27"/>
        <v>#REF!</v>
      </c>
      <c r="K61" s="1093" t="e">
        <f t="shared" si="27"/>
        <v>#REF!</v>
      </c>
      <c r="L61" s="1093" t="e">
        <f t="shared" si="27"/>
        <v>#REF!</v>
      </c>
      <c r="M61" s="1093" t="e">
        <f t="shared" si="27"/>
        <v>#REF!</v>
      </c>
      <c r="N61" s="1093" t="e">
        <f t="shared" si="27"/>
        <v>#REF!</v>
      </c>
      <c r="O61" s="1093" t="e">
        <f t="shared" si="27"/>
        <v>#REF!</v>
      </c>
      <c r="P61" s="1093" t="e">
        <f t="shared" si="27"/>
        <v>#REF!</v>
      </c>
      <c r="Q61" s="1093" t="e">
        <f t="shared" si="27"/>
        <v>#REF!</v>
      </c>
      <c r="R61" s="1093" t="e">
        <f t="shared" si="27"/>
        <v>#REF!</v>
      </c>
      <c r="S61" s="1093" t="e">
        <f t="shared" si="27"/>
        <v>#REF!</v>
      </c>
      <c r="T61" s="1093" t="e">
        <f t="shared" si="27"/>
        <v>#REF!</v>
      </c>
      <c r="U61" s="1093" t="e">
        <f t="shared" si="27"/>
        <v>#REF!</v>
      </c>
      <c r="V61" s="1093" t="e">
        <f t="shared" si="27"/>
        <v>#REF!</v>
      </c>
      <c r="W61" s="1093" t="e">
        <f t="shared" si="27"/>
        <v>#REF!</v>
      </c>
      <c r="X61" s="1093" t="e">
        <f t="shared" si="27"/>
        <v>#REF!</v>
      </c>
      <c r="Y61" s="1093" t="e">
        <f t="shared" si="27"/>
        <v>#REF!</v>
      </c>
      <c r="Z61" s="1093" t="e">
        <f t="shared" si="27"/>
        <v>#REF!</v>
      </c>
      <c r="AA61" s="1093" t="e">
        <f t="shared" si="27"/>
        <v>#REF!</v>
      </c>
      <c r="AB61" s="1093" t="e">
        <f t="shared" ref="AB61:AL61" si="28">AC9*$D$47+AB9*$E$47+AA9*$F$47+Z9*$G$47+Y9*$H$47</f>
        <v>#REF!</v>
      </c>
      <c r="AC61" s="1093" t="e">
        <f t="shared" si="28"/>
        <v>#REF!</v>
      </c>
      <c r="AD61" s="1093" t="e">
        <f t="shared" si="28"/>
        <v>#REF!</v>
      </c>
      <c r="AE61" s="1093" t="e">
        <f t="shared" si="28"/>
        <v>#REF!</v>
      </c>
      <c r="AF61" s="1093" t="e">
        <f t="shared" si="28"/>
        <v>#REF!</v>
      </c>
      <c r="AG61" s="1093" t="e">
        <f t="shared" si="28"/>
        <v>#REF!</v>
      </c>
      <c r="AH61" s="1093" t="e">
        <f t="shared" si="28"/>
        <v>#REF!</v>
      </c>
      <c r="AI61" s="1093" t="e">
        <f t="shared" si="28"/>
        <v>#REF!</v>
      </c>
      <c r="AJ61" s="1093" t="e">
        <f t="shared" si="28"/>
        <v>#REF!</v>
      </c>
      <c r="AK61" s="1093" t="e">
        <f t="shared" si="28"/>
        <v>#REF!</v>
      </c>
      <c r="AL61" s="1093" t="e">
        <f t="shared" si="28"/>
        <v>#REF!</v>
      </c>
      <c r="AM61" s="1093" t="e">
        <f>AN9*$D$47+AM9*$E$47+AL9*$F$47+AK9*$G$47+AJ9*$H$47</f>
        <v>#REF!</v>
      </c>
      <c r="AR61" s="415" t="s">
        <v>17</v>
      </c>
      <c r="AU61" s="415" t="s">
        <v>1325</v>
      </c>
    </row>
    <row r="62" spans="1:47" ht="15">
      <c r="A62" s="85"/>
      <c r="B62" s="415" t="str">
        <f>IF('Mode Opératoire'!$I$1="Français",+AR62,AU62)</f>
        <v>Ventes Hors Groupe</v>
      </c>
      <c r="C62" s="418" t="s">
        <v>18</v>
      </c>
      <c r="D62" s="1093" t="e">
        <f>E10*$D$46+D10*$E$46</f>
        <v>#REF!</v>
      </c>
      <c r="E62" s="1094" t="e">
        <f>F10*$D$46+E10*$E$46+D10*$F$46</f>
        <v>#REF!</v>
      </c>
      <c r="F62" s="1094" t="e">
        <f>G10*$D$46+F10*$E$46+E10*$F$46+D10*$G$46</f>
        <v>#REF!</v>
      </c>
      <c r="G62" s="1094" t="e">
        <f>H10*$D$46+G10*$E$46+F10*$F$46+E10*$G$46+D10*$H$46</f>
        <v>#REF!</v>
      </c>
      <c r="H62" s="1094" t="e">
        <f>I10*$D$46+H10*$E$46+G10*$F$46+F10*$G$46+E10*$H$46</f>
        <v>#REF!</v>
      </c>
      <c r="I62" s="1094" t="e">
        <f t="shared" ref="I62:AA62" si="29">J10*$D$46+I10*$E$46+H10*$F$46+G10*$G$46+F10*$H$46</f>
        <v>#REF!</v>
      </c>
      <c r="J62" s="1094" t="e">
        <f t="shared" si="29"/>
        <v>#REF!</v>
      </c>
      <c r="K62" s="1094" t="e">
        <f t="shared" si="29"/>
        <v>#REF!</v>
      </c>
      <c r="L62" s="1094" t="e">
        <f t="shared" si="29"/>
        <v>#REF!</v>
      </c>
      <c r="M62" s="1094" t="e">
        <f t="shared" si="29"/>
        <v>#REF!</v>
      </c>
      <c r="N62" s="1094" t="e">
        <f t="shared" si="29"/>
        <v>#REF!</v>
      </c>
      <c r="O62" s="1094" t="e">
        <f t="shared" si="29"/>
        <v>#REF!</v>
      </c>
      <c r="P62" s="1094" t="e">
        <f t="shared" si="29"/>
        <v>#REF!</v>
      </c>
      <c r="Q62" s="1094" t="e">
        <f t="shared" si="29"/>
        <v>#REF!</v>
      </c>
      <c r="R62" s="1094" t="e">
        <f t="shared" si="29"/>
        <v>#REF!</v>
      </c>
      <c r="S62" s="1094" t="e">
        <f t="shared" si="29"/>
        <v>#REF!</v>
      </c>
      <c r="T62" s="1094" t="e">
        <f t="shared" si="29"/>
        <v>#REF!</v>
      </c>
      <c r="U62" s="1094" t="e">
        <f t="shared" si="29"/>
        <v>#REF!</v>
      </c>
      <c r="V62" s="1094" t="e">
        <f t="shared" si="29"/>
        <v>#REF!</v>
      </c>
      <c r="W62" s="1094" t="e">
        <f t="shared" si="29"/>
        <v>#REF!</v>
      </c>
      <c r="X62" s="1094" t="e">
        <f t="shared" si="29"/>
        <v>#REF!</v>
      </c>
      <c r="Y62" s="1094" t="e">
        <f t="shared" si="29"/>
        <v>#REF!</v>
      </c>
      <c r="Z62" s="1094" t="e">
        <f t="shared" si="29"/>
        <v>#REF!</v>
      </c>
      <c r="AA62" s="1094" t="e">
        <f t="shared" si="29"/>
        <v>#REF!</v>
      </c>
      <c r="AB62" s="1094" t="e">
        <f t="shared" ref="AB62:AM62" si="30">AC10*$D$46+AB10*$E$46+AA10*$F$46+Z10*$G$46+Y10*$H$46</f>
        <v>#REF!</v>
      </c>
      <c r="AC62" s="1094" t="e">
        <f t="shared" si="30"/>
        <v>#REF!</v>
      </c>
      <c r="AD62" s="1094" t="e">
        <f t="shared" si="30"/>
        <v>#REF!</v>
      </c>
      <c r="AE62" s="1094" t="e">
        <f t="shared" si="30"/>
        <v>#REF!</v>
      </c>
      <c r="AF62" s="1094" t="e">
        <f t="shared" si="30"/>
        <v>#REF!</v>
      </c>
      <c r="AG62" s="1094" t="e">
        <f t="shared" si="30"/>
        <v>#REF!</v>
      </c>
      <c r="AH62" s="1094" t="e">
        <f t="shared" si="30"/>
        <v>#REF!</v>
      </c>
      <c r="AI62" s="1094" t="e">
        <f t="shared" si="30"/>
        <v>#REF!</v>
      </c>
      <c r="AJ62" s="1094" t="e">
        <f t="shared" si="30"/>
        <v>#REF!</v>
      </c>
      <c r="AK62" s="1094" t="e">
        <f t="shared" si="30"/>
        <v>#REF!</v>
      </c>
      <c r="AL62" s="1094" t="e">
        <f t="shared" si="30"/>
        <v>#REF!</v>
      </c>
      <c r="AM62" s="1094" t="e">
        <f t="shared" si="30"/>
        <v>#REF!</v>
      </c>
      <c r="AQ62" s="85"/>
      <c r="AR62" s="417" t="s">
        <v>19</v>
      </c>
      <c r="AT62" s="85"/>
      <c r="AU62" s="415" t="s">
        <v>1326</v>
      </c>
    </row>
    <row r="63" spans="1:47" ht="15">
      <c r="A63" s="85"/>
      <c r="B63" s="415" t="str">
        <f>IF('Mode Opératoire'!$I$1="Français",+AR63,AU63)</f>
        <v>Ventes GM</v>
      </c>
      <c r="C63" s="418" t="s">
        <v>18</v>
      </c>
      <c r="D63" s="1094" t="e">
        <f>E11*$D$48+D11*$E$48</f>
        <v>#REF!</v>
      </c>
      <c r="E63" s="1094" t="e">
        <f>F11*$D$48+E11*$E$48+D11*$F$48</f>
        <v>#REF!</v>
      </c>
      <c r="F63" s="1094" t="e">
        <f>G11*$D$48+F11*$E$48+E11*$F$48+D11*$G$48</f>
        <v>#REF!</v>
      </c>
      <c r="G63" s="1094" t="e">
        <f t="shared" ref="G63:AM63" si="31">H11*$D$48+G11*$E$48+F11*$F$48+E11*$G$48+D11*$H$48</f>
        <v>#REF!</v>
      </c>
      <c r="H63" s="1094" t="e">
        <f t="shared" si="31"/>
        <v>#REF!</v>
      </c>
      <c r="I63" s="1094" t="e">
        <f t="shared" si="31"/>
        <v>#REF!</v>
      </c>
      <c r="J63" s="1094" t="e">
        <f t="shared" si="31"/>
        <v>#REF!</v>
      </c>
      <c r="K63" s="1094" t="e">
        <f t="shared" si="31"/>
        <v>#REF!</v>
      </c>
      <c r="L63" s="1094" t="e">
        <f t="shared" si="31"/>
        <v>#REF!</v>
      </c>
      <c r="M63" s="1094" t="e">
        <f t="shared" si="31"/>
        <v>#REF!</v>
      </c>
      <c r="N63" s="1094" t="e">
        <f t="shared" si="31"/>
        <v>#REF!</v>
      </c>
      <c r="O63" s="1094" t="e">
        <f t="shared" si="31"/>
        <v>#REF!</v>
      </c>
      <c r="P63" s="1094" t="e">
        <f t="shared" si="31"/>
        <v>#REF!</v>
      </c>
      <c r="Q63" s="1094" t="e">
        <f t="shared" si="31"/>
        <v>#REF!</v>
      </c>
      <c r="R63" s="1094" t="e">
        <f t="shared" si="31"/>
        <v>#REF!</v>
      </c>
      <c r="S63" s="1094" t="e">
        <f t="shared" si="31"/>
        <v>#REF!</v>
      </c>
      <c r="T63" s="1094" t="e">
        <f t="shared" si="31"/>
        <v>#REF!</v>
      </c>
      <c r="U63" s="1094" t="e">
        <f t="shared" si="31"/>
        <v>#REF!</v>
      </c>
      <c r="V63" s="1094" t="e">
        <f t="shared" si="31"/>
        <v>#REF!</v>
      </c>
      <c r="W63" s="1094" t="e">
        <f t="shared" si="31"/>
        <v>#REF!</v>
      </c>
      <c r="X63" s="1094" t="e">
        <f t="shared" si="31"/>
        <v>#REF!</v>
      </c>
      <c r="Y63" s="1094" t="e">
        <f t="shared" si="31"/>
        <v>#REF!</v>
      </c>
      <c r="Z63" s="1094" t="e">
        <f t="shared" si="31"/>
        <v>#REF!</v>
      </c>
      <c r="AA63" s="1094" t="e">
        <f t="shared" si="31"/>
        <v>#REF!</v>
      </c>
      <c r="AB63" s="1094" t="e">
        <f t="shared" si="31"/>
        <v>#REF!</v>
      </c>
      <c r="AC63" s="1094" t="e">
        <f t="shared" si="31"/>
        <v>#REF!</v>
      </c>
      <c r="AD63" s="1094" t="e">
        <f t="shared" si="31"/>
        <v>#REF!</v>
      </c>
      <c r="AE63" s="1094" t="e">
        <f t="shared" si="31"/>
        <v>#REF!</v>
      </c>
      <c r="AF63" s="1094" t="e">
        <f t="shared" si="31"/>
        <v>#REF!</v>
      </c>
      <c r="AG63" s="1094" t="e">
        <f t="shared" si="31"/>
        <v>#REF!</v>
      </c>
      <c r="AH63" s="1094" t="e">
        <f t="shared" si="31"/>
        <v>#REF!</v>
      </c>
      <c r="AI63" s="1094" t="e">
        <f t="shared" si="31"/>
        <v>#REF!</v>
      </c>
      <c r="AJ63" s="1094" t="e">
        <f t="shared" si="31"/>
        <v>#REF!</v>
      </c>
      <c r="AK63" s="1094" t="e">
        <f t="shared" si="31"/>
        <v>#REF!</v>
      </c>
      <c r="AL63" s="1094" t="e">
        <f t="shared" si="31"/>
        <v>#REF!</v>
      </c>
      <c r="AM63" s="1094" t="e">
        <f t="shared" si="31"/>
        <v>#REF!</v>
      </c>
      <c r="AQ63" s="85"/>
      <c r="AR63" s="417" t="s">
        <v>948</v>
      </c>
      <c r="AT63" s="85"/>
      <c r="AU63" s="415" t="s">
        <v>949</v>
      </c>
    </row>
    <row r="64" spans="1:47" ht="15">
      <c r="A64" s="85"/>
      <c r="B64" s="415" t="str">
        <f>IF('Mode Opératoire'!$I$1="Français",+AR64,AU64)</f>
        <v>Ventes RZD</v>
      </c>
      <c r="C64" s="418" t="s">
        <v>18</v>
      </c>
      <c r="D64" s="1094" t="e">
        <f>E12*$D$49+D12*$E$49</f>
        <v>#REF!</v>
      </c>
      <c r="E64" s="1094" t="e">
        <f>F12*$D$49+E12*$E$49+D12*$F$49</f>
        <v>#REF!</v>
      </c>
      <c r="F64" s="1094" t="e">
        <f>G12*$D$49+F12*$E$49+E12*$F$49+D12*$G$49</f>
        <v>#REF!</v>
      </c>
      <c r="G64" s="1094" t="e">
        <f t="shared" ref="G64:AM64" si="32">H12*$D$49+G12*$E$49+F12*$F$49+E12*$G$49+D12*$H$49</f>
        <v>#REF!</v>
      </c>
      <c r="H64" s="1094" t="e">
        <f t="shared" si="32"/>
        <v>#REF!</v>
      </c>
      <c r="I64" s="1094" t="e">
        <f t="shared" si="32"/>
        <v>#REF!</v>
      </c>
      <c r="J64" s="1094" t="e">
        <f t="shared" si="32"/>
        <v>#REF!</v>
      </c>
      <c r="K64" s="1094" t="e">
        <f t="shared" si="32"/>
        <v>#REF!</v>
      </c>
      <c r="L64" s="1094" t="e">
        <f t="shared" si="32"/>
        <v>#REF!</v>
      </c>
      <c r="M64" s="1094" t="e">
        <f t="shared" si="32"/>
        <v>#REF!</v>
      </c>
      <c r="N64" s="1094" t="e">
        <f t="shared" si="32"/>
        <v>#REF!</v>
      </c>
      <c r="O64" s="1094" t="e">
        <f t="shared" si="32"/>
        <v>#REF!</v>
      </c>
      <c r="P64" s="1094" t="e">
        <f t="shared" si="32"/>
        <v>#REF!</v>
      </c>
      <c r="Q64" s="1094" t="e">
        <f t="shared" si="32"/>
        <v>#REF!</v>
      </c>
      <c r="R64" s="1094" t="e">
        <f t="shared" si="32"/>
        <v>#REF!</v>
      </c>
      <c r="S64" s="1094" t="e">
        <f t="shared" si="32"/>
        <v>#REF!</v>
      </c>
      <c r="T64" s="1094" t="e">
        <f t="shared" si="32"/>
        <v>#REF!</v>
      </c>
      <c r="U64" s="1094" t="e">
        <f t="shared" si="32"/>
        <v>#REF!</v>
      </c>
      <c r="V64" s="1094" t="e">
        <f t="shared" si="32"/>
        <v>#REF!</v>
      </c>
      <c r="W64" s="1094" t="e">
        <f t="shared" si="32"/>
        <v>#REF!</v>
      </c>
      <c r="X64" s="1094" t="e">
        <f t="shared" si="32"/>
        <v>#REF!</v>
      </c>
      <c r="Y64" s="1094" t="e">
        <f t="shared" si="32"/>
        <v>#REF!</v>
      </c>
      <c r="Z64" s="1094" t="e">
        <f t="shared" si="32"/>
        <v>#REF!</v>
      </c>
      <c r="AA64" s="1094" t="e">
        <f t="shared" si="32"/>
        <v>#REF!</v>
      </c>
      <c r="AB64" s="1094" t="e">
        <f t="shared" si="32"/>
        <v>#REF!</v>
      </c>
      <c r="AC64" s="1094" t="e">
        <f t="shared" si="32"/>
        <v>#REF!</v>
      </c>
      <c r="AD64" s="1094" t="e">
        <f t="shared" si="32"/>
        <v>#REF!</v>
      </c>
      <c r="AE64" s="1094" t="e">
        <f t="shared" si="32"/>
        <v>#REF!</v>
      </c>
      <c r="AF64" s="1094" t="e">
        <f t="shared" si="32"/>
        <v>#REF!</v>
      </c>
      <c r="AG64" s="1094" t="e">
        <f t="shared" si="32"/>
        <v>#REF!</v>
      </c>
      <c r="AH64" s="1094" t="e">
        <f t="shared" si="32"/>
        <v>#REF!</v>
      </c>
      <c r="AI64" s="1094" t="e">
        <f t="shared" si="32"/>
        <v>#REF!</v>
      </c>
      <c r="AJ64" s="1094" t="e">
        <f t="shared" si="32"/>
        <v>#REF!</v>
      </c>
      <c r="AK64" s="1094" t="e">
        <f t="shared" si="32"/>
        <v>#REF!</v>
      </c>
      <c r="AL64" s="1094" t="e">
        <f t="shared" si="32"/>
        <v>#REF!</v>
      </c>
      <c r="AM64" s="1094" t="e">
        <f t="shared" si="32"/>
        <v>#REF!</v>
      </c>
      <c r="AQ64" s="85"/>
      <c r="AR64" s="417" t="s">
        <v>950</v>
      </c>
      <c r="AT64" s="85"/>
      <c r="AU64" s="415" t="s">
        <v>951</v>
      </c>
    </row>
    <row r="65" spans="1:47" ht="15">
      <c r="A65" s="85"/>
      <c r="B65" s="415" t="str">
        <f>IF('Mode Opératoire'!$I$1="Français",+AR65,AU65)</f>
        <v>Ventes Gefco</v>
      </c>
      <c r="C65" s="418" t="s">
        <v>18</v>
      </c>
      <c r="D65" s="1094" t="e">
        <f>E13*$D$49+D13*$E$49</f>
        <v>#REF!</v>
      </c>
      <c r="E65" s="1094"/>
      <c r="F65" s="1094"/>
      <c r="G65" s="1094"/>
      <c r="H65" s="1094"/>
      <c r="I65" s="1094"/>
      <c r="J65" s="1094"/>
      <c r="K65" s="1094"/>
      <c r="L65" s="1094"/>
      <c r="M65" s="1094"/>
      <c r="N65" s="1094"/>
      <c r="O65" s="1094"/>
      <c r="P65" s="1094"/>
      <c r="Q65" s="1094"/>
      <c r="R65" s="1094"/>
      <c r="S65" s="1094"/>
      <c r="T65" s="1094"/>
      <c r="U65" s="1094"/>
      <c r="V65" s="1094"/>
      <c r="W65" s="1094"/>
      <c r="X65" s="1094"/>
      <c r="Y65" s="1094"/>
      <c r="Z65" s="1094"/>
      <c r="AA65" s="1094"/>
      <c r="AB65" s="1094"/>
      <c r="AC65" s="1094"/>
      <c r="AD65" s="1094"/>
      <c r="AE65" s="1094"/>
      <c r="AF65" s="1094"/>
      <c r="AG65" s="1094"/>
      <c r="AH65" s="1094"/>
      <c r="AI65" s="1094"/>
      <c r="AJ65" s="1094"/>
      <c r="AK65" s="1094"/>
      <c r="AL65" s="1094"/>
      <c r="AM65" s="1094"/>
      <c r="AQ65" s="85"/>
      <c r="AR65" s="417" t="s">
        <v>45</v>
      </c>
      <c r="AT65" s="85"/>
      <c r="AU65" s="415" t="s">
        <v>1327</v>
      </c>
    </row>
    <row r="66" spans="1:47" ht="15">
      <c r="A66" s="85"/>
      <c r="B66" s="417" t="s">
        <v>912</v>
      </c>
      <c r="C66" s="418" t="s">
        <v>18</v>
      </c>
      <c r="D66" s="2473"/>
      <c r="E66" s="2473"/>
      <c r="F66" s="2473"/>
      <c r="G66" s="2473"/>
      <c r="H66" s="2473"/>
      <c r="I66" s="2473"/>
      <c r="J66" s="2473"/>
      <c r="K66" s="2473"/>
      <c r="L66" s="2473"/>
      <c r="M66" s="2473"/>
      <c r="N66" s="2473"/>
      <c r="O66" s="2473"/>
      <c r="P66" s="2473"/>
      <c r="Q66" s="2473"/>
      <c r="R66" s="2473"/>
      <c r="S66" s="2473"/>
      <c r="T66" s="2473"/>
      <c r="U66" s="2473"/>
      <c r="V66" s="2473"/>
      <c r="W66" s="2473"/>
      <c r="X66" s="2473"/>
      <c r="Y66" s="2473"/>
      <c r="Z66" s="2473"/>
      <c r="AA66" s="2473"/>
      <c r="AB66" s="2473"/>
      <c r="AC66" s="2473"/>
      <c r="AD66" s="2473"/>
      <c r="AE66" s="2473"/>
      <c r="AF66" s="2473"/>
      <c r="AG66" s="2473"/>
      <c r="AH66" s="2473"/>
      <c r="AI66" s="2473"/>
      <c r="AJ66" s="2473"/>
      <c r="AK66" s="2473"/>
      <c r="AL66" s="2473"/>
      <c r="AM66" s="2473"/>
      <c r="AQ66" s="85"/>
      <c r="AR66" s="417"/>
      <c r="AT66" s="85"/>
      <c r="AU66" s="417"/>
    </row>
    <row r="67" spans="1:47" ht="15">
      <c r="A67" s="85"/>
      <c r="B67" s="417"/>
      <c r="C67" s="418"/>
      <c r="D67" s="1094"/>
      <c r="E67" s="1094"/>
      <c r="F67" s="1094"/>
      <c r="G67" s="1094"/>
      <c r="H67" s="1094"/>
      <c r="I67" s="1094"/>
      <c r="J67" s="1094"/>
      <c r="K67" s="1094"/>
      <c r="L67" s="1094"/>
      <c r="M67" s="1094"/>
      <c r="N67" s="1094"/>
      <c r="O67" s="1094"/>
      <c r="P67" s="1094"/>
      <c r="Q67" s="1094"/>
      <c r="R67" s="1094"/>
      <c r="S67" s="1094"/>
      <c r="T67" s="1094"/>
      <c r="U67" s="1094"/>
      <c r="V67" s="1094"/>
      <c r="W67" s="1094"/>
      <c r="X67" s="1094"/>
      <c r="Y67" s="1094"/>
      <c r="Z67" s="1094"/>
      <c r="AA67" s="1094"/>
      <c r="AB67" s="1094"/>
      <c r="AC67" s="1094"/>
      <c r="AD67" s="1094"/>
      <c r="AE67" s="1094"/>
      <c r="AF67" s="1094"/>
      <c r="AG67" s="1094"/>
      <c r="AH67" s="1094"/>
      <c r="AI67" s="1094"/>
      <c r="AJ67" s="1094"/>
      <c r="AK67" s="1094"/>
      <c r="AL67" s="1094"/>
      <c r="AM67" s="1094"/>
      <c r="AQ67" s="85"/>
      <c r="AR67" s="417"/>
      <c r="AT67" s="85"/>
      <c r="AU67" s="417"/>
    </row>
    <row r="68" spans="1:47" ht="18">
      <c r="A68" s="427" t="s">
        <v>222</v>
      </c>
      <c r="B68" s="427"/>
      <c r="C68" s="434"/>
      <c r="D68" s="437" t="e">
        <f>D69+D70+D71+D72+D73+D76+D74</f>
        <v>#REF!</v>
      </c>
      <c r="E68" s="437" t="e">
        <f>E69+E70+E71+E72+E73+E76+E74</f>
        <v>#REF!</v>
      </c>
      <c r="F68" s="437" t="e">
        <f t="shared" ref="F68:AM68" si="33">F69+F70+F71+F72+F73+F76+F74</f>
        <v>#REF!</v>
      </c>
      <c r="G68" s="437" t="e">
        <f t="shared" si="33"/>
        <v>#REF!</v>
      </c>
      <c r="H68" s="437" t="e">
        <f t="shared" si="33"/>
        <v>#REF!</v>
      </c>
      <c r="I68" s="437" t="e">
        <f t="shared" si="33"/>
        <v>#REF!</v>
      </c>
      <c r="J68" s="437" t="e">
        <f t="shared" si="33"/>
        <v>#REF!</v>
      </c>
      <c r="K68" s="437" t="e">
        <f t="shared" si="33"/>
        <v>#REF!</v>
      </c>
      <c r="L68" s="437" t="e">
        <f t="shared" si="33"/>
        <v>#REF!</v>
      </c>
      <c r="M68" s="437" t="e">
        <f t="shared" si="33"/>
        <v>#REF!</v>
      </c>
      <c r="N68" s="437" t="e">
        <f t="shared" si="33"/>
        <v>#REF!</v>
      </c>
      <c r="O68" s="437" t="e">
        <f t="shared" si="33"/>
        <v>#REF!</v>
      </c>
      <c r="P68" s="437" t="e">
        <f t="shared" si="33"/>
        <v>#REF!</v>
      </c>
      <c r="Q68" s="437" t="e">
        <f t="shared" si="33"/>
        <v>#REF!</v>
      </c>
      <c r="R68" s="437" t="e">
        <f t="shared" si="33"/>
        <v>#REF!</v>
      </c>
      <c r="S68" s="437" t="e">
        <f t="shared" si="33"/>
        <v>#REF!</v>
      </c>
      <c r="T68" s="437" t="e">
        <f t="shared" si="33"/>
        <v>#REF!</v>
      </c>
      <c r="U68" s="437" t="e">
        <f t="shared" si="33"/>
        <v>#REF!</v>
      </c>
      <c r="V68" s="437" t="e">
        <f t="shared" si="33"/>
        <v>#REF!</v>
      </c>
      <c r="W68" s="437" t="e">
        <f t="shared" si="33"/>
        <v>#REF!</v>
      </c>
      <c r="X68" s="437" t="e">
        <f t="shared" si="33"/>
        <v>#REF!</v>
      </c>
      <c r="Y68" s="437" t="e">
        <f t="shared" si="33"/>
        <v>#REF!</v>
      </c>
      <c r="Z68" s="437" t="e">
        <f t="shared" si="33"/>
        <v>#REF!</v>
      </c>
      <c r="AA68" s="437" t="e">
        <f t="shared" si="33"/>
        <v>#REF!</v>
      </c>
      <c r="AB68" s="437" t="e">
        <f t="shared" si="33"/>
        <v>#REF!</v>
      </c>
      <c r="AC68" s="437" t="e">
        <f t="shared" si="33"/>
        <v>#REF!</v>
      </c>
      <c r="AD68" s="437" t="e">
        <f t="shared" si="33"/>
        <v>#REF!</v>
      </c>
      <c r="AE68" s="437" t="e">
        <f t="shared" si="33"/>
        <v>#REF!</v>
      </c>
      <c r="AF68" s="437" t="e">
        <f t="shared" si="33"/>
        <v>#REF!</v>
      </c>
      <c r="AG68" s="437" t="e">
        <f t="shared" si="33"/>
        <v>#REF!</v>
      </c>
      <c r="AH68" s="437" t="e">
        <f t="shared" si="33"/>
        <v>#REF!</v>
      </c>
      <c r="AI68" s="437" t="e">
        <f t="shared" si="33"/>
        <v>#REF!</v>
      </c>
      <c r="AJ68" s="437" t="e">
        <f t="shared" si="33"/>
        <v>#REF!</v>
      </c>
      <c r="AK68" s="437" t="e">
        <f t="shared" si="33"/>
        <v>#REF!</v>
      </c>
      <c r="AL68" s="437" t="e">
        <f t="shared" si="33"/>
        <v>#REF!</v>
      </c>
      <c r="AM68" s="437" t="e">
        <f t="shared" si="33"/>
        <v>#REF!</v>
      </c>
      <c r="AQ68" s="427" t="s">
        <v>222</v>
      </c>
      <c r="AR68" s="427"/>
      <c r="AT68" s="427" t="s">
        <v>222</v>
      </c>
      <c r="AU68" s="427"/>
    </row>
    <row r="69" spans="1:47" ht="15">
      <c r="B69" s="417" t="str">
        <f>IF('Mode Opératoire'!$I$1="Français",+AR69,AU69)</f>
        <v>Achats</v>
      </c>
      <c r="C69" s="418" t="s">
        <v>20</v>
      </c>
      <c r="D69" s="1094" t="e">
        <f>E15*$D$50+D15*$E$50</f>
        <v>#REF!</v>
      </c>
      <c r="E69" s="1094" t="e">
        <f>F15*$D$50+E15*$E$50+D15*$F$50</f>
        <v>#REF!</v>
      </c>
      <c r="F69" s="1094" t="e">
        <f>G15*$D$50+F15*$E$50+E15*$F$50+D15*$G$50</f>
        <v>#REF!</v>
      </c>
      <c r="G69" s="1094" t="e">
        <f>H15*$D$50+G15*$E$50+F15*$F$50+E15*$G$50+D15*$H$50</f>
        <v>#REF!</v>
      </c>
      <c r="H69" s="1094" t="e">
        <f>I15*$D$50+H15*$E$50+G15*$F$50+F15*$G$50+E15*$H$50</f>
        <v>#REF!</v>
      </c>
      <c r="I69" s="1094" t="e">
        <f t="shared" ref="I69:AA69" si="34">J15*$D$50+I15*$E$50+H15*$F$50+G15*$G$50+F15*$H$50</f>
        <v>#REF!</v>
      </c>
      <c r="J69" s="1094" t="e">
        <f t="shared" si="34"/>
        <v>#REF!</v>
      </c>
      <c r="K69" s="1094" t="e">
        <f t="shared" si="34"/>
        <v>#REF!</v>
      </c>
      <c r="L69" s="1094" t="e">
        <f t="shared" si="34"/>
        <v>#REF!</v>
      </c>
      <c r="M69" s="1094" t="e">
        <f t="shared" si="34"/>
        <v>#REF!</v>
      </c>
      <c r="N69" s="1094" t="e">
        <f t="shared" si="34"/>
        <v>#REF!</v>
      </c>
      <c r="O69" s="1094" t="e">
        <f t="shared" si="34"/>
        <v>#REF!</v>
      </c>
      <c r="P69" s="1094" t="e">
        <f t="shared" si="34"/>
        <v>#REF!</v>
      </c>
      <c r="Q69" s="1094" t="e">
        <f t="shared" si="34"/>
        <v>#REF!</v>
      </c>
      <c r="R69" s="1094" t="e">
        <f t="shared" si="34"/>
        <v>#REF!</v>
      </c>
      <c r="S69" s="1094" t="e">
        <f t="shared" si="34"/>
        <v>#REF!</v>
      </c>
      <c r="T69" s="1094" t="e">
        <f t="shared" si="34"/>
        <v>#REF!</v>
      </c>
      <c r="U69" s="1094" t="e">
        <f t="shared" si="34"/>
        <v>#REF!</v>
      </c>
      <c r="V69" s="1094" t="e">
        <f t="shared" si="34"/>
        <v>#REF!</v>
      </c>
      <c r="W69" s="1094" t="e">
        <f t="shared" si="34"/>
        <v>#REF!</v>
      </c>
      <c r="X69" s="1094" t="e">
        <f t="shared" si="34"/>
        <v>#REF!</v>
      </c>
      <c r="Y69" s="1094" t="e">
        <f t="shared" si="34"/>
        <v>#REF!</v>
      </c>
      <c r="Z69" s="1094" t="e">
        <f t="shared" si="34"/>
        <v>#REF!</v>
      </c>
      <c r="AA69" s="1094" t="e">
        <f t="shared" si="34"/>
        <v>#REF!</v>
      </c>
      <c r="AB69" s="1094" t="e">
        <f t="shared" ref="AB69:AM69" si="35">AC15*$D$50+AB15*$E$50+AA15*$F$50+Z15*$G$50+Y15*$H$50</f>
        <v>#REF!</v>
      </c>
      <c r="AC69" s="1094" t="e">
        <f t="shared" si="35"/>
        <v>#REF!</v>
      </c>
      <c r="AD69" s="1094" t="e">
        <f t="shared" si="35"/>
        <v>#REF!</v>
      </c>
      <c r="AE69" s="1094" t="e">
        <f t="shared" si="35"/>
        <v>#REF!</v>
      </c>
      <c r="AF69" s="1094" t="e">
        <f t="shared" si="35"/>
        <v>#REF!</v>
      </c>
      <c r="AG69" s="1094" t="e">
        <f t="shared" si="35"/>
        <v>#REF!</v>
      </c>
      <c r="AH69" s="1094" t="e">
        <f t="shared" si="35"/>
        <v>#REF!</v>
      </c>
      <c r="AI69" s="1094" t="e">
        <f t="shared" si="35"/>
        <v>#REF!</v>
      </c>
      <c r="AJ69" s="1094" t="e">
        <f t="shared" si="35"/>
        <v>#REF!</v>
      </c>
      <c r="AK69" s="1094" t="e">
        <f t="shared" si="35"/>
        <v>#REF!</v>
      </c>
      <c r="AL69" s="1094" t="e">
        <f t="shared" si="35"/>
        <v>#REF!</v>
      </c>
      <c r="AM69" s="1094" t="e">
        <f t="shared" si="35"/>
        <v>#REF!</v>
      </c>
      <c r="AR69" s="417" t="s">
        <v>123</v>
      </c>
      <c r="AU69" s="417" t="s">
        <v>82</v>
      </c>
    </row>
    <row r="70" spans="1:47" ht="15">
      <c r="B70" s="417" t="str">
        <f>IF('Mode Opératoire'!$I$1="Français",+AR70,AU70)</f>
        <v>Frais de personnel</v>
      </c>
      <c r="C70" s="418" t="s">
        <v>20</v>
      </c>
      <c r="D70" s="1096" t="e">
        <f>E18*$D$51+D18*$E$51</f>
        <v>#REF!</v>
      </c>
      <c r="E70" s="1096" t="e">
        <f>F18*$D$51+E18*$E$51+D18*$F$51</f>
        <v>#REF!</v>
      </c>
      <c r="F70" s="1096" t="e">
        <f>G18*$D$51+F18*$E$51+E18*$F$51+D18*$G$51</f>
        <v>#REF!</v>
      </c>
      <c r="G70" s="1096" t="e">
        <f>H18*$D$51+G18*$E$51+F18*$F$51+E18*$G$51+D18*$H$51</f>
        <v>#REF!</v>
      </c>
      <c r="H70" s="1096" t="e">
        <f t="shared" ref="H70:AA70" si="36">I18*$D$51+H18*$E$51+G18*$F$51+F18*$G$51+E18*$H$51</f>
        <v>#REF!</v>
      </c>
      <c r="I70" s="1096" t="e">
        <f t="shared" si="36"/>
        <v>#REF!</v>
      </c>
      <c r="J70" s="1096" t="e">
        <f t="shared" si="36"/>
        <v>#REF!</v>
      </c>
      <c r="K70" s="1096" t="e">
        <f t="shared" si="36"/>
        <v>#REF!</v>
      </c>
      <c r="L70" s="1096" t="e">
        <f t="shared" si="36"/>
        <v>#REF!</v>
      </c>
      <c r="M70" s="1096" t="e">
        <f t="shared" si="36"/>
        <v>#REF!</v>
      </c>
      <c r="N70" s="1096" t="e">
        <f t="shared" si="36"/>
        <v>#REF!</v>
      </c>
      <c r="O70" s="1096" t="e">
        <f t="shared" si="36"/>
        <v>#REF!</v>
      </c>
      <c r="P70" s="1096" t="e">
        <f t="shared" si="36"/>
        <v>#REF!</v>
      </c>
      <c r="Q70" s="1096" t="e">
        <f t="shared" si="36"/>
        <v>#REF!</v>
      </c>
      <c r="R70" s="1096" t="e">
        <f t="shared" si="36"/>
        <v>#REF!</v>
      </c>
      <c r="S70" s="1096" t="e">
        <f t="shared" si="36"/>
        <v>#REF!</v>
      </c>
      <c r="T70" s="1096" t="e">
        <f t="shared" si="36"/>
        <v>#REF!</v>
      </c>
      <c r="U70" s="1096" t="e">
        <f t="shared" si="36"/>
        <v>#REF!</v>
      </c>
      <c r="V70" s="1096" t="e">
        <f t="shared" si="36"/>
        <v>#REF!</v>
      </c>
      <c r="W70" s="1096" t="e">
        <f t="shared" si="36"/>
        <v>#REF!</v>
      </c>
      <c r="X70" s="1096" t="e">
        <f t="shared" si="36"/>
        <v>#REF!</v>
      </c>
      <c r="Y70" s="1096" t="e">
        <f t="shared" si="36"/>
        <v>#REF!</v>
      </c>
      <c r="Z70" s="1096" t="e">
        <f t="shared" si="36"/>
        <v>#REF!</v>
      </c>
      <c r="AA70" s="1096" t="e">
        <f t="shared" si="36"/>
        <v>#REF!</v>
      </c>
      <c r="AB70" s="1096" t="e">
        <f t="shared" ref="AB70:AM70" si="37">AC18*$D$51+AB18*$E$51+AA18*$F$51+Z18*$G$51+Y18*$H$51</f>
        <v>#REF!</v>
      </c>
      <c r="AC70" s="1096" t="e">
        <f t="shared" si="37"/>
        <v>#REF!</v>
      </c>
      <c r="AD70" s="1096" t="e">
        <f t="shared" si="37"/>
        <v>#REF!</v>
      </c>
      <c r="AE70" s="1096" t="e">
        <f t="shared" si="37"/>
        <v>#REF!</v>
      </c>
      <c r="AF70" s="1096" t="e">
        <f t="shared" si="37"/>
        <v>#REF!</v>
      </c>
      <c r="AG70" s="1096" t="e">
        <f t="shared" si="37"/>
        <v>#REF!</v>
      </c>
      <c r="AH70" s="1096" t="e">
        <f t="shared" si="37"/>
        <v>#REF!</v>
      </c>
      <c r="AI70" s="1096" t="e">
        <f t="shared" si="37"/>
        <v>#REF!</v>
      </c>
      <c r="AJ70" s="1096" t="e">
        <f t="shared" si="37"/>
        <v>#REF!</v>
      </c>
      <c r="AK70" s="1096" t="e">
        <f t="shared" si="37"/>
        <v>#REF!</v>
      </c>
      <c r="AL70" s="1096" t="e">
        <f t="shared" si="37"/>
        <v>#REF!</v>
      </c>
      <c r="AM70" s="1096" t="e">
        <f t="shared" si="37"/>
        <v>#REF!</v>
      </c>
      <c r="AR70" s="417" t="s">
        <v>117</v>
      </c>
      <c r="AU70" s="417" t="s">
        <v>853</v>
      </c>
    </row>
    <row r="71" spans="1:47" ht="15">
      <c r="A71" s="85"/>
      <c r="B71" s="417" t="str">
        <f>IF('Mode Opératoire'!$I$1="Français",+AR71,AU71)</f>
        <v>Autres frais d'exploitation</v>
      </c>
      <c r="C71" s="418" t="s">
        <v>20</v>
      </c>
      <c r="D71" s="1096" t="e">
        <f>E19*$D$50+D19*$E$50</f>
        <v>#REF!</v>
      </c>
      <c r="E71" s="1096" t="e">
        <f>F19*$D$50+E19*$E$50+D19*$F$50</f>
        <v>#REF!</v>
      </c>
      <c r="F71" s="1096" t="e">
        <f>G19*$D$50+F19*$E$50+E19*$F$50+D19*$G$50</f>
        <v>#REF!</v>
      </c>
      <c r="G71" s="1096" t="e">
        <f>H19*$D$50+G19*$E$50+F19*$F$50+E19*$G$50+D19*$H$50</f>
        <v>#REF!</v>
      </c>
      <c r="H71" s="1096" t="e">
        <f t="shared" ref="H71:AA71" si="38">I19*$D$50+H19*$E$50+G19*$F$50+F19*$G$50+E19*$H$50</f>
        <v>#REF!</v>
      </c>
      <c r="I71" s="1096" t="e">
        <f t="shared" si="38"/>
        <v>#REF!</v>
      </c>
      <c r="J71" s="1096" t="e">
        <f t="shared" si="38"/>
        <v>#REF!</v>
      </c>
      <c r="K71" s="1096" t="e">
        <f t="shared" si="38"/>
        <v>#REF!</v>
      </c>
      <c r="L71" s="1096" t="e">
        <f t="shared" si="38"/>
        <v>#REF!</v>
      </c>
      <c r="M71" s="1096" t="e">
        <f t="shared" si="38"/>
        <v>#REF!</v>
      </c>
      <c r="N71" s="1096" t="e">
        <f t="shared" si="38"/>
        <v>#REF!</v>
      </c>
      <c r="O71" s="1096" t="e">
        <f t="shared" si="38"/>
        <v>#REF!</v>
      </c>
      <c r="P71" s="1096" t="e">
        <f t="shared" si="38"/>
        <v>#REF!</v>
      </c>
      <c r="Q71" s="1096" t="e">
        <f t="shared" si="38"/>
        <v>#REF!</v>
      </c>
      <c r="R71" s="1096" t="e">
        <f t="shared" si="38"/>
        <v>#REF!</v>
      </c>
      <c r="S71" s="1096" t="e">
        <f t="shared" si="38"/>
        <v>#REF!</v>
      </c>
      <c r="T71" s="1096" t="e">
        <f t="shared" si="38"/>
        <v>#REF!</v>
      </c>
      <c r="U71" s="1096" t="e">
        <f t="shared" si="38"/>
        <v>#REF!</v>
      </c>
      <c r="V71" s="1096" t="e">
        <f t="shared" si="38"/>
        <v>#REF!</v>
      </c>
      <c r="W71" s="1096" t="e">
        <f t="shared" si="38"/>
        <v>#REF!</v>
      </c>
      <c r="X71" s="1096" t="e">
        <f t="shared" si="38"/>
        <v>#REF!</v>
      </c>
      <c r="Y71" s="1096" t="e">
        <f t="shared" si="38"/>
        <v>#REF!</v>
      </c>
      <c r="Z71" s="1096" t="e">
        <f t="shared" si="38"/>
        <v>#REF!</v>
      </c>
      <c r="AA71" s="1096" t="e">
        <f t="shared" si="38"/>
        <v>#REF!</v>
      </c>
      <c r="AB71" s="1096" t="e">
        <f t="shared" ref="AB71:AM71" si="39">AC19*$D$50+AB19*$E$50+AA19*$F$50+Z19*$G$50+Y19*$H$50</f>
        <v>#REF!</v>
      </c>
      <c r="AC71" s="1096" t="e">
        <f t="shared" si="39"/>
        <v>#REF!</v>
      </c>
      <c r="AD71" s="1096" t="e">
        <f t="shared" si="39"/>
        <v>#REF!</v>
      </c>
      <c r="AE71" s="1096" t="e">
        <f t="shared" si="39"/>
        <v>#REF!</v>
      </c>
      <c r="AF71" s="1096" t="e">
        <f t="shared" si="39"/>
        <v>#REF!</v>
      </c>
      <c r="AG71" s="1096" t="e">
        <f t="shared" si="39"/>
        <v>#REF!</v>
      </c>
      <c r="AH71" s="1096" t="e">
        <f t="shared" si="39"/>
        <v>#REF!</v>
      </c>
      <c r="AI71" s="1096" t="e">
        <f t="shared" si="39"/>
        <v>#REF!</v>
      </c>
      <c r="AJ71" s="1096" t="e">
        <f t="shared" si="39"/>
        <v>#REF!</v>
      </c>
      <c r="AK71" s="1096" t="e">
        <f t="shared" si="39"/>
        <v>#REF!</v>
      </c>
      <c r="AL71" s="1096" t="e">
        <f t="shared" si="39"/>
        <v>#REF!</v>
      </c>
      <c r="AM71" s="1096" t="e">
        <f t="shared" si="39"/>
        <v>#REF!</v>
      </c>
      <c r="AQ71" s="85"/>
      <c r="AR71" s="417" t="s">
        <v>50</v>
      </c>
      <c r="AT71" s="85"/>
      <c r="AU71" s="417" t="s">
        <v>778</v>
      </c>
    </row>
    <row r="72" spans="1:47" ht="15">
      <c r="A72" s="85"/>
      <c r="B72" s="417" t="str">
        <f>IF('Mode Opératoire'!$I$1="Français",+AR72,AU72)</f>
        <v>Frais d'agence</v>
      </c>
      <c r="C72" s="418" t="s">
        <v>20</v>
      </c>
      <c r="D72" s="1096" t="e">
        <f>E20*$D$52+D20*$E$52</f>
        <v>#REF!</v>
      </c>
      <c r="E72" s="1096" t="e">
        <f>F20*$D$52+E20*$E$52+D20*$F$52</f>
        <v>#REF!</v>
      </c>
      <c r="F72" s="1096" t="e">
        <f>G20*$D$52+F20*$E$52+E20*$F$52+D20*$G$52</f>
        <v>#REF!</v>
      </c>
      <c r="G72" s="1096" t="e">
        <f t="shared" ref="G72:AA72" si="40">H20*$D$52+G20*$E$52+F20*$F$52+E20*$G$52+D20*$H$52</f>
        <v>#REF!</v>
      </c>
      <c r="H72" s="1096" t="e">
        <f t="shared" si="40"/>
        <v>#REF!</v>
      </c>
      <c r="I72" s="1096" t="e">
        <f t="shared" si="40"/>
        <v>#REF!</v>
      </c>
      <c r="J72" s="1096" t="e">
        <f t="shared" si="40"/>
        <v>#REF!</v>
      </c>
      <c r="K72" s="1096" t="e">
        <f t="shared" si="40"/>
        <v>#REF!</v>
      </c>
      <c r="L72" s="1096" t="e">
        <f t="shared" si="40"/>
        <v>#REF!</v>
      </c>
      <c r="M72" s="1096" t="e">
        <f t="shared" si="40"/>
        <v>#REF!</v>
      </c>
      <c r="N72" s="1096" t="e">
        <f t="shared" si="40"/>
        <v>#REF!</v>
      </c>
      <c r="O72" s="1096" t="e">
        <f t="shared" si="40"/>
        <v>#REF!</v>
      </c>
      <c r="P72" s="1096" t="e">
        <f t="shared" si="40"/>
        <v>#REF!</v>
      </c>
      <c r="Q72" s="1096" t="e">
        <f t="shared" si="40"/>
        <v>#REF!</v>
      </c>
      <c r="R72" s="1096" t="e">
        <f t="shared" si="40"/>
        <v>#REF!</v>
      </c>
      <c r="S72" s="1096" t="e">
        <f t="shared" si="40"/>
        <v>#REF!</v>
      </c>
      <c r="T72" s="1096" t="e">
        <f t="shared" si="40"/>
        <v>#REF!</v>
      </c>
      <c r="U72" s="1096" t="e">
        <f t="shared" si="40"/>
        <v>#REF!</v>
      </c>
      <c r="V72" s="1096" t="e">
        <f t="shared" si="40"/>
        <v>#REF!</v>
      </c>
      <c r="W72" s="1096" t="e">
        <f t="shared" si="40"/>
        <v>#REF!</v>
      </c>
      <c r="X72" s="1096" t="e">
        <f t="shared" si="40"/>
        <v>#REF!</v>
      </c>
      <c r="Y72" s="1096" t="e">
        <f t="shared" si="40"/>
        <v>#REF!</v>
      </c>
      <c r="Z72" s="1096" t="e">
        <f t="shared" si="40"/>
        <v>#REF!</v>
      </c>
      <c r="AA72" s="1096" t="e">
        <f t="shared" si="40"/>
        <v>#REF!</v>
      </c>
      <c r="AB72" s="1096" t="e">
        <f t="shared" ref="AB72:AM72" si="41">AC20*$D$52+AB20*$E$52+AA20*$F$52+Z20*$G$52+Y20*$H$52</f>
        <v>#REF!</v>
      </c>
      <c r="AC72" s="1096" t="e">
        <f t="shared" si="41"/>
        <v>#REF!</v>
      </c>
      <c r="AD72" s="1096" t="e">
        <f t="shared" si="41"/>
        <v>#REF!</v>
      </c>
      <c r="AE72" s="1096" t="e">
        <f t="shared" si="41"/>
        <v>#REF!</v>
      </c>
      <c r="AF72" s="1096" t="e">
        <f t="shared" si="41"/>
        <v>#REF!</v>
      </c>
      <c r="AG72" s="1096" t="e">
        <f t="shared" si="41"/>
        <v>#REF!</v>
      </c>
      <c r="AH72" s="1096" t="e">
        <f t="shared" si="41"/>
        <v>#REF!</v>
      </c>
      <c r="AI72" s="1096" t="e">
        <f t="shared" si="41"/>
        <v>#REF!</v>
      </c>
      <c r="AJ72" s="1096" t="e">
        <f t="shared" si="41"/>
        <v>#REF!</v>
      </c>
      <c r="AK72" s="1096" t="e">
        <f t="shared" si="41"/>
        <v>#REF!</v>
      </c>
      <c r="AL72" s="1096" t="e">
        <f t="shared" si="41"/>
        <v>#REF!</v>
      </c>
      <c r="AM72" s="1096" t="e">
        <f t="shared" si="41"/>
        <v>#REF!</v>
      </c>
      <c r="AQ72" s="85"/>
      <c r="AR72" s="417" t="s">
        <v>119</v>
      </c>
      <c r="AT72" s="85"/>
      <c r="AU72" s="417" t="s">
        <v>854</v>
      </c>
    </row>
    <row r="73" spans="1:47" ht="15">
      <c r="A73" s="85"/>
      <c r="B73" s="417" t="str">
        <f>IF('Mode Opératoire'!$I$1="Français",+AR73,AU73)</f>
        <v>Dépréciation créances douteuses</v>
      </c>
      <c r="C73" s="418" t="s">
        <v>20</v>
      </c>
      <c r="D73" s="2475"/>
      <c r="E73" s="2475"/>
      <c r="F73" s="2475"/>
      <c r="G73" s="2475"/>
      <c r="H73" s="2475"/>
      <c r="I73" s="2475"/>
      <c r="J73" s="2475"/>
      <c r="K73" s="2475"/>
      <c r="L73" s="2475"/>
      <c r="M73" s="2475"/>
      <c r="N73" s="2475"/>
      <c r="O73" s="2475"/>
      <c r="P73" s="2475"/>
      <c r="Q73" s="2475"/>
      <c r="R73" s="2475"/>
      <c r="S73" s="2475"/>
      <c r="T73" s="2475"/>
      <c r="U73" s="2475"/>
      <c r="V73" s="2475"/>
      <c r="W73" s="2475"/>
      <c r="X73" s="2475"/>
      <c r="Y73" s="2475"/>
      <c r="Z73" s="2475"/>
      <c r="AA73" s="2475"/>
      <c r="AB73" s="2475"/>
      <c r="AC73" s="2475"/>
      <c r="AD73" s="2475"/>
      <c r="AE73" s="2475"/>
      <c r="AF73" s="2475"/>
      <c r="AG73" s="2475"/>
      <c r="AH73" s="2475"/>
      <c r="AI73" s="2475"/>
      <c r="AJ73" s="2475"/>
      <c r="AK73" s="2475"/>
      <c r="AL73" s="2475"/>
      <c r="AM73" s="2475"/>
      <c r="AQ73" s="85"/>
      <c r="AR73" s="417" t="s">
        <v>209</v>
      </c>
      <c r="AT73" s="85"/>
      <c r="AU73" s="417" t="s">
        <v>855</v>
      </c>
    </row>
    <row r="74" spans="1:47" ht="15">
      <c r="A74" s="85"/>
      <c r="B74" s="417" t="str">
        <f>IF('Mode Opératoire'!$I$1="Français",+AR74,AU74)</f>
        <v>Investissements</v>
      </c>
      <c r="C74" s="2441" t="s">
        <v>20</v>
      </c>
      <c r="D74" s="2475"/>
      <c r="E74" s="2475"/>
      <c r="F74" s="2475"/>
      <c r="G74" s="2475"/>
      <c r="H74" s="2475"/>
      <c r="I74" s="2475"/>
      <c r="J74" s="2475"/>
      <c r="K74" s="2475"/>
      <c r="L74" s="2475"/>
      <c r="M74" s="2475"/>
      <c r="N74" s="2475"/>
      <c r="O74" s="2475"/>
      <c r="P74" s="2475"/>
      <c r="Q74" s="2475"/>
      <c r="R74" s="2475"/>
      <c r="S74" s="2475"/>
      <c r="T74" s="2475"/>
      <c r="U74" s="2475"/>
      <c r="V74" s="2475"/>
      <c r="W74" s="2475"/>
      <c r="X74" s="2475"/>
      <c r="Y74" s="2475"/>
      <c r="Z74" s="2475"/>
      <c r="AA74" s="2475"/>
      <c r="AB74" s="2475"/>
      <c r="AC74" s="2475"/>
      <c r="AD74" s="2475"/>
      <c r="AE74" s="2475"/>
      <c r="AF74" s="2475"/>
      <c r="AG74" s="2475"/>
      <c r="AH74" s="2475"/>
      <c r="AI74" s="2475"/>
      <c r="AJ74" s="2475"/>
      <c r="AK74" s="2475"/>
      <c r="AL74" s="2475"/>
      <c r="AM74" s="2475"/>
      <c r="AQ74" s="85"/>
      <c r="AR74" s="417" t="s">
        <v>6</v>
      </c>
      <c r="AT74" s="85"/>
      <c r="AU74" s="417" t="s">
        <v>232</v>
      </c>
    </row>
    <row r="75" spans="1:47" ht="15">
      <c r="A75" s="85"/>
      <c r="B75" s="417" t="str">
        <f>IF('Mode Opératoire'!$I$1="Français",+AR75,AU75)</f>
        <v>Frais de siège opérationnel</v>
      </c>
      <c r="C75" s="2441" t="s">
        <v>20</v>
      </c>
      <c r="D75" s="1096" t="e">
        <f>E22*$D$53+D22*$E$53</f>
        <v>#REF!</v>
      </c>
      <c r="E75" s="1096" t="e">
        <f>F22*$D$53+E22*$E$53+D22*$F$53</f>
        <v>#REF!</v>
      </c>
      <c r="F75" s="1096" t="e">
        <f>G22*$D$53+F22*$E$53+E22*$F$53+D22*$G$53</f>
        <v>#REF!</v>
      </c>
      <c r="G75" s="1096" t="e">
        <f t="shared" ref="G75:O75" si="42">H22*$D$53+G22*$E$53+F22*$F$53+E22*$G$53+D22*$H$53</f>
        <v>#REF!</v>
      </c>
      <c r="H75" s="1096" t="e">
        <f t="shared" si="42"/>
        <v>#REF!</v>
      </c>
      <c r="I75" s="1096" t="e">
        <f t="shared" si="42"/>
        <v>#REF!</v>
      </c>
      <c r="J75" s="1096" t="e">
        <f t="shared" si="42"/>
        <v>#REF!</v>
      </c>
      <c r="K75" s="1096" t="e">
        <f t="shared" si="42"/>
        <v>#REF!</v>
      </c>
      <c r="L75" s="1096" t="e">
        <f t="shared" si="42"/>
        <v>#REF!</v>
      </c>
      <c r="M75" s="1096" t="e">
        <f t="shared" si="42"/>
        <v>#REF!</v>
      </c>
      <c r="N75" s="1096" t="e">
        <f t="shared" si="42"/>
        <v>#REF!</v>
      </c>
      <c r="O75" s="1096" t="e">
        <f t="shared" si="42"/>
        <v>#REF!</v>
      </c>
      <c r="P75" s="1096" t="e">
        <f t="shared" ref="P75:AM75" si="43">Q22*$D$53+P22*$E$53+O22*$F$53+N22*$G$53+M22*$H$53+D22*$J$53</f>
        <v>#REF!</v>
      </c>
      <c r="Q75" s="1096" t="e">
        <f t="shared" si="43"/>
        <v>#REF!</v>
      </c>
      <c r="R75" s="1096" t="e">
        <f t="shared" si="43"/>
        <v>#REF!</v>
      </c>
      <c r="S75" s="1096" t="e">
        <f t="shared" si="43"/>
        <v>#REF!</v>
      </c>
      <c r="T75" s="1096" t="e">
        <f t="shared" si="43"/>
        <v>#REF!</v>
      </c>
      <c r="U75" s="1096" t="e">
        <f t="shared" si="43"/>
        <v>#REF!</v>
      </c>
      <c r="V75" s="1096" t="e">
        <f t="shared" si="43"/>
        <v>#REF!</v>
      </c>
      <c r="W75" s="1096" t="e">
        <f t="shared" si="43"/>
        <v>#REF!</v>
      </c>
      <c r="X75" s="1096" t="e">
        <f t="shared" si="43"/>
        <v>#REF!</v>
      </c>
      <c r="Y75" s="1096" t="e">
        <f t="shared" si="43"/>
        <v>#REF!</v>
      </c>
      <c r="Z75" s="1096" t="e">
        <f t="shared" si="43"/>
        <v>#REF!</v>
      </c>
      <c r="AA75" s="1096" t="e">
        <f t="shared" si="43"/>
        <v>#REF!</v>
      </c>
      <c r="AB75" s="1096" t="e">
        <f t="shared" si="43"/>
        <v>#REF!</v>
      </c>
      <c r="AC75" s="1096" t="e">
        <f t="shared" si="43"/>
        <v>#REF!</v>
      </c>
      <c r="AD75" s="1096" t="e">
        <f t="shared" si="43"/>
        <v>#REF!</v>
      </c>
      <c r="AE75" s="1096" t="e">
        <f t="shared" si="43"/>
        <v>#REF!</v>
      </c>
      <c r="AF75" s="1096" t="e">
        <f t="shared" si="43"/>
        <v>#REF!</v>
      </c>
      <c r="AG75" s="1096" t="e">
        <f t="shared" si="43"/>
        <v>#REF!</v>
      </c>
      <c r="AH75" s="1096" t="e">
        <f t="shared" si="43"/>
        <v>#REF!</v>
      </c>
      <c r="AI75" s="1096" t="e">
        <f t="shared" si="43"/>
        <v>#REF!</v>
      </c>
      <c r="AJ75" s="1096" t="e">
        <f t="shared" si="43"/>
        <v>#REF!</v>
      </c>
      <c r="AK75" s="1096" t="e">
        <f t="shared" si="43"/>
        <v>#REF!</v>
      </c>
      <c r="AL75" s="1096" t="e">
        <f t="shared" si="43"/>
        <v>#REF!</v>
      </c>
      <c r="AM75" s="1096" t="e">
        <f t="shared" si="43"/>
        <v>#REF!</v>
      </c>
      <c r="AQ75" s="85"/>
      <c r="AR75" s="417" t="s">
        <v>1322</v>
      </c>
      <c r="AT75" s="85"/>
      <c r="AU75" s="417" t="s">
        <v>957</v>
      </c>
    </row>
    <row r="76" spans="1:47" ht="15">
      <c r="A76" s="85"/>
      <c r="B76" s="417" t="str">
        <f>IF('Mode Opératoire'!$I$1="Français",+AR76,AU76)</f>
        <v>Frais de groupe</v>
      </c>
      <c r="C76" s="418" t="s">
        <v>20</v>
      </c>
      <c r="D76" s="1096" t="e">
        <f>E23*$D$54+D23*$E$54</f>
        <v>#REF!</v>
      </c>
      <c r="E76" s="1096" t="e">
        <f>F23*$D$54+E23*$E$54+D23*$F$54</f>
        <v>#REF!</v>
      </c>
      <c r="F76" s="1096" t="e">
        <f>G23*$D$54+F23*$E$54+E23*$F$54+D23*$G$54</f>
        <v>#REF!</v>
      </c>
      <c r="G76" s="1096" t="e">
        <f t="shared" ref="G76:O76" si="44">H23*$D$54+G23*$E$54+F23*$F$54+E23*$G$54+D23*$H$54</f>
        <v>#REF!</v>
      </c>
      <c r="H76" s="1096" t="e">
        <f t="shared" si="44"/>
        <v>#REF!</v>
      </c>
      <c r="I76" s="1096" t="e">
        <f t="shared" si="44"/>
        <v>#REF!</v>
      </c>
      <c r="J76" s="1096" t="e">
        <f t="shared" si="44"/>
        <v>#REF!</v>
      </c>
      <c r="K76" s="1096" t="e">
        <f t="shared" si="44"/>
        <v>#REF!</v>
      </c>
      <c r="L76" s="1096" t="e">
        <f t="shared" si="44"/>
        <v>#REF!</v>
      </c>
      <c r="M76" s="1096" t="e">
        <f t="shared" si="44"/>
        <v>#REF!</v>
      </c>
      <c r="N76" s="1096" t="e">
        <f t="shared" si="44"/>
        <v>#REF!</v>
      </c>
      <c r="O76" s="1096" t="e">
        <f t="shared" si="44"/>
        <v>#REF!</v>
      </c>
      <c r="P76" s="1096" t="e">
        <f t="shared" ref="P76:V76" si="45">Q23*$D$54+P23*$E$54+O23*$F$54+N23*$G$54+M23*$H$54+D23*$J$54</f>
        <v>#REF!</v>
      </c>
      <c r="Q76" s="1096" t="e">
        <f t="shared" si="45"/>
        <v>#REF!</v>
      </c>
      <c r="R76" s="1096" t="e">
        <f t="shared" si="45"/>
        <v>#REF!</v>
      </c>
      <c r="S76" s="1096" t="e">
        <f t="shared" si="45"/>
        <v>#REF!</v>
      </c>
      <c r="T76" s="1096" t="e">
        <f t="shared" si="45"/>
        <v>#REF!</v>
      </c>
      <c r="U76" s="1096" t="e">
        <f t="shared" si="45"/>
        <v>#REF!</v>
      </c>
      <c r="V76" s="1096" t="e">
        <f t="shared" si="45"/>
        <v>#REF!</v>
      </c>
      <c r="W76" s="1096" t="e">
        <f t="shared" ref="W76:AM76" si="46">X23*$D$54+W23*$E$54+V23*$F$54+U23*$G$54+T23*$H$54+K23*$J$54</f>
        <v>#REF!</v>
      </c>
      <c r="X76" s="1096" t="e">
        <f t="shared" si="46"/>
        <v>#REF!</v>
      </c>
      <c r="Y76" s="1096" t="e">
        <f t="shared" si="46"/>
        <v>#REF!</v>
      </c>
      <c r="Z76" s="1096" t="e">
        <f t="shared" si="46"/>
        <v>#REF!</v>
      </c>
      <c r="AA76" s="1096" t="e">
        <f t="shared" si="46"/>
        <v>#REF!</v>
      </c>
      <c r="AB76" s="1096" t="e">
        <f t="shared" si="46"/>
        <v>#REF!</v>
      </c>
      <c r="AC76" s="1096" t="e">
        <f t="shared" si="46"/>
        <v>#REF!</v>
      </c>
      <c r="AD76" s="1096" t="e">
        <f t="shared" si="46"/>
        <v>#REF!</v>
      </c>
      <c r="AE76" s="1096" t="e">
        <f t="shared" si="46"/>
        <v>#REF!</v>
      </c>
      <c r="AF76" s="1096" t="e">
        <f t="shared" si="46"/>
        <v>#REF!</v>
      </c>
      <c r="AG76" s="1096" t="e">
        <f t="shared" si="46"/>
        <v>#REF!</v>
      </c>
      <c r="AH76" s="1096" t="e">
        <f t="shared" si="46"/>
        <v>#REF!</v>
      </c>
      <c r="AI76" s="1096" t="e">
        <f t="shared" si="46"/>
        <v>#REF!</v>
      </c>
      <c r="AJ76" s="1096" t="e">
        <f t="shared" si="46"/>
        <v>#REF!</v>
      </c>
      <c r="AK76" s="1096" t="e">
        <f t="shared" si="46"/>
        <v>#REF!</v>
      </c>
      <c r="AL76" s="1096" t="e">
        <f t="shared" si="46"/>
        <v>#REF!</v>
      </c>
      <c r="AM76" s="1096" t="e">
        <f t="shared" si="46"/>
        <v>#REF!</v>
      </c>
      <c r="AQ76" s="85"/>
      <c r="AR76" s="422" t="s">
        <v>1323</v>
      </c>
      <c r="AT76" s="85"/>
      <c r="AU76" s="422" t="s">
        <v>1324</v>
      </c>
    </row>
    <row r="77" spans="1:47" s="440" customFormat="1" ht="18">
      <c r="A77" s="438" t="s">
        <v>223</v>
      </c>
      <c r="B77" s="438"/>
      <c r="C77" s="439"/>
      <c r="D77" s="437" t="e">
        <f>D60+D68</f>
        <v>#REF!</v>
      </c>
      <c r="E77" s="437" t="e">
        <f t="shared" ref="E77:AM77" si="47">E60+E68</f>
        <v>#REF!</v>
      </c>
      <c r="F77" s="437" t="e">
        <f t="shared" si="47"/>
        <v>#REF!</v>
      </c>
      <c r="G77" s="437" t="e">
        <f t="shared" si="47"/>
        <v>#REF!</v>
      </c>
      <c r="H77" s="437" t="e">
        <f t="shared" si="47"/>
        <v>#REF!</v>
      </c>
      <c r="I77" s="437" t="e">
        <f t="shared" si="47"/>
        <v>#REF!</v>
      </c>
      <c r="J77" s="437" t="e">
        <f t="shared" si="47"/>
        <v>#REF!</v>
      </c>
      <c r="K77" s="437" t="e">
        <f t="shared" si="47"/>
        <v>#REF!</v>
      </c>
      <c r="L77" s="437" t="e">
        <f t="shared" si="47"/>
        <v>#REF!</v>
      </c>
      <c r="M77" s="437" t="e">
        <f t="shared" si="47"/>
        <v>#REF!</v>
      </c>
      <c r="N77" s="437" t="e">
        <f t="shared" si="47"/>
        <v>#REF!</v>
      </c>
      <c r="O77" s="437" t="e">
        <f t="shared" si="47"/>
        <v>#REF!</v>
      </c>
      <c r="P77" s="437" t="e">
        <f t="shared" si="47"/>
        <v>#REF!</v>
      </c>
      <c r="Q77" s="437" t="e">
        <f t="shared" si="47"/>
        <v>#REF!</v>
      </c>
      <c r="R77" s="437" t="e">
        <f t="shared" si="47"/>
        <v>#REF!</v>
      </c>
      <c r="S77" s="437" t="e">
        <f t="shared" si="47"/>
        <v>#REF!</v>
      </c>
      <c r="T77" s="437" t="e">
        <f t="shared" si="47"/>
        <v>#REF!</v>
      </c>
      <c r="U77" s="437" t="e">
        <f t="shared" si="47"/>
        <v>#REF!</v>
      </c>
      <c r="V77" s="437" t="e">
        <f t="shared" si="47"/>
        <v>#REF!</v>
      </c>
      <c r="W77" s="437" t="e">
        <f t="shared" si="47"/>
        <v>#REF!</v>
      </c>
      <c r="X77" s="437" t="e">
        <f t="shared" si="47"/>
        <v>#REF!</v>
      </c>
      <c r="Y77" s="437" t="e">
        <f t="shared" si="47"/>
        <v>#REF!</v>
      </c>
      <c r="Z77" s="437" t="e">
        <f t="shared" si="47"/>
        <v>#REF!</v>
      </c>
      <c r="AA77" s="437" t="e">
        <f t="shared" si="47"/>
        <v>#REF!</v>
      </c>
      <c r="AB77" s="437" t="e">
        <f t="shared" si="47"/>
        <v>#REF!</v>
      </c>
      <c r="AC77" s="437" t="e">
        <f t="shared" si="47"/>
        <v>#REF!</v>
      </c>
      <c r="AD77" s="437" t="e">
        <f t="shared" si="47"/>
        <v>#REF!</v>
      </c>
      <c r="AE77" s="437" t="e">
        <f t="shared" si="47"/>
        <v>#REF!</v>
      </c>
      <c r="AF77" s="437" t="e">
        <f t="shared" si="47"/>
        <v>#REF!</v>
      </c>
      <c r="AG77" s="437" t="e">
        <f t="shared" si="47"/>
        <v>#REF!</v>
      </c>
      <c r="AH77" s="437" t="e">
        <f t="shared" si="47"/>
        <v>#REF!</v>
      </c>
      <c r="AI77" s="437" t="e">
        <f t="shared" si="47"/>
        <v>#REF!</v>
      </c>
      <c r="AJ77" s="437" t="e">
        <f t="shared" si="47"/>
        <v>#REF!</v>
      </c>
      <c r="AK77" s="437" t="e">
        <f t="shared" si="47"/>
        <v>#REF!</v>
      </c>
      <c r="AL77" s="437" t="e">
        <f t="shared" si="47"/>
        <v>#REF!</v>
      </c>
      <c r="AM77" s="437" t="e">
        <f t="shared" si="47"/>
        <v>#REF!</v>
      </c>
      <c r="AQ77" s="438" t="s">
        <v>223</v>
      </c>
      <c r="AR77" s="438"/>
      <c r="AT77" s="438" t="s">
        <v>223</v>
      </c>
      <c r="AU77" s="438"/>
    </row>
    <row r="78" spans="1:47" ht="15">
      <c r="A78" s="5"/>
      <c r="B78" s="11"/>
      <c r="C78" s="40"/>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Q78" s="5"/>
      <c r="AR78" s="11"/>
      <c r="AT78" s="5"/>
      <c r="AU78" s="11"/>
    </row>
    <row r="79" spans="1:47" s="440" customFormat="1" ht="18">
      <c r="A79" s="438" t="s">
        <v>225</v>
      </c>
      <c r="B79" s="438"/>
      <c r="C79" s="441"/>
      <c r="D79" s="437" t="e">
        <f>D58+D77</f>
        <v>#REF!</v>
      </c>
      <c r="E79" s="437" t="e">
        <f t="shared" ref="E79:AM79" si="48">E58+E77</f>
        <v>#REF!</v>
      </c>
      <c r="F79" s="437" t="e">
        <f t="shared" si="48"/>
        <v>#REF!</v>
      </c>
      <c r="G79" s="437" t="e">
        <f t="shared" si="48"/>
        <v>#REF!</v>
      </c>
      <c r="H79" s="437" t="e">
        <f t="shared" si="48"/>
        <v>#REF!</v>
      </c>
      <c r="I79" s="437" t="e">
        <f t="shared" si="48"/>
        <v>#REF!</v>
      </c>
      <c r="J79" s="437" t="e">
        <f t="shared" si="48"/>
        <v>#REF!</v>
      </c>
      <c r="K79" s="437" t="e">
        <f t="shared" si="48"/>
        <v>#REF!</v>
      </c>
      <c r="L79" s="437" t="e">
        <f t="shared" si="48"/>
        <v>#REF!</v>
      </c>
      <c r="M79" s="437" t="e">
        <f t="shared" si="48"/>
        <v>#REF!</v>
      </c>
      <c r="N79" s="437" t="e">
        <f t="shared" si="48"/>
        <v>#REF!</v>
      </c>
      <c r="O79" s="437" t="e">
        <f t="shared" si="48"/>
        <v>#REF!</v>
      </c>
      <c r="P79" s="437" t="e">
        <f t="shared" si="48"/>
        <v>#REF!</v>
      </c>
      <c r="Q79" s="437" t="e">
        <f t="shared" si="48"/>
        <v>#REF!</v>
      </c>
      <c r="R79" s="437" t="e">
        <f t="shared" si="48"/>
        <v>#REF!</v>
      </c>
      <c r="S79" s="437" t="e">
        <f t="shared" si="48"/>
        <v>#REF!</v>
      </c>
      <c r="T79" s="437" t="e">
        <f t="shared" si="48"/>
        <v>#REF!</v>
      </c>
      <c r="U79" s="437" t="e">
        <f t="shared" si="48"/>
        <v>#REF!</v>
      </c>
      <c r="V79" s="437" t="e">
        <f t="shared" si="48"/>
        <v>#REF!</v>
      </c>
      <c r="W79" s="437" t="e">
        <f t="shared" si="48"/>
        <v>#REF!</v>
      </c>
      <c r="X79" s="437" t="e">
        <f t="shared" si="48"/>
        <v>#REF!</v>
      </c>
      <c r="Y79" s="437" t="e">
        <f t="shared" si="48"/>
        <v>#REF!</v>
      </c>
      <c r="Z79" s="437" t="e">
        <f t="shared" si="48"/>
        <v>#REF!</v>
      </c>
      <c r="AA79" s="437" t="e">
        <f t="shared" si="48"/>
        <v>#REF!</v>
      </c>
      <c r="AB79" s="437" t="e">
        <f t="shared" si="48"/>
        <v>#REF!</v>
      </c>
      <c r="AC79" s="437" t="e">
        <f t="shared" si="48"/>
        <v>#REF!</v>
      </c>
      <c r="AD79" s="437" t="e">
        <f t="shared" si="48"/>
        <v>#REF!</v>
      </c>
      <c r="AE79" s="437" t="e">
        <f t="shared" si="48"/>
        <v>#REF!</v>
      </c>
      <c r="AF79" s="437" t="e">
        <f t="shared" si="48"/>
        <v>#REF!</v>
      </c>
      <c r="AG79" s="437" t="e">
        <f t="shared" si="48"/>
        <v>#REF!</v>
      </c>
      <c r="AH79" s="437" t="e">
        <f t="shared" si="48"/>
        <v>#REF!</v>
      </c>
      <c r="AI79" s="437" t="e">
        <f t="shared" si="48"/>
        <v>#REF!</v>
      </c>
      <c r="AJ79" s="437" t="e">
        <f t="shared" si="48"/>
        <v>#REF!</v>
      </c>
      <c r="AK79" s="437" t="e">
        <f t="shared" si="48"/>
        <v>#REF!</v>
      </c>
      <c r="AL79" s="437" t="e">
        <f t="shared" si="48"/>
        <v>#REF!</v>
      </c>
      <c r="AM79" s="437" t="e">
        <f t="shared" si="48"/>
        <v>#REF!</v>
      </c>
      <c r="AQ79" s="438" t="s">
        <v>225</v>
      </c>
      <c r="AR79" s="438"/>
      <c r="AT79" s="438" t="s">
        <v>225</v>
      </c>
      <c r="AU79" s="438"/>
    </row>
    <row r="80" spans="1:47">
      <c r="AM80" s="442" t="e">
        <f>AM79-AB79</f>
        <v>#REF!</v>
      </c>
    </row>
  </sheetData>
  <mergeCells count="6">
    <mergeCell ref="A8:B8"/>
    <mergeCell ref="A28:B28"/>
    <mergeCell ref="AQ8:AR8"/>
    <mergeCell ref="AQ28:AR28"/>
    <mergeCell ref="AT8:AU8"/>
    <mergeCell ref="AT28:AU28"/>
  </mergeCells>
  <phoneticPr fontId="115" type="noConversion"/>
  <pageMargins left="0.78740157499999996" right="0.78740157499999996" top="0.984251969" bottom="0.984251969" header="0.4921259845" footer="0.4921259845"/>
  <pageSetup paperSize="9" scale="64" orientation="landscape" r:id="rId1"/>
  <headerFooter alignWithMargins="0"/>
  <rowBreaks count="2" manualBreakCount="2">
    <brk id="43" max="16383" man="1"/>
    <brk id="79" max="16383" man="1"/>
  </rowBreaks>
  <colBreaks count="1" manualBreakCount="1">
    <brk id="15" max="1048575" man="1"/>
  </colBreaks>
  <drawing r:id="rId2"/>
</worksheet>
</file>

<file path=xl/worksheets/sheet42.xml><?xml version="1.0" encoding="utf-8"?>
<worksheet xmlns="http://schemas.openxmlformats.org/spreadsheetml/2006/main" xmlns:r="http://schemas.openxmlformats.org/officeDocument/2006/relationships">
  <sheetPr codeName="Feuil14">
    <tabColor rgb="FFFF0000"/>
  </sheetPr>
  <dimension ref="A1:F69"/>
  <sheetViews>
    <sheetView workbookViewId="0">
      <selection activeCell="D15" sqref="D15"/>
    </sheetView>
  </sheetViews>
  <sheetFormatPr baseColWidth="10" defaultColWidth="11.42578125" defaultRowHeight="12.75"/>
  <cols>
    <col min="1" max="2" width="11.42578125" style="1153"/>
    <col min="3" max="3" width="24.5703125" style="1153" bestFit="1" customWidth="1"/>
    <col min="4" max="4" width="11.42578125" style="1153"/>
    <col min="5" max="5" width="53.140625" style="1153" customWidth="1"/>
    <col min="6" max="6" width="52.7109375" style="1153" customWidth="1"/>
    <col min="7" max="16384" width="11.42578125" style="1153"/>
  </cols>
  <sheetData>
    <row r="1" spans="1:6" ht="13.5" thickBot="1">
      <c r="A1" s="1184" t="s">
        <v>559</v>
      </c>
      <c r="B1" s="1185" t="s">
        <v>556</v>
      </c>
      <c r="C1" s="1185" t="s">
        <v>557</v>
      </c>
      <c r="D1" s="1185" t="s">
        <v>178</v>
      </c>
      <c r="E1" s="1185" t="s">
        <v>561</v>
      </c>
      <c r="F1" s="1186" t="s">
        <v>558</v>
      </c>
    </row>
    <row r="2" spans="1:6" s="1155" customFormat="1" ht="5.0999999999999996" customHeight="1">
      <c r="A2" s="1154"/>
      <c r="B2" s="1154"/>
      <c r="C2" s="1154"/>
      <c r="D2" s="1154" t="b">
        <v>0</v>
      </c>
      <c r="E2" s="1154"/>
      <c r="F2" s="1154"/>
    </row>
    <row r="3" spans="1:6" s="1155" customFormat="1" ht="5.0999999999999996" customHeight="1" thickBot="1">
      <c r="A3" s="1154"/>
      <c r="B3" s="1154"/>
      <c r="C3" s="1154"/>
      <c r="D3" s="1154" t="b">
        <v>1</v>
      </c>
      <c r="E3" s="1154"/>
      <c r="F3" s="1154"/>
    </row>
    <row r="4" spans="1:6" ht="26.25" thickBot="1">
      <c r="A4" s="1156" t="s">
        <v>314</v>
      </c>
      <c r="B4" s="1157"/>
      <c r="C4" s="1156" t="s">
        <v>560</v>
      </c>
      <c r="D4" s="1158" t="b">
        <f>+'Synthèse projet'!D30+'Synthèse projet'!D31-Immobilier!D30=0</f>
        <v>1</v>
      </c>
      <c r="E4" s="1179" t="s">
        <v>859</v>
      </c>
      <c r="F4" s="1173" t="s">
        <v>574</v>
      </c>
    </row>
    <row r="5" spans="1:6" ht="26.25" thickBot="1">
      <c r="A5" s="1159" t="s">
        <v>314</v>
      </c>
      <c r="B5" s="1160"/>
      <c r="C5" s="1159" t="s">
        <v>562</v>
      </c>
      <c r="D5" s="1161" t="b">
        <f>'Synthèse projet'!C33:D33+'Synthèse projet'!C34:D34=Informatique!I50</f>
        <v>1</v>
      </c>
      <c r="E5" s="1180" t="s">
        <v>563</v>
      </c>
      <c r="F5" s="1174" t="s">
        <v>564</v>
      </c>
    </row>
    <row r="6" spans="1:6" ht="13.5" thickBot="1">
      <c r="A6" s="1159" t="s">
        <v>1</v>
      </c>
      <c r="B6" s="1160"/>
      <c r="C6" s="1159" t="s">
        <v>565</v>
      </c>
      <c r="D6" s="1161" t="b">
        <f>+Immobilier!D31=SUM(Informatique!D31:I31)</f>
        <v>1</v>
      </c>
      <c r="E6" s="1180" t="s">
        <v>566</v>
      </c>
      <c r="F6" s="1174" t="s">
        <v>567</v>
      </c>
    </row>
    <row r="7" spans="1:6" ht="13.5" thickBot="1">
      <c r="A7" s="1159" t="s">
        <v>314</v>
      </c>
      <c r="B7" s="1160"/>
      <c r="C7" s="1159" t="s">
        <v>568</v>
      </c>
      <c r="D7" s="1161" t="b">
        <f>'Synthèse projet'!C32:D32-Equipement!G47=0</f>
        <v>1</v>
      </c>
      <c r="E7" s="1180" t="s">
        <v>570</v>
      </c>
      <c r="F7" s="1174" t="s">
        <v>572</v>
      </c>
    </row>
    <row r="8" spans="1:6" ht="13.5" thickBot="1">
      <c r="A8" s="1159" t="s">
        <v>314</v>
      </c>
      <c r="B8" s="1160"/>
      <c r="C8" s="1159" t="s">
        <v>569</v>
      </c>
      <c r="D8" s="1161" t="b">
        <f>+'Synthèse projet'!F32-Equipement!G48=0</f>
        <v>1</v>
      </c>
      <c r="E8" s="1180" t="s">
        <v>571</v>
      </c>
      <c r="F8" s="1174" t="s">
        <v>572</v>
      </c>
    </row>
    <row r="9" spans="1:6" ht="13.5" thickBot="1">
      <c r="A9" s="1159" t="s">
        <v>314</v>
      </c>
      <c r="B9" s="1160"/>
      <c r="C9" s="1159" t="s">
        <v>573</v>
      </c>
      <c r="D9" s="1161" t="b">
        <f>+Immobilier!H32-'Synthèse projet'!F31=0</f>
        <v>1</v>
      </c>
      <c r="E9" s="1174" t="s">
        <v>494</v>
      </c>
      <c r="F9" s="1174" t="s">
        <v>575</v>
      </c>
    </row>
    <row r="10" spans="1:6" ht="13.5" thickBot="1">
      <c r="A10" s="1159" t="s">
        <v>75</v>
      </c>
      <c r="B10" s="1160"/>
      <c r="C10" s="1159" t="s">
        <v>6</v>
      </c>
      <c r="D10" s="1161" t="b">
        <f>SUM(Financier!D24:N24)-'Synthèse projet'!C35:D35=0</f>
        <v>1</v>
      </c>
      <c r="E10" s="1180" t="s">
        <v>576</v>
      </c>
      <c r="F10" s="1174" t="s">
        <v>577</v>
      </c>
    </row>
    <row r="11" spans="1:6" ht="13.5" thickBot="1">
      <c r="A11" s="1162" t="s">
        <v>75</v>
      </c>
      <c r="B11" s="1163"/>
      <c r="C11" s="1164" t="s">
        <v>578</v>
      </c>
      <c r="D11" s="1165" t="e">
        <f>+Financier!$D$63-'Cpte exploitation 1+2+3'!$D$64=0</f>
        <v>#REF!</v>
      </c>
      <c r="E11" s="1181" t="s">
        <v>579</v>
      </c>
      <c r="F11" s="1175" t="s">
        <v>580</v>
      </c>
    </row>
    <row r="12" spans="1:6" ht="13.5" thickBot="1">
      <c r="A12" s="1162" t="s">
        <v>75</v>
      </c>
      <c r="B12" s="1166"/>
      <c r="C12" s="1167" t="s">
        <v>578</v>
      </c>
      <c r="D12" s="1168" t="e">
        <f>+Financier!$E$63-'Cpte exploitation 1+2+3'!$E$64=0</f>
        <v>#REF!</v>
      </c>
      <c r="E12" s="1182" t="s">
        <v>586</v>
      </c>
      <c r="F12" s="1176" t="s">
        <v>581</v>
      </c>
    </row>
    <row r="13" spans="1:6" ht="13.5" thickBot="1">
      <c r="A13" s="1162" t="s">
        <v>75</v>
      </c>
      <c r="B13" s="1166"/>
      <c r="C13" s="1167" t="s">
        <v>578</v>
      </c>
      <c r="D13" s="1168" t="e">
        <f>+Financier!$F$63-'Cpte exploitation 1+2+3'!$F$64=0</f>
        <v>#REF!</v>
      </c>
      <c r="E13" s="1182" t="s">
        <v>587</v>
      </c>
      <c r="F13" s="1176" t="s">
        <v>582</v>
      </c>
    </row>
    <row r="14" spans="1:6" ht="13.5" thickBot="1">
      <c r="A14" s="1162" t="s">
        <v>75</v>
      </c>
      <c r="B14" s="1166"/>
      <c r="C14" s="1167" t="s">
        <v>578</v>
      </c>
      <c r="D14" s="1168" t="e">
        <f>+Financier!$G$63-'Cpte exploitation 1+2+3'!$G$64=0</f>
        <v>#REF!</v>
      </c>
      <c r="E14" s="1182" t="s">
        <v>588</v>
      </c>
      <c r="F14" s="1176" t="s">
        <v>583</v>
      </c>
    </row>
    <row r="15" spans="1:6" ht="13.5" thickBot="1">
      <c r="A15" s="1162" t="s">
        <v>75</v>
      </c>
      <c r="B15" s="1166"/>
      <c r="C15" s="1167" t="s">
        <v>578</v>
      </c>
      <c r="D15" s="1168" t="e">
        <f>+Financier!$H$63-'Cpte exploitation 1+2+3'!$H$64=0</f>
        <v>#REF!</v>
      </c>
      <c r="E15" s="1182" t="s">
        <v>589</v>
      </c>
      <c r="F15" s="1176" t="s">
        <v>584</v>
      </c>
    </row>
    <row r="16" spans="1:6" ht="13.5" thickBot="1">
      <c r="A16" s="1162" t="s">
        <v>75</v>
      </c>
      <c r="B16" s="1166"/>
      <c r="C16" s="1167" t="s">
        <v>578</v>
      </c>
      <c r="D16" s="1168" t="e">
        <f>+Financier!$I$63-'Cpte exploitation 1+2+3'!$I$64=0</f>
        <v>#REF!</v>
      </c>
      <c r="E16" s="1182" t="s">
        <v>590</v>
      </c>
      <c r="F16" s="1176" t="s">
        <v>585</v>
      </c>
    </row>
    <row r="17" spans="1:6" ht="13.5" thickBot="1">
      <c r="A17" s="1169" t="s">
        <v>75</v>
      </c>
      <c r="B17" s="1170"/>
      <c r="C17" s="1169" t="s">
        <v>591</v>
      </c>
      <c r="D17" s="1171" t="b">
        <f>Financier!C124=12.5%</f>
        <v>0</v>
      </c>
      <c r="E17" s="1183" t="s">
        <v>592</v>
      </c>
      <c r="F17" s="1177" t="s">
        <v>593</v>
      </c>
    </row>
    <row r="18" spans="1:6" ht="26.25" thickBot="1">
      <c r="A18" s="1159" t="s">
        <v>314</v>
      </c>
      <c r="B18" s="1160"/>
      <c r="C18" s="1159" t="s">
        <v>634</v>
      </c>
      <c r="D18" s="1161" t="e">
        <f>+'Synthèse projet'!$E$41-'Cpte exploitation 1+2+3'!$D$19=0</f>
        <v>#REF!</v>
      </c>
      <c r="E18" s="1180" t="s">
        <v>594</v>
      </c>
      <c r="F18" s="1178" t="s">
        <v>600</v>
      </c>
    </row>
    <row r="19" spans="1:6" ht="26.25" thickBot="1">
      <c r="A19" s="1159" t="s">
        <v>314</v>
      </c>
      <c r="B19" s="1160"/>
      <c r="C19" s="1159" t="s">
        <v>634</v>
      </c>
      <c r="D19" s="1161" t="e">
        <f>+'Synthèse projet'!$E$44-'Cpte exploitation 1+2+3'!$D$64=0</f>
        <v>#REF!</v>
      </c>
      <c r="E19" s="1180" t="s">
        <v>595</v>
      </c>
      <c r="F19" s="1178" t="s">
        <v>597</v>
      </c>
    </row>
    <row r="20" spans="1:6" ht="26.25" thickBot="1">
      <c r="A20" s="1159" t="s">
        <v>314</v>
      </c>
      <c r="B20" s="1160"/>
      <c r="C20" s="1159" t="s">
        <v>634</v>
      </c>
      <c r="D20" s="1161" t="b">
        <f>+'Synthèse projet'!$E$50-'Cpte exploitation 1+2+3'!$D$71=0</f>
        <v>1</v>
      </c>
      <c r="E20" s="1180" t="s">
        <v>596</v>
      </c>
      <c r="F20" s="1178" t="s">
        <v>598</v>
      </c>
    </row>
    <row r="21" spans="1:6" ht="26.25" thickBot="1">
      <c r="A21" s="1159" t="s">
        <v>314</v>
      </c>
      <c r="B21" s="1160"/>
      <c r="C21" s="1159" t="s">
        <v>634</v>
      </c>
      <c r="D21" s="1161" t="e">
        <f>+'Synthèse projet'!$F$41-'Cpte exploitation 1+2+3'!$E$19=0</f>
        <v>#REF!</v>
      </c>
      <c r="E21" s="1180" t="s">
        <v>612</v>
      </c>
      <c r="F21" s="1178" t="s">
        <v>599</v>
      </c>
    </row>
    <row r="22" spans="1:6" ht="26.25" thickBot="1">
      <c r="A22" s="1159" t="s">
        <v>314</v>
      </c>
      <c r="B22" s="1160"/>
      <c r="C22" s="1159" t="s">
        <v>634</v>
      </c>
      <c r="D22" s="1161" t="e">
        <f>+'Synthèse projet'!$F$44-'Cpte exploitation 1+2+3'!$E$64=0</f>
        <v>#REF!</v>
      </c>
      <c r="E22" s="1180" t="s">
        <v>613</v>
      </c>
      <c r="F22" s="1178" t="s">
        <v>601</v>
      </c>
    </row>
    <row r="23" spans="1:6" ht="26.25" thickBot="1">
      <c r="A23" s="1159" t="s">
        <v>314</v>
      </c>
      <c r="B23" s="1160"/>
      <c r="C23" s="1159" t="s">
        <v>634</v>
      </c>
      <c r="D23" s="1161" t="b">
        <f>+'Synthèse projet'!$F$50-'Cpte exploitation 1+2+3'!$E$71=0</f>
        <v>1</v>
      </c>
      <c r="E23" s="1180" t="s">
        <v>614</v>
      </c>
      <c r="F23" s="1178" t="s">
        <v>602</v>
      </c>
    </row>
    <row r="24" spans="1:6" ht="26.25" thickBot="1">
      <c r="A24" s="1159" t="s">
        <v>314</v>
      </c>
      <c r="B24" s="1160"/>
      <c r="C24" s="1159" t="s">
        <v>634</v>
      </c>
      <c r="D24" s="1161" t="e">
        <f>+'Synthèse projet'!$G$41-'Cpte exploitation 1+2+3'!$F$19=0</f>
        <v>#REF!</v>
      </c>
      <c r="E24" s="1180" t="s">
        <v>615</v>
      </c>
      <c r="F24" s="1178" t="s">
        <v>603</v>
      </c>
    </row>
    <row r="25" spans="1:6" ht="26.25" thickBot="1">
      <c r="A25" s="1159" t="s">
        <v>314</v>
      </c>
      <c r="B25" s="1160"/>
      <c r="C25" s="1159" t="s">
        <v>634</v>
      </c>
      <c r="D25" s="1161" t="e">
        <f>+'Synthèse projet'!$G$44-'Cpte exploitation 1+2+3'!$F$64=0</f>
        <v>#REF!</v>
      </c>
      <c r="E25" s="1180" t="s">
        <v>622</v>
      </c>
      <c r="F25" s="1178" t="s">
        <v>604</v>
      </c>
    </row>
    <row r="26" spans="1:6" ht="26.25" thickBot="1">
      <c r="A26" s="1159" t="s">
        <v>314</v>
      </c>
      <c r="B26" s="1160"/>
      <c r="C26" s="1159" t="s">
        <v>634</v>
      </c>
      <c r="D26" s="1161" t="b">
        <f>+'Synthèse projet'!$G$50-'Cpte exploitation 1+2+3'!$F$71=0</f>
        <v>1</v>
      </c>
      <c r="E26" s="1180" t="s">
        <v>623</v>
      </c>
      <c r="F26" s="1178" t="s">
        <v>605</v>
      </c>
    </row>
    <row r="27" spans="1:6" ht="26.25" thickBot="1">
      <c r="A27" s="1159" t="s">
        <v>314</v>
      </c>
      <c r="B27" s="1160"/>
      <c r="C27" s="1159" t="s">
        <v>634</v>
      </c>
      <c r="D27" s="1161" t="e">
        <f>+'Synthèse projet'!$H$41-'Cpte exploitation 1+2+3'!$G$19=0</f>
        <v>#REF!</v>
      </c>
      <c r="E27" s="1180" t="s">
        <v>616</v>
      </c>
      <c r="F27" s="1178" t="s">
        <v>606</v>
      </c>
    </row>
    <row r="28" spans="1:6" ht="26.25" thickBot="1">
      <c r="A28" s="1159" t="s">
        <v>314</v>
      </c>
      <c r="B28" s="1160"/>
      <c r="C28" s="1159" t="s">
        <v>634</v>
      </c>
      <c r="D28" s="1161" t="e">
        <f>+'Synthèse projet'!$H$44-'Cpte exploitation 1+2+3'!$G$64=0</f>
        <v>#REF!</v>
      </c>
      <c r="E28" s="1180" t="s">
        <v>617</v>
      </c>
      <c r="F28" s="1178" t="s">
        <v>607</v>
      </c>
    </row>
    <row r="29" spans="1:6" ht="26.25" thickBot="1">
      <c r="A29" s="1159" t="s">
        <v>314</v>
      </c>
      <c r="B29" s="1160"/>
      <c r="C29" s="1159" t="s">
        <v>634</v>
      </c>
      <c r="D29" s="1161" t="b">
        <f>+'Synthèse projet'!$H$50-'Cpte exploitation 1+2+3'!$G$71=0</f>
        <v>1</v>
      </c>
      <c r="E29" s="1180" t="s">
        <v>618</v>
      </c>
      <c r="F29" s="1178" t="s">
        <v>608</v>
      </c>
    </row>
    <row r="30" spans="1:6" ht="26.25" thickBot="1">
      <c r="A30" s="1159" t="s">
        <v>314</v>
      </c>
      <c r="B30" s="1160"/>
      <c r="C30" s="1159" t="s">
        <v>634</v>
      </c>
      <c r="D30" s="1161" t="e">
        <f>+'Synthèse projet'!$I$41-'Cpte exploitation 1+2+3'!$H$19=0</f>
        <v>#REF!</v>
      </c>
      <c r="E30" s="1180" t="s">
        <v>619</v>
      </c>
      <c r="F30" s="1178" t="s">
        <v>609</v>
      </c>
    </row>
    <row r="31" spans="1:6" ht="26.25" thickBot="1">
      <c r="A31" s="1159" t="s">
        <v>314</v>
      </c>
      <c r="B31" s="1160"/>
      <c r="C31" s="1159" t="s">
        <v>634</v>
      </c>
      <c r="D31" s="1161" t="e">
        <f>+'Synthèse projet'!$I$44-'Cpte exploitation 1+2+3'!$H$64=0</f>
        <v>#REF!</v>
      </c>
      <c r="E31" s="1180" t="s">
        <v>620</v>
      </c>
      <c r="F31" s="1178" t="s">
        <v>610</v>
      </c>
    </row>
    <row r="32" spans="1:6" ht="26.25" thickBot="1">
      <c r="A32" s="1159" t="s">
        <v>314</v>
      </c>
      <c r="B32" s="1160"/>
      <c r="C32" s="1159" t="s">
        <v>634</v>
      </c>
      <c r="D32" s="1161" t="b">
        <f>+'Synthèse projet'!$I$50-'Cpte exploitation 1+2+3'!$H$71=0</f>
        <v>1</v>
      </c>
      <c r="E32" s="1180" t="s">
        <v>621</v>
      </c>
      <c r="F32" s="1178" t="s">
        <v>611</v>
      </c>
    </row>
    <row r="33" spans="1:6" ht="13.5" thickBot="1">
      <c r="A33" s="1159" t="s">
        <v>314</v>
      </c>
      <c r="B33" s="1160"/>
      <c r="C33" s="1172" t="s">
        <v>624</v>
      </c>
      <c r="D33" s="1161" t="e">
        <f>+'Synthèse projet'!B39=MAX(Financier!D103:I103)</f>
        <v>#REF!</v>
      </c>
      <c r="E33" s="1180" t="s">
        <v>630</v>
      </c>
      <c r="F33" s="1178" t="s">
        <v>633</v>
      </c>
    </row>
    <row r="34" spans="1:6" ht="13.5" thickBot="1">
      <c r="A34" s="1159" t="s">
        <v>314</v>
      </c>
      <c r="B34" s="1160"/>
      <c r="C34" s="1172" t="s">
        <v>61</v>
      </c>
      <c r="D34" s="1161" t="e">
        <f>+'Synthèse projet'!D39=MAX(Financier!D104:N104)</f>
        <v>#REF!</v>
      </c>
      <c r="E34" s="1180" t="s">
        <v>631</v>
      </c>
      <c r="F34" s="1178" t="s">
        <v>633</v>
      </c>
    </row>
    <row r="35" spans="1:6" ht="13.5" thickBot="1">
      <c r="A35" s="1159" t="s">
        <v>314</v>
      </c>
      <c r="B35" s="1160"/>
      <c r="C35" s="1172" t="s">
        <v>62</v>
      </c>
      <c r="D35" s="1161" t="e">
        <f>+'Synthèse projet'!F39=MAX(Financier!D125:N125)</f>
        <v>#REF!</v>
      </c>
      <c r="E35" s="1180" t="s">
        <v>860</v>
      </c>
      <c r="F35" s="1178" t="s">
        <v>633</v>
      </c>
    </row>
    <row r="36" spans="1:6" ht="13.5" thickBot="1">
      <c r="A36" s="1159" t="s">
        <v>314</v>
      </c>
      <c r="B36" s="1160"/>
      <c r="C36" s="1172" t="s">
        <v>37</v>
      </c>
      <c r="D36" s="1161" t="e">
        <f>+'Synthèse projet'!I39=MAX(Financier!D126:N126)</f>
        <v>#REF!</v>
      </c>
      <c r="E36" s="1180" t="s">
        <v>632</v>
      </c>
      <c r="F36" s="1178" t="s">
        <v>633</v>
      </c>
    </row>
    <row r="37" spans="1:6" ht="13.5" thickBot="1">
      <c r="A37" s="1159" t="s">
        <v>627</v>
      </c>
      <c r="B37" s="1160"/>
      <c r="C37" s="1172" t="s">
        <v>626</v>
      </c>
      <c r="D37" s="1161" t="e">
        <f>+#REF!&gt;0</f>
        <v>#REF!</v>
      </c>
      <c r="E37" s="1180" t="s">
        <v>628</v>
      </c>
      <c r="F37" s="1178" t="s">
        <v>629</v>
      </c>
    </row>
    <row r="38" spans="1:6" ht="39" thickBot="1">
      <c r="A38" s="1159" t="s">
        <v>54</v>
      </c>
      <c r="B38" s="1160"/>
      <c r="C38" s="1159" t="s">
        <v>639</v>
      </c>
      <c r="D38" s="1161" t="e">
        <f>+'Cpte exploitation 1+2+3'!E36&gt;=Equipement!D62</f>
        <v>#REF!</v>
      </c>
      <c r="E38" s="1180" t="s">
        <v>642</v>
      </c>
      <c r="F38" s="1178" t="s">
        <v>635</v>
      </c>
    </row>
    <row r="39" spans="1:6" ht="39" thickBot="1">
      <c r="A39" s="1159" t="s">
        <v>54</v>
      </c>
      <c r="B39" s="1160"/>
      <c r="C39" s="1159" t="s">
        <v>639</v>
      </c>
      <c r="D39" s="1161" t="e">
        <f>+'Cpte exploitation 1+2+3'!F36&gt;=Equipement!E62</f>
        <v>#REF!</v>
      </c>
      <c r="E39" s="1180" t="s">
        <v>644</v>
      </c>
      <c r="F39" s="1178" t="s">
        <v>635</v>
      </c>
    </row>
    <row r="40" spans="1:6" ht="39" thickBot="1">
      <c r="A40" s="1159" t="s">
        <v>54</v>
      </c>
      <c r="B40" s="1160"/>
      <c r="C40" s="1159" t="s">
        <v>639</v>
      </c>
      <c r="D40" s="1161" t="e">
        <f>+'Cpte exploitation 1+2+3'!G36&gt;=Equipement!F62</f>
        <v>#REF!</v>
      </c>
      <c r="E40" s="1180" t="s">
        <v>645</v>
      </c>
      <c r="F40" s="1178" t="s">
        <v>635</v>
      </c>
    </row>
    <row r="41" spans="1:6" ht="39" thickBot="1">
      <c r="A41" s="1159" t="s">
        <v>54</v>
      </c>
      <c r="B41" s="1160"/>
      <c r="C41" s="1159" t="s">
        <v>639</v>
      </c>
      <c r="D41" s="1161" t="e">
        <f>+'Cpte exploitation 1+2+3'!H36&gt;=Equipement!G62</f>
        <v>#REF!</v>
      </c>
      <c r="E41" s="1180" t="s">
        <v>646</v>
      </c>
      <c r="F41" s="1178" t="s">
        <v>635</v>
      </c>
    </row>
    <row r="42" spans="1:6" ht="39" thickBot="1">
      <c r="A42" s="1159" t="s">
        <v>54</v>
      </c>
      <c r="B42" s="1160"/>
      <c r="C42" s="1159" t="s">
        <v>639</v>
      </c>
      <c r="D42" s="1161" t="e">
        <f>+'Cpte exploitation 1+2+3'!I36&gt;=Equipement!H62</f>
        <v>#REF!</v>
      </c>
      <c r="E42" s="1180" t="s">
        <v>643</v>
      </c>
      <c r="F42" s="1178" t="s">
        <v>635</v>
      </c>
    </row>
    <row r="43" spans="1:6" ht="26.25" thickBot="1">
      <c r="A43" s="1159" t="s">
        <v>54</v>
      </c>
      <c r="B43" s="1160"/>
      <c r="C43" s="1159" t="s">
        <v>640</v>
      </c>
      <c r="D43" s="1161" t="e">
        <f>+'Cpte exploitation 1+2+3'!E47&gt;=Equipement!D69</f>
        <v>#REF!</v>
      </c>
      <c r="E43" s="1180" t="s">
        <v>647</v>
      </c>
      <c r="F43" s="1178" t="s">
        <v>635</v>
      </c>
    </row>
    <row r="44" spans="1:6" ht="26.25" thickBot="1">
      <c r="A44" s="1159" t="s">
        <v>54</v>
      </c>
      <c r="B44" s="1160"/>
      <c r="C44" s="1159" t="s">
        <v>640</v>
      </c>
      <c r="D44" s="1161" t="e">
        <f>+'Cpte exploitation 1+2+3'!F47&gt;=Equipement!E69</f>
        <v>#REF!</v>
      </c>
      <c r="E44" s="1180" t="s">
        <v>648</v>
      </c>
      <c r="F44" s="1178" t="s">
        <v>635</v>
      </c>
    </row>
    <row r="45" spans="1:6" ht="26.25" thickBot="1">
      <c r="A45" s="1159" t="s">
        <v>54</v>
      </c>
      <c r="B45" s="1160"/>
      <c r="C45" s="1159" t="s">
        <v>640</v>
      </c>
      <c r="D45" s="1161" t="e">
        <f>+'Cpte exploitation 1+2+3'!G47&gt;=Equipement!F69</f>
        <v>#REF!</v>
      </c>
      <c r="E45" s="1180" t="s">
        <v>649</v>
      </c>
      <c r="F45" s="1178" t="s">
        <v>635</v>
      </c>
    </row>
    <row r="46" spans="1:6" ht="26.25" thickBot="1">
      <c r="A46" s="1159" t="s">
        <v>54</v>
      </c>
      <c r="B46" s="1160"/>
      <c r="C46" s="1159" t="s">
        <v>640</v>
      </c>
      <c r="D46" s="1161" t="e">
        <f>+'Cpte exploitation 1+2+3'!H47&gt;=Equipement!G69</f>
        <v>#REF!</v>
      </c>
      <c r="E46" s="1180" t="s">
        <v>650</v>
      </c>
      <c r="F46" s="1178" t="s">
        <v>635</v>
      </c>
    </row>
    <row r="47" spans="1:6" ht="26.25" thickBot="1">
      <c r="A47" s="1159" t="s">
        <v>54</v>
      </c>
      <c r="B47" s="1160"/>
      <c r="C47" s="1159" t="s">
        <v>640</v>
      </c>
      <c r="D47" s="1161" t="e">
        <f>+'Cpte exploitation 1+2+3'!I47&gt;=Equipement!H69</f>
        <v>#REF!</v>
      </c>
      <c r="E47" s="1180" t="s">
        <v>651</v>
      </c>
      <c r="F47" s="1178" t="s">
        <v>635</v>
      </c>
    </row>
    <row r="48" spans="1:6" ht="26.25" thickBot="1">
      <c r="A48" s="1159" t="s">
        <v>1</v>
      </c>
      <c r="B48" s="1160"/>
      <c r="C48" s="1159" t="s">
        <v>653</v>
      </c>
      <c r="D48" s="1161" t="e">
        <f>-Immobilier!D42='Cpte exploitation 1+2+3'!D46</f>
        <v>#REF!</v>
      </c>
      <c r="E48" s="1180" t="s">
        <v>654</v>
      </c>
      <c r="F48" s="1178" t="s">
        <v>655</v>
      </c>
    </row>
    <row r="49" spans="1:6" ht="26.25" thickBot="1">
      <c r="A49" s="1159" t="s">
        <v>1</v>
      </c>
      <c r="B49" s="1160"/>
      <c r="C49" s="1159" t="s">
        <v>657</v>
      </c>
      <c r="D49" s="1161" t="e">
        <f>+'Cpte exploitation 1+2+3'!E44&gt;=Immobilier!H36+Immobilier!H37</f>
        <v>#REF!</v>
      </c>
      <c r="E49" s="1161" t="s">
        <v>658</v>
      </c>
      <c r="F49" s="1178" t="s">
        <v>659</v>
      </c>
    </row>
    <row r="50" spans="1:6" ht="39" thickBot="1">
      <c r="A50" s="1159" t="s">
        <v>1</v>
      </c>
      <c r="B50" s="1160"/>
      <c r="C50" s="1159" t="s">
        <v>660</v>
      </c>
      <c r="D50" s="1161" t="b">
        <f>(+'Cpte exploitation 1+2+3'!E6&gt;=(Immobilier!H38+Immobilier!H39+Immobilier!H40))</f>
        <v>1</v>
      </c>
      <c r="E50" s="1161" t="s">
        <v>763</v>
      </c>
      <c r="F50" s="1178" t="s">
        <v>661</v>
      </c>
    </row>
    <row r="51" spans="1:6" ht="13.5" thickBot="1">
      <c r="A51" s="1159"/>
      <c r="B51" s="1160"/>
      <c r="C51" s="1159"/>
      <c r="D51" s="1161"/>
      <c r="E51" s="1180"/>
      <c r="F51" s="1178"/>
    </row>
    <row r="52" spans="1:6" ht="13.5" thickBot="1">
      <c r="A52" s="1159"/>
      <c r="B52" s="1160"/>
      <c r="C52" s="1159"/>
      <c r="D52" s="1161"/>
      <c r="E52" s="1180"/>
      <c r="F52" s="1178"/>
    </row>
    <row r="53" spans="1:6" ht="13.5" thickBot="1">
      <c r="A53" s="1159"/>
      <c r="B53" s="1160"/>
      <c r="C53" s="1159"/>
      <c r="D53" s="1161"/>
      <c r="E53" s="1180"/>
      <c r="F53" s="1178"/>
    </row>
    <row r="54" spans="1:6" ht="13.5" thickBot="1">
      <c r="A54" s="1159"/>
      <c r="B54" s="1160"/>
      <c r="C54" s="1159"/>
      <c r="D54" s="1161"/>
      <c r="E54" s="1180"/>
      <c r="F54" s="1178"/>
    </row>
    <row r="55" spans="1:6" ht="13.5" thickBot="1">
      <c r="A55" s="1159"/>
      <c r="B55" s="1160"/>
      <c r="C55" s="1159"/>
      <c r="D55" s="1161"/>
      <c r="E55" s="1180"/>
      <c r="F55" s="1178"/>
    </row>
    <row r="56" spans="1:6" ht="13.5" thickBot="1">
      <c r="A56" s="1159"/>
      <c r="B56" s="1160"/>
      <c r="C56" s="1159"/>
      <c r="D56" s="1161"/>
      <c r="E56" s="1180"/>
      <c r="F56" s="1178"/>
    </row>
    <row r="57" spans="1:6" ht="13.5" thickBot="1">
      <c r="A57" s="1159"/>
      <c r="B57" s="1160"/>
      <c r="C57" s="1159"/>
      <c r="D57" s="1161"/>
      <c r="E57" s="1180"/>
      <c r="F57" s="1178"/>
    </row>
    <row r="58" spans="1:6" ht="13.5" thickBot="1">
      <c r="A58" s="1159"/>
      <c r="B58" s="1160"/>
      <c r="C58" s="1159"/>
      <c r="D58" s="1161"/>
      <c r="E58" s="1180"/>
      <c r="F58" s="1178"/>
    </row>
    <row r="59" spans="1:6" ht="13.5" thickBot="1">
      <c r="A59" s="1159"/>
      <c r="B59" s="1160"/>
      <c r="C59" s="1159"/>
      <c r="D59" s="1161"/>
      <c r="E59" s="1180"/>
      <c r="F59" s="1178"/>
    </row>
    <row r="60" spans="1:6" ht="13.5" thickBot="1">
      <c r="A60" s="1159"/>
      <c r="B60" s="1160"/>
      <c r="C60" s="1159"/>
      <c r="D60" s="1161"/>
      <c r="E60" s="1180"/>
      <c r="F60" s="1178"/>
    </row>
    <row r="61" spans="1:6" ht="13.5" thickBot="1">
      <c r="A61" s="1159"/>
      <c r="B61" s="1160"/>
      <c r="C61" s="1159"/>
      <c r="D61" s="1161"/>
      <c r="E61" s="1180"/>
      <c r="F61" s="1178"/>
    </row>
    <row r="62" spans="1:6" ht="13.5" thickBot="1">
      <c r="A62" s="1159"/>
      <c r="B62" s="1160"/>
      <c r="C62" s="1159"/>
      <c r="D62" s="1161"/>
      <c r="E62" s="1180"/>
      <c r="F62" s="1178"/>
    </row>
    <row r="63" spans="1:6" ht="13.5" thickBot="1">
      <c r="A63" s="1159"/>
      <c r="B63" s="1160"/>
      <c r="C63" s="1159"/>
      <c r="D63" s="1161"/>
      <c r="E63" s="1180"/>
      <c r="F63" s="1178"/>
    </row>
    <row r="64" spans="1:6" ht="13.5" thickBot="1">
      <c r="A64" s="1159"/>
      <c r="B64" s="1160"/>
      <c r="C64" s="1159"/>
      <c r="D64" s="1161"/>
      <c r="E64" s="1180"/>
      <c r="F64" s="1178"/>
    </row>
    <row r="65" spans="1:6" ht="13.5" thickBot="1">
      <c r="A65" s="1159"/>
      <c r="B65" s="1160"/>
      <c r="C65" s="1159"/>
      <c r="D65" s="1161"/>
      <c r="E65" s="1180"/>
      <c r="F65" s="1178"/>
    </row>
    <row r="66" spans="1:6" ht="13.5" thickBot="1">
      <c r="A66" s="1159"/>
      <c r="B66" s="1160"/>
      <c r="C66" s="1159"/>
      <c r="D66" s="1161"/>
      <c r="E66" s="1180"/>
      <c r="F66" s="1178"/>
    </row>
    <row r="67" spans="1:6" ht="13.5" thickBot="1">
      <c r="A67" s="1159"/>
      <c r="B67" s="1160"/>
      <c r="C67" s="1159"/>
      <c r="D67" s="1161"/>
      <c r="E67" s="1180"/>
      <c r="F67" s="1178"/>
    </row>
    <row r="68" spans="1:6" ht="13.5" thickBot="1">
      <c r="A68" s="1159"/>
      <c r="B68" s="1160"/>
      <c r="C68" s="1159"/>
      <c r="D68" s="1161"/>
      <c r="E68" s="1180"/>
      <c r="F68" s="1178"/>
    </row>
    <row r="69" spans="1:6" ht="13.5" thickBot="1">
      <c r="A69" s="1159"/>
      <c r="B69" s="1160"/>
      <c r="C69" s="1159"/>
      <c r="D69" s="1161"/>
      <c r="E69" s="1180"/>
      <c r="F69" s="1178"/>
    </row>
  </sheetData>
  <autoFilter ref="A1:F50"/>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AA68"/>
  <sheetViews>
    <sheetView workbookViewId="0">
      <selection activeCell="J5" sqref="J5"/>
    </sheetView>
  </sheetViews>
  <sheetFormatPr baseColWidth="10" defaultRowHeight="12.75"/>
  <cols>
    <col min="2" max="2" width="14" customWidth="1"/>
    <col min="5" max="5" width="14.140625" customWidth="1"/>
    <col min="6" max="6" width="12.28515625" bestFit="1" customWidth="1"/>
    <col min="8" max="8" width="14.85546875" bestFit="1" customWidth="1"/>
    <col min="12" max="12" width="15.140625" bestFit="1" customWidth="1"/>
    <col min="13" max="13" width="17.5703125" customWidth="1"/>
    <col min="14" max="14" width="18.5703125" bestFit="1" customWidth="1"/>
    <col min="15" max="15" width="12.5703125" customWidth="1"/>
    <col min="16" max="16" width="16" customWidth="1"/>
    <col min="17" max="17" width="12.5703125" customWidth="1"/>
    <col min="19" max="19" width="12.42578125" bestFit="1" customWidth="1"/>
    <col min="20" max="20" width="12.5703125" bestFit="1" customWidth="1"/>
    <col min="21" max="21" width="12" bestFit="1" customWidth="1"/>
    <col min="22" max="22" width="11.85546875" bestFit="1" customWidth="1"/>
    <col min="23" max="23" width="12.7109375" customWidth="1"/>
    <col min="24" max="24" width="12" bestFit="1" customWidth="1"/>
  </cols>
  <sheetData>
    <row r="1" spans="1:27">
      <c r="A1" s="2737" t="s">
        <v>1697</v>
      </c>
      <c r="B1" s="2737" t="s">
        <v>1686</v>
      </c>
      <c r="C1" s="2737" t="s">
        <v>1688</v>
      </c>
      <c r="D1" s="2737" t="s">
        <v>1590</v>
      </c>
      <c r="E1" s="2737" t="s">
        <v>1425</v>
      </c>
      <c r="F1" s="2737" t="s">
        <v>1687</v>
      </c>
      <c r="G1" s="2737" t="s">
        <v>1648</v>
      </c>
      <c r="H1" s="2737" t="s">
        <v>1549</v>
      </c>
      <c r="I1" s="2737" t="s">
        <v>1552</v>
      </c>
      <c r="J1" s="2737" t="s">
        <v>1650</v>
      </c>
      <c r="K1" s="2737" t="s">
        <v>1808</v>
      </c>
      <c r="L1" s="2737" t="s">
        <v>1649</v>
      </c>
      <c r="M1" s="2737" t="s">
        <v>1698</v>
      </c>
      <c r="N1" s="2737" t="s">
        <v>1690</v>
      </c>
      <c r="O1" s="2737" t="s">
        <v>1691</v>
      </c>
      <c r="P1" s="2737" t="s">
        <v>1809</v>
      </c>
      <c r="Q1" s="2743"/>
      <c r="R1" s="2737" t="s">
        <v>1699</v>
      </c>
      <c r="S1" s="2737" t="s">
        <v>1700</v>
      </c>
      <c r="T1" s="2737" t="s">
        <v>1700</v>
      </c>
      <c r="U1" s="2737" t="s">
        <v>1701</v>
      </c>
      <c r="V1" s="2737" t="s">
        <v>1702</v>
      </c>
      <c r="W1" s="2737" t="s">
        <v>1702</v>
      </c>
      <c r="X1" s="2737" t="s">
        <v>1701</v>
      </c>
      <c r="Z1" s="2737" t="s">
        <v>1697</v>
      </c>
      <c r="AA1" s="2737" t="s">
        <v>1381</v>
      </c>
    </row>
    <row r="2" spans="1:27">
      <c r="A2" s="2735">
        <v>42370</v>
      </c>
      <c r="B2" s="2645">
        <v>0</v>
      </c>
      <c r="C2" s="2645">
        <f>-Inversión!F9*0.5-Inversión!F11-Inversión!F12</f>
        <v>-139000</v>
      </c>
      <c r="D2" s="2645">
        <f>-'Gastos Generales'!F11-'Gastos Generales'!F13-'Gastos Generales'!F14</f>
        <v>-4400</v>
      </c>
      <c r="E2" s="2645">
        <f>-'Personal '!$F$19</f>
        <v>-71000</v>
      </c>
      <c r="F2" s="2645">
        <f>-B3*(1-'Costeo Productos'!$B$46)</f>
        <v>-714.28571428571445</v>
      </c>
      <c r="G2" s="2645">
        <f>-'Costo MKT y Comercialización'!I51*1000</f>
        <v>-7.5559900000000013</v>
      </c>
      <c r="H2" s="2645">
        <f>-'Costo logístico'!L12</f>
        <v>-313.89480344324261</v>
      </c>
      <c r="I2" s="2645">
        <f>-'Costo logístico'!B31</f>
        <v>-600</v>
      </c>
      <c r="J2" s="2645">
        <f>-'Costo MKT y Comercialización'!I69*1000</f>
        <v>-10771.836150900004</v>
      </c>
      <c r="K2" s="2645">
        <f>-B2*'Cuadro de Resultados'!$Y$35</f>
        <v>0</v>
      </c>
      <c r="L2" s="2645">
        <f>-B2*0.87*0.3</f>
        <v>0</v>
      </c>
      <c r="M2" s="2736">
        <f>SUM(B2:L2)</f>
        <v>-226807.57265862895</v>
      </c>
      <c r="N2" s="2736">
        <f>M2</f>
        <v>-226807.57265862895</v>
      </c>
      <c r="O2" s="2773">
        <f>U2+M2/'Tipo de cambio'!$D$9</f>
        <v>44516.003072064166</v>
      </c>
      <c r="P2" s="2773">
        <f>O2/((1+'Análisis financiero'!$C$81/12*Z2)^AA2)</f>
        <v>44012.804676201158</v>
      </c>
      <c r="Q2" s="2741"/>
      <c r="R2" s="2742">
        <v>1</v>
      </c>
      <c r="S2" s="2736">
        <f>SUM(M2:M5)</f>
        <v>-595369.88185026532</v>
      </c>
      <c r="T2" s="2741">
        <f>S2/'Tipo de cambio'!$D$9</f>
        <v>-66895.492342726444</v>
      </c>
      <c r="U2" s="2741">
        <v>70000</v>
      </c>
      <c r="V2" s="2736">
        <f>SUM(B2:B5)</f>
        <v>62499.180754500019</v>
      </c>
      <c r="W2" s="2741">
        <f>V2/'Tipo de cambio'!$D$9</f>
        <v>7022.3798600561813</v>
      </c>
      <c r="X2" s="2741">
        <v>7000</v>
      </c>
      <c r="Z2">
        <v>1</v>
      </c>
      <c r="AA2">
        <v>1</v>
      </c>
    </row>
    <row r="3" spans="1:27">
      <c r="A3" s="2735">
        <v>42401</v>
      </c>
      <c r="B3" s="2645">
        <f>'Mercado potencial'!E72*1000</f>
        <v>2000</v>
      </c>
      <c r="C3" s="2645">
        <f>-Inversión!F9*0.5</f>
        <v>-89000</v>
      </c>
      <c r="D3" s="2645">
        <f>-'Gastos Generales'!F8-'Gastos Generales'!F9--'Gastos Generales'!F11-'Gastos Generales'!F13-'Gastos Generales'!F14-'Gastos Generales'!F15</f>
        <v>-9400</v>
      </c>
      <c r="E3" s="2645">
        <f>-'Personal '!$F$19</f>
        <v>-71000</v>
      </c>
      <c r="F3" s="2645">
        <f>-B4*(1-'Costeo Productos'!$B$46)</f>
        <v>-2500.0000000000005</v>
      </c>
      <c r="G3" s="2645">
        <f>-'Costo MKT y Comercialización'!I52*1000</f>
        <v>-22.667970000000004</v>
      </c>
      <c r="H3" s="2645">
        <f>-'Costo logístico'!L13</f>
        <v>-594.50924951702552</v>
      </c>
      <c r="I3" s="2645">
        <f>-'Costo logístico'!B32</f>
        <v>-1200</v>
      </c>
      <c r="J3" s="2645">
        <v>0</v>
      </c>
      <c r="K3" s="2645">
        <f>-B3*'Cuadro de Resultados'!$Y$35</f>
        <v>-83.999999999999986</v>
      </c>
      <c r="L3" s="2645">
        <f t="shared" ref="L3:L65" si="0">-B3*0.87*0.3</f>
        <v>-522</v>
      </c>
      <c r="M3" s="2736">
        <f t="shared" ref="M3:M65" si="1">SUM(B3:L3)</f>
        <v>-172323.17721951703</v>
      </c>
      <c r="N3" s="2736">
        <f>N2+M3</f>
        <v>-399130.74987814599</v>
      </c>
      <c r="O3" s="2741">
        <f>O2+M3/'Tipo de cambio'!$D$9</f>
        <v>25153.848328298209</v>
      </c>
      <c r="P3" s="2741">
        <f>O3/((1+'Análisis financiero'!$C$81/12*Z3)^AA3)</f>
        <v>24591.538215463421</v>
      </c>
      <c r="Q3" s="2741"/>
      <c r="R3" s="2742">
        <v>2</v>
      </c>
      <c r="S3" s="2736">
        <f>SUM(M6:M13)</f>
        <v>-713555.1004933255</v>
      </c>
      <c r="T3" s="2741">
        <f>S3/'Tipo de cambio'!$D$9</f>
        <v>-80174.730392508485</v>
      </c>
      <c r="U3" s="2741">
        <v>80000</v>
      </c>
      <c r="V3" s="2736">
        <f>SUM(B6:B13)</f>
        <v>1069983.6150900004</v>
      </c>
      <c r="W3" s="2741">
        <f>V3/'Tipo de cambio'!$D$9</f>
        <v>120222.87810000005</v>
      </c>
      <c r="X3" s="2741">
        <v>120000</v>
      </c>
      <c r="Z3">
        <v>2</v>
      </c>
      <c r="AA3">
        <v>1</v>
      </c>
    </row>
    <row r="4" spans="1:27">
      <c r="A4" s="2735">
        <v>42430</v>
      </c>
      <c r="B4" s="2645">
        <f>'Mercado potencial'!E73*1000</f>
        <v>7000</v>
      </c>
      <c r="C4" s="2645">
        <v>0</v>
      </c>
      <c r="D4" s="2645">
        <f>-'Gastos Generales'!F8-'Gastos Generales'!F9-'Gastos Generales'!F10-'Gastos Generales'!F11-'Gastos Generales'!F13-'Gastos Generales'!F14-'Gastos Generales'!F15</f>
        <v>-14900</v>
      </c>
      <c r="E4" s="2645">
        <f>-'Personal '!$F$19</f>
        <v>-71000</v>
      </c>
      <c r="F4" s="2645">
        <f>-B5*(1-'Costeo Productos'!$B$46)</f>
        <v>-19106.850269464296</v>
      </c>
      <c r="G4" s="2645">
        <f>-'Costo MKT y Comercialización'!I53*1000</f>
        <v>-196.45574000000005</v>
      </c>
      <c r="H4" s="2645">
        <f>-'Costo logístico'!L14</f>
        <v>-800.08332080760431</v>
      </c>
      <c r="I4" s="2645">
        <f>-'Costo logístico'!B33</f>
        <v>-1800</v>
      </c>
      <c r="J4" s="2645">
        <v>0</v>
      </c>
      <c r="K4" s="2645">
        <f>-B4*'Cuadro de Resultados'!$Y$35</f>
        <v>-293.99999999999994</v>
      </c>
      <c r="L4" s="2645">
        <f t="shared" si="0"/>
        <v>-1827</v>
      </c>
      <c r="M4" s="2736">
        <f t="shared" si="1"/>
        <v>-102924.38933027191</v>
      </c>
      <c r="N4" s="2736">
        <f t="shared" ref="N4:N65" si="2">N3+M4</f>
        <v>-502055.13920841791</v>
      </c>
      <c r="O4" s="2741">
        <f>O3+M4/'Tipo de cambio'!$D$9</f>
        <v>13589.310201301365</v>
      </c>
      <c r="P4" s="2741">
        <f>O4/((1+'Análisis financiero'!$C$81/12*Z4)^AA4)</f>
        <v>13138.667059816711</v>
      </c>
      <c r="Q4" s="2741"/>
      <c r="R4" s="2742">
        <v>3</v>
      </c>
      <c r="S4" s="2736">
        <f>SUM(M15:M24)</f>
        <v>-482550.82310595363</v>
      </c>
      <c r="T4" s="2741">
        <f>S4/'Tipo de cambio'!$D$9</f>
        <v>-54219.193607410518</v>
      </c>
      <c r="U4" s="2741">
        <v>50000</v>
      </c>
      <c r="V4" s="2736">
        <f>SUM(B15:B24)</f>
        <v>3115465.3882990014</v>
      </c>
      <c r="W4" s="2741">
        <f>V4/'Tipo de cambio'!$D$9</f>
        <v>350052.29082011251</v>
      </c>
      <c r="X4" s="2741">
        <v>350000</v>
      </c>
      <c r="Z4">
        <v>3</v>
      </c>
      <c r="AA4">
        <v>1</v>
      </c>
    </row>
    <row r="5" spans="1:27">
      <c r="A5" s="2735">
        <v>42461</v>
      </c>
      <c r="B5" s="2645">
        <f>'Mercado potencial'!E74*1000</f>
        <v>53499.180754500019</v>
      </c>
      <c r="C5" s="2645">
        <v>0</v>
      </c>
      <c r="D5" s="2645">
        <f>D4</f>
        <v>-14900</v>
      </c>
      <c r="E5" s="2645">
        <f>-'Personal '!$F$19</f>
        <v>-71000</v>
      </c>
      <c r="F5" s="2645">
        <f>-B6*(1-'Costeo Productos'!$B$46)</f>
        <v>-25475.800359285724</v>
      </c>
      <c r="G5" s="2645">
        <f>-'Costo MKT y Comercialización'!I54*1000</f>
        <v>-264.45965000000007</v>
      </c>
      <c r="H5" s="2645">
        <f>-'Costo logístico'!L15</f>
        <v>-1005.6573920981829</v>
      </c>
      <c r="I5" s="2645">
        <f>-'Costo logístico'!B34</f>
        <v>-1800</v>
      </c>
      <c r="J5" s="2645">
        <f>-'Costo MKT y Comercialización'!I72*1000</f>
        <v>-16157.754226350004</v>
      </c>
      <c r="K5" s="2645">
        <f>-B5*'Cuadro de Resultados'!$Y$35</f>
        <v>-2246.9655916890006</v>
      </c>
      <c r="L5" s="2645">
        <f t="shared" si="0"/>
        <v>-13963.286176924505</v>
      </c>
      <c r="M5" s="2736">
        <f t="shared" si="1"/>
        <v>-93314.742641847406</v>
      </c>
      <c r="N5" s="2736">
        <f t="shared" si="2"/>
        <v>-595369.88185026532</v>
      </c>
      <c r="O5" s="2741">
        <f>O4+M5/'Tipo de cambio'!$D$9</f>
        <v>3104.507657273567</v>
      </c>
      <c r="P5" s="2741">
        <f>O5/((1+'Análisis financiero'!$C$81/12*Z5)^AA5)</f>
        <v>2968.7411853836038</v>
      </c>
      <c r="Q5" s="2741"/>
      <c r="R5" s="2609" t="s">
        <v>176</v>
      </c>
      <c r="S5" s="2736">
        <f t="shared" ref="S5:X5" si="3">SUM(S2:S4)</f>
        <v>-1791475.8054495445</v>
      </c>
      <c r="T5" s="2741">
        <f t="shared" si="3"/>
        <v>-201289.41634264548</v>
      </c>
      <c r="U5" s="2741">
        <f t="shared" si="3"/>
        <v>200000</v>
      </c>
      <c r="V5" s="2736">
        <f t="shared" si="3"/>
        <v>4247948.1841435023</v>
      </c>
      <c r="W5" s="2741">
        <f t="shared" si="3"/>
        <v>477297.54878016876</v>
      </c>
      <c r="X5" s="2741">
        <f t="shared" si="3"/>
        <v>477000</v>
      </c>
      <c r="Z5">
        <v>4</v>
      </c>
      <c r="AA5">
        <v>1</v>
      </c>
    </row>
    <row r="6" spans="1:27">
      <c r="A6" s="2735">
        <v>42491</v>
      </c>
      <c r="B6" s="2645">
        <f>'Mercado potencial'!E75*1000</f>
        <v>71332.241006000011</v>
      </c>
      <c r="C6" s="2645">
        <f>-Inversión!F10-Inversión!F13-Inversión!F14</f>
        <v>-98986.086474672949</v>
      </c>
      <c r="D6" s="2645">
        <f>D5</f>
        <v>-14900</v>
      </c>
      <c r="E6" s="2645">
        <f>-'Personal '!$F$19</f>
        <v>-71000</v>
      </c>
      <c r="F6" s="2645">
        <f>-B7*(1-'Costeo Productos'!$B$46)</f>
        <v>-31844.750449107156</v>
      </c>
      <c r="G6" s="2645">
        <f>-'Costo MKT y Comercialización'!I55*1000</f>
        <v>-324.90757000000008</v>
      </c>
      <c r="H6" s="2645">
        <f>-'Costo logístico'!L16</f>
        <v>-1161.2314633887618</v>
      </c>
      <c r="I6" s="2645">
        <f>-'Costo logístico'!B35</f>
        <v>-1800</v>
      </c>
      <c r="J6" s="2645">
        <v>0</v>
      </c>
      <c r="K6" s="2645">
        <f>-B6*'Cuadro de Resultados'!$Y$35</f>
        <v>-2995.9541222520002</v>
      </c>
      <c r="L6" s="2645">
        <f t="shared" si="0"/>
        <v>-18617.714902566004</v>
      </c>
      <c r="M6" s="2736">
        <f t="shared" si="1"/>
        <v>-170298.40397598688</v>
      </c>
      <c r="N6" s="2736">
        <f t="shared" si="2"/>
        <v>-765668.28582625219</v>
      </c>
      <c r="O6" s="2773">
        <f>O5+M6/'Tipo de cambio'!$D$9+U3</f>
        <v>63969.855525140214</v>
      </c>
      <c r="P6" s="2773">
        <f>O6/((1+'Análisis financiero'!$C$81/12*Z6)^AA6)</f>
        <v>60510.758041687171</v>
      </c>
      <c r="Q6" s="2741"/>
      <c r="Z6">
        <v>5</v>
      </c>
      <c r="AA6">
        <v>1</v>
      </c>
    </row>
    <row r="7" spans="1:27">
      <c r="A7" s="2735">
        <v>42522</v>
      </c>
      <c r="B7" s="2645">
        <f>'Mercado potencial'!E76*1000</f>
        <v>89165.301257500018</v>
      </c>
      <c r="C7" s="2645">
        <v>0</v>
      </c>
      <c r="D7" s="2645">
        <f>D6-'Gastos Generales'!F12-'Gastos Generales'!F12*2</f>
        <v>-74900</v>
      </c>
      <c r="E7" s="2645">
        <f>-'Personal '!$F$19</f>
        <v>-71000</v>
      </c>
      <c r="F7" s="2645">
        <f>-B8*(1-'Costeo Productos'!$B$46)</f>
        <v>-38213.700538928591</v>
      </c>
      <c r="G7" s="2645">
        <f>-'Costo MKT y Comercialización'!I56*1000</f>
        <v>-392.9114800000001</v>
      </c>
      <c r="H7" s="2645">
        <f>-'Costo logístico'!L17</f>
        <v>-1366.8055346793403</v>
      </c>
      <c r="I7" s="2645">
        <f>-'Costo logístico'!B36</f>
        <v>-1800</v>
      </c>
      <c r="J7" s="2645">
        <v>0</v>
      </c>
      <c r="K7" s="2645">
        <f>-B7*'Cuadro de Resultados'!$Y$35</f>
        <v>-3744.9426528150002</v>
      </c>
      <c r="L7" s="2645">
        <f t="shared" si="0"/>
        <v>-23272.143628207501</v>
      </c>
      <c r="M7" s="2736">
        <f t="shared" si="1"/>
        <v>-125525.20257713042</v>
      </c>
      <c r="N7" s="2736">
        <f t="shared" si="2"/>
        <v>-891193.48840338259</v>
      </c>
      <c r="O7" s="2741">
        <f>O6+M7/'Tipo de cambio'!$D$9</f>
        <v>49865.900179395219</v>
      </c>
      <c r="P7" s="2741">
        <f>O7/((1+'Análisis financiero'!$C$81/12*Z7)^AA7)</f>
        <v>46664.788984627732</v>
      </c>
      <c r="Q7" s="2741"/>
      <c r="T7" s="2609" t="s">
        <v>1810</v>
      </c>
      <c r="U7" s="2741">
        <f>U5*'Análisis financiero'!C81</f>
        <v>27439.199999999997</v>
      </c>
      <c r="Z7">
        <v>6</v>
      </c>
      <c r="AA7">
        <v>1</v>
      </c>
    </row>
    <row r="8" spans="1:27">
      <c r="A8" s="2735">
        <v>42552</v>
      </c>
      <c r="B8" s="2645">
        <f>'Mercado potencial'!E77*1000</f>
        <v>106998.36150900004</v>
      </c>
      <c r="C8" s="2645">
        <v>0</v>
      </c>
      <c r="D8" s="2645">
        <f>D7+'Gastos Generales'!F12*2</f>
        <v>-34900</v>
      </c>
      <c r="E8" s="2645">
        <f>-'Personal '!$F$19</f>
        <v>-71000</v>
      </c>
      <c r="F8" s="2645">
        <f>-B9*(1-'Costeo Productos'!$B$46)</f>
        <v>-44582.650628750016</v>
      </c>
      <c r="G8" s="2645">
        <f>-'Costo MKT y Comercialización'!I57*1000</f>
        <v>-460.91539000000006</v>
      </c>
      <c r="H8" s="2645">
        <f>-'Costo logístico'!L18</f>
        <v>-1522.3796059699191</v>
      </c>
      <c r="I8" s="2645">
        <f>-'Costo logístico'!B37</f>
        <v>-1800</v>
      </c>
      <c r="J8" s="2645">
        <f>-'Costo MKT y Comercialización'!I75*1000</f>
        <v>-16157.754226350004</v>
      </c>
      <c r="K8" s="2645">
        <f>-B8*'Cuadro de Resultados'!$Y$35</f>
        <v>-4493.9311833780012</v>
      </c>
      <c r="L8" s="2645">
        <f t="shared" si="0"/>
        <v>-27926.572353849009</v>
      </c>
      <c r="M8" s="2736">
        <f t="shared" si="1"/>
        <v>-95845.841879296902</v>
      </c>
      <c r="N8" s="2736">
        <f t="shared" si="2"/>
        <v>-987039.33028267953</v>
      </c>
      <c r="O8" s="2741">
        <f>O7+M8/'Tipo de cambio'!$D$9</f>
        <v>39096.704462620284</v>
      </c>
      <c r="P8" s="2741">
        <f>O8/((1+'Análisis financiero'!$C$81/12*Z8)^AA8)</f>
        <v>36199.613217231992</v>
      </c>
      <c r="Q8" s="2741"/>
      <c r="Z8">
        <v>7</v>
      </c>
      <c r="AA8">
        <v>1</v>
      </c>
    </row>
    <row r="9" spans="1:27">
      <c r="A9" s="2735">
        <v>42583</v>
      </c>
      <c r="B9" s="2645">
        <f>'Mercado potencial'!E78*1000</f>
        <v>124831.42176050003</v>
      </c>
      <c r="C9" s="2645">
        <v>0</v>
      </c>
      <c r="D9" s="2645">
        <f>D8</f>
        <v>-34900</v>
      </c>
      <c r="E9" s="2645">
        <f>-'Personal '!$F$19</f>
        <v>-71000</v>
      </c>
      <c r="F9" s="2645">
        <f>-B10*(1-'Costeo Productos'!$B$46)</f>
        <v>-50951.600718571448</v>
      </c>
      <c r="G9" s="2645">
        <f>-'Costo MKT y Comercialización'!I58*1000</f>
        <v>-521.36331000000007</v>
      </c>
      <c r="H9" s="2645">
        <f>-'Costo logístico'!L19</f>
        <v>-1727.9536772604979</v>
      </c>
      <c r="I9" s="2645">
        <f>-'Costo logístico'!B38</f>
        <v>-1800</v>
      </c>
      <c r="J9" s="2645">
        <v>0</v>
      </c>
      <c r="K9" s="2645">
        <f>-B9*'Cuadro de Resultados'!$Y$35</f>
        <v>-5242.9197139410007</v>
      </c>
      <c r="L9" s="2645">
        <f t="shared" si="0"/>
        <v>-32581.001079490507</v>
      </c>
      <c r="M9" s="2736">
        <f t="shared" si="1"/>
        <v>-73893.416738763422</v>
      </c>
      <c r="N9" s="2736">
        <f t="shared" si="2"/>
        <v>-1060932.747021443</v>
      </c>
      <c r="O9" s="2741">
        <f>O8+M9/'Tipo de cambio'!$D$9</f>
        <v>30794.073368377205</v>
      </c>
      <c r="P9" s="2741">
        <f>O9/((1+'Análisis financiero'!$C$81/12*Z9)^AA9)</f>
        <v>28213.549295604073</v>
      </c>
      <c r="Q9" s="2741"/>
      <c r="Z9">
        <v>8</v>
      </c>
      <c r="AA9">
        <v>1</v>
      </c>
    </row>
    <row r="10" spans="1:27">
      <c r="A10" s="2735">
        <v>42614</v>
      </c>
      <c r="B10" s="2645">
        <f>'Mercado potencial'!E79*1000</f>
        <v>142664.48201200002</v>
      </c>
      <c r="C10" s="2645">
        <v>0</v>
      </c>
      <c r="D10" s="2645">
        <f t="shared" ref="D10:D65" si="4">D9</f>
        <v>-34900</v>
      </c>
      <c r="E10" s="2645">
        <f>-'Personal '!$F$19</f>
        <v>-71000</v>
      </c>
      <c r="F10" s="2645">
        <f>-B11*(1-'Costeo Productos'!$B$46)</f>
        <v>-57320.55080839288</v>
      </c>
      <c r="G10" s="2645">
        <f>-'Costo MKT y Comercialización'!I59*1000</f>
        <v>-589.36722000000009</v>
      </c>
      <c r="H10" s="2645">
        <f>-'Costo logístico'!L20</f>
        <v>-1883.5277485510765</v>
      </c>
      <c r="I10" s="2645">
        <f>-'Costo logístico'!B39</f>
        <v>-1800</v>
      </c>
      <c r="J10" s="2645">
        <v>0</v>
      </c>
      <c r="K10" s="2645">
        <f>-B10*'Cuadro de Resultados'!$Y$35</f>
        <v>-5991.9082445040003</v>
      </c>
      <c r="L10" s="2645">
        <f t="shared" si="0"/>
        <v>-37235.429805132007</v>
      </c>
      <c r="M10" s="2736">
        <f t="shared" si="1"/>
        <v>-68056.301814579943</v>
      </c>
      <c r="N10" s="2736">
        <f t="shared" si="2"/>
        <v>-1128989.0488360228</v>
      </c>
      <c r="O10" s="2741">
        <f>O9+M10/'Tipo de cambio'!$D$9</f>
        <v>23147.297883592943</v>
      </c>
      <c r="P10" s="2741">
        <f>O10/((1+'Análisis financiero'!$C$81/12*Z10)^AA10)</f>
        <v>20987.724042764592</v>
      </c>
      <c r="Q10" s="2741"/>
      <c r="Z10">
        <v>9</v>
      </c>
      <c r="AA10">
        <v>1</v>
      </c>
    </row>
    <row r="11" spans="1:27">
      <c r="A11" s="2735">
        <v>42644</v>
      </c>
      <c r="B11" s="2645">
        <f>'Mercado potencial'!E80*1000</f>
        <v>160497.54226350004</v>
      </c>
      <c r="C11" s="2645">
        <v>0</v>
      </c>
      <c r="D11" s="2645">
        <f t="shared" si="4"/>
        <v>-34900</v>
      </c>
      <c r="E11" s="2645">
        <f>-'Personal '!$F$19</f>
        <v>-71000</v>
      </c>
      <c r="F11" s="2645">
        <f>-B12*(1-'Costeo Productos'!$B$46)</f>
        <v>-63689.500898214312</v>
      </c>
      <c r="G11" s="2645">
        <f>-'Costo MKT y Comercialización'!I60*1000</f>
        <v>-649.81514000000016</v>
      </c>
      <c r="H11" s="2645">
        <f>-'Costo logístico'!L21</f>
        <v>-2089.101819841655</v>
      </c>
      <c r="I11" s="2645">
        <f>-'Costo logístico'!B40</f>
        <v>-1800</v>
      </c>
      <c r="J11" s="2645">
        <f>-'Costo MKT y Comercialización'!I78*1000</f>
        <v>-10771.836150900004</v>
      </c>
      <c r="K11" s="2645">
        <f>-B11*'Cuadro de Resultados'!$Y$35</f>
        <v>-6740.8967750670008</v>
      </c>
      <c r="L11" s="2645">
        <f t="shared" si="0"/>
        <v>-41889.858530773512</v>
      </c>
      <c r="M11" s="2736">
        <f t="shared" si="1"/>
        <v>-73033.467051296437</v>
      </c>
      <c r="N11" s="2736">
        <f t="shared" si="2"/>
        <v>-1202022.5158873193</v>
      </c>
      <c r="O11" s="2741">
        <f>O10+M11/'Tipo de cambio'!$D$9</f>
        <v>14941.290349739411</v>
      </c>
      <c r="P11" s="2741">
        <f>O11/((1+'Análisis financiero'!$C$81/12*Z11)^AA11)</f>
        <v>13408.317419202041</v>
      </c>
      <c r="Q11" s="2741"/>
      <c r="Z11">
        <v>10</v>
      </c>
      <c r="AA11">
        <v>1</v>
      </c>
    </row>
    <row r="12" spans="1:27">
      <c r="A12" s="2735">
        <v>42675</v>
      </c>
      <c r="B12" s="2645">
        <f>'Mercado potencial'!E81*1000</f>
        <v>178330.60251500004</v>
      </c>
      <c r="C12" s="2645">
        <v>0</v>
      </c>
      <c r="D12" s="2645">
        <f t="shared" si="4"/>
        <v>-34900</v>
      </c>
      <c r="E12" s="2645">
        <f>-'Personal '!$F$19</f>
        <v>-71000</v>
      </c>
      <c r="F12" s="2645">
        <f>-B13*(1-'Costeo Productos'!$B$46)</f>
        <v>-70058.450988035736</v>
      </c>
      <c r="G12" s="2645">
        <f>-'Costo MKT y Comercialización'!I61*1000</f>
        <v>-717.81905000000017</v>
      </c>
      <c r="H12" s="2645">
        <f>-'Costo logístico'!L22</f>
        <v>-2201.5417806565292</v>
      </c>
      <c r="I12" s="2645">
        <f>-'Costo logístico'!B41</f>
        <v>-1800</v>
      </c>
      <c r="J12" s="2645">
        <v>0</v>
      </c>
      <c r="K12" s="2645">
        <f>-B12*'Cuadro de Resultados'!$Y$35</f>
        <v>-7489.8853056300004</v>
      </c>
      <c r="L12" s="2645">
        <f t="shared" si="0"/>
        <v>-46544.287256415002</v>
      </c>
      <c r="M12" s="2736">
        <f t="shared" si="1"/>
        <v>-56381.381865737232</v>
      </c>
      <c r="N12" s="2736">
        <f t="shared" si="2"/>
        <v>-1258403.8977530566</v>
      </c>
      <c r="O12" s="2741">
        <f>O11+M12/'Tipo de cambio'!$D$9</f>
        <v>8606.3036232520826</v>
      </c>
      <c r="P12" s="2741">
        <f>O12/((1+'Análisis financiero'!$C$81/12*Z12)^AA12)</f>
        <v>7644.8627493105405</v>
      </c>
      <c r="Q12" s="2741"/>
      <c r="Z12">
        <v>11</v>
      </c>
      <c r="AA12">
        <v>1</v>
      </c>
    </row>
    <row r="13" spans="1:27">
      <c r="A13" s="2735">
        <v>42705</v>
      </c>
      <c r="B13" s="2645">
        <f>'Mercado potencial'!E82*1000</f>
        <v>196163.66276650003</v>
      </c>
      <c r="C13" s="2645">
        <v>0</v>
      </c>
      <c r="D13" s="2645">
        <f t="shared" si="4"/>
        <v>-34900</v>
      </c>
      <c r="E13" s="2645">
        <f>-'Personal '!$F$19</f>
        <v>-71000</v>
      </c>
      <c r="F13" s="2645">
        <f>-B15*(1-'Costeo Productos'!$B$46)</f>
        <v>-76427.401077857183</v>
      </c>
      <c r="G13" s="2645">
        <f>-'Costo MKT y Comercialización'!I62*1000</f>
        <v>-785.82296000000019</v>
      </c>
      <c r="H13" s="2645">
        <f>-'Costo logístico'!L23</f>
        <v>-2333.93350092743</v>
      </c>
      <c r="I13" s="2645">
        <f>-'Costo logístico'!B42</f>
        <v>-1800</v>
      </c>
      <c r="J13" s="2645">
        <v>0</v>
      </c>
      <c r="K13" s="2645">
        <f>-B13*'Cuadro de Resultados'!$Y$35</f>
        <v>-8238.8738361930009</v>
      </c>
      <c r="L13" s="2645">
        <f t="shared" si="0"/>
        <v>-51198.715982056507</v>
      </c>
      <c r="M13" s="2736">
        <f t="shared" si="1"/>
        <v>-50521.084590534098</v>
      </c>
      <c r="N13" s="2736">
        <f t="shared" si="2"/>
        <v>-1308924.9823435908</v>
      </c>
      <c r="O13" s="2741">
        <f>O12+M13/'Tipo de cambio'!$D$9</f>
        <v>2929.7772647651054</v>
      </c>
      <c r="P13" s="2741">
        <f>O13/((1+'Análisis financiero'!$C$81/12*Z13)^AA13)</f>
        <v>2576.3168923959511</v>
      </c>
      <c r="Q13" s="2741"/>
      <c r="Z13">
        <v>12</v>
      </c>
      <c r="AA13">
        <v>1</v>
      </c>
    </row>
    <row r="14" spans="1:27">
      <c r="A14" s="2738" t="s">
        <v>1692</v>
      </c>
      <c r="B14" s="2739">
        <f>SUM(B2:B13)</f>
        <v>1132482.7958445004</v>
      </c>
      <c r="C14" s="2739">
        <f t="shared" ref="C14:M14" si="5">SUM(C2:C13)</f>
        <v>-326986.08647467295</v>
      </c>
      <c r="D14" s="2739">
        <f t="shared" si="5"/>
        <v>-342800</v>
      </c>
      <c r="E14" s="2739">
        <f t="shared" si="5"/>
        <v>-852000</v>
      </c>
      <c r="F14" s="2739">
        <f t="shared" si="5"/>
        <v>-480885.54245089303</v>
      </c>
      <c r="G14" s="2739">
        <f t="shared" si="5"/>
        <v>-4934.0614700000015</v>
      </c>
      <c r="H14" s="2739">
        <f t="shared" si="5"/>
        <v>-17000.619897141263</v>
      </c>
      <c r="I14" s="2739">
        <f t="shared" si="5"/>
        <v>-19800</v>
      </c>
      <c r="J14" s="2739">
        <f t="shared" si="5"/>
        <v>-53859.180754500012</v>
      </c>
      <c r="K14" s="2739">
        <f t="shared" ref="K14" si="6">SUM(K2:K13)</f>
        <v>-47564.277425469008</v>
      </c>
      <c r="L14" s="2739">
        <f t="shared" si="5"/>
        <v>-295578.00971541455</v>
      </c>
      <c r="M14" s="2739">
        <f t="shared" si="5"/>
        <v>-1308924.9823435908</v>
      </c>
      <c r="N14" s="2740"/>
    </row>
    <row r="15" spans="1:27">
      <c r="A15" s="2735">
        <v>42736</v>
      </c>
      <c r="B15" s="2645">
        <f>'Mercado potencial'!E83*1000</f>
        <v>213996.72301800008</v>
      </c>
      <c r="C15" s="2645">
        <v>0</v>
      </c>
      <c r="D15" s="2645">
        <f>D13</f>
        <v>-34900</v>
      </c>
      <c r="E15" s="2645">
        <f>-'Personal '!$F$29</f>
        <v>-83000</v>
      </c>
      <c r="F15" s="2645">
        <f>-B16*(1-'Costeo Productos'!$B$46)</f>
        <v>-79264.670155416708</v>
      </c>
      <c r="G15" s="2645">
        <f>-'Costo MKT y Comercialización'!J51*1000</f>
        <v>-816.04692000000011</v>
      </c>
      <c r="H15" s="2645">
        <f>-'Costo logístico'!M12</f>
        <v>-2580.5106277061996</v>
      </c>
      <c r="I15" s="2645">
        <f>-'Costo logístico'!C31</f>
        <v>-2400</v>
      </c>
      <c r="J15" s="2645">
        <f>-'Costo MKT y Comercialización'!J69*1000</f>
        <v>-35502.843157128009</v>
      </c>
      <c r="K15" s="2645">
        <f>-B15*'Cuadro de Resultados'!$Y$35</f>
        <v>-8987.8623667560023</v>
      </c>
      <c r="L15" s="2645">
        <f t="shared" si="0"/>
        <v>-55853.144707698018</v>
      </c>
      <c r="M15" s="2736">
        <f t="shared" si="1"/>
        <v>-89308.354916704862</v>
      </c>
      <c r="N15" s="2736">
        <f>N13+M15</f>
        <v>-1398233.3372602956</v>
      </c>
      <c r="O15" s="2773">
        <f>O13+M15/'Tipo de cambio'!$D$9+U4</f>
        <v>42895.130644910627</v>
      </c>
      <c r="P15" s="2773">
        <f>O15/((1+'Análisis financiero'!$C$81/12*Z15)^AA15)</f>
        <v>41930.858701015626</v>
      </c>
      <c r="Q15" s="2741"/>
      <c r="Z15">
        <v>1</v>
      </c>
      <c r="AA15">
        <v>2</v>
      </c>
    </row>
    <row r="16" spans="1:27">
      <c r="A16" s="2735">
        <v>42767</v>
      </c>
      <c r="B16" s="2645">
        <f>'Mercado potencial'!F72*1000</f>
        <v>221941.07643516676</v>
      </c>
      <c r="C16" s="2645">
        <v>0</v>
      </c>
      <c r="D16" s="2645">
        <f>D15</f>
        <v>-34900</v>
      </c>
      <c r="E16" s="2645">
        <f>-'Personal '!$F$29</f>
        <v>-83000</v>
      </c>
      <c r="F16" s="2645">
        <f>-B17*(1-'Costeo Productos'!$B$46)</f>
        <v>-83173.367804404799</v>
      </c>
      <c r="G16" s="2645">
        <f>-'Costo MKT y Comercialización'!J52*1000</f>
        <v>-853.8268700000001</v>
      </c>
      <c r="H16" s="2645">
        <f>-'Costo logístico'!M13</f>
        <v>-2873.0923100331038</v>
      </c>
      <c r="I16" s="2645">
        <f>-'Costo logístico'!C32</f>
        <v>-3000</v>
      </c>
      <c r="J16" s="2645">
        <v>0</v>
      </c>
      <c r="K16" s="2645">
        <f>-B16*'Cuadro de Resultados'!$Y$35</f>
        <v>-9321.5252102770028</v>
      </c>
      <c r="L16" s="2645">
        <f t="shared" si="0"/>
        <v>-57926.620949578522</v>
      </c>
      <c r="M16" s="2736">
        <f t="shared" si="1"/>
        <v>-53107.356709126667</v>
      </c>
      <c r="N16" s="2736">
        <f>N15+M16</f>
        <v>-1451340.6939694223</v>
      </c>
      <c r="O16" s="2741">
        <f>O15+M16/'Tipo de cambio'!$D$9</f>
        <v>36928.011913548078</v>
      </c>
      <c r="P16" s="2741">
        <f>O16/((1+'Análisis financiero'!$C$81/12*Z16)^AA16)</f>
        <v>35295.4270882657</v>
      </c>
      <c r="Q16" s="2741"/>
      <c r="Z16">
        <v>2</v>
      </c>
      <c r="AA16">
        <v>2</v>
      </c>
    </row>
    <row r="17" spans="1:27">
      <c r="A17" s="2735">
        <v>42795</v>
      </c>
      <c r="B17" s="2645">
        <f>'Mercado potencial'!F73*1000</f>
        <v>232885.42985233341</v>
      </c>
      <c r="C17" s="2645">
        <v>0</v>
      </c>
      <c r="D17" s="2645">
        <f t="shared" si="4"/>
        <v>-34900</v>
      </c>
      <c r="E17" s="2645">
        <f>-'Personal '!$F$29</f>
        <v>-83000</v>
      </c>
      <c r="F17" s="2645">
        <f>-B18*(1-'Costeo Productos'!$B$46)</f>
        <v>-99453.605248750056</v>
      </c>
      <c r="G17" s="2645">
        <f>-'Costo MKT y Comercialización'!J53*1000</f>
        <v>-1020.0586500000002</v>
      </c>
      <c r="H17" s="2645">
        <f>-'Costo logístico'!M14</f>
        <v>-3160.5790113320063</v>
      </c>
      <c r="I17" s="2645">
        <f>-'Costo logístico'!C33</f>
        <v>-3600</v>
      </c>
      <c r="J17" s="2645">
        <v>0</v>
      </c>
      <c r="K17" s="2645">
        <f>-B17*'Cuadro de Resultados'!$Y$35</f>
        <v>-9781.1880537980032</v>
      </c>
      <c r="L17" s="2645">
        <f t="shared" si="0"/>
        <v>-60783.097191459019</v>
      </c>
      <c r="M17" s="2736">
        <f t="shared" si="1"/>
        <v>-62813.098303005667</v>
      </c>
      <c r="N17" s="2736">
        <f t="shared" si="2"/>
        <v>-1514153.7922724278</v>
      </c>
      <c r="O17" s="2741">
        <f>O16+M17/'Tipo de cambio'!$D$9</f>
        <v>29870.360418828343</v>
      </c>
      <c r="P17" s="2741">
        <f>O17/((1+'Análisis financiero'!$C$81/12*Z17)^AA17)</f>
        <v>27922.1112612783</v>
      </c>
      <c r="Q17" s="2741"/>
      <c r="Z17">
        <v>3</v>
      </c>
      <c r="AA17">
        <v>2</v>
      </c>
    </row>
    <row r="18" spans="1:27">
      <c r="A18" s="2735">
        <v>42826</v>
      </c>
      <c r="B18" s="2645">
        <f>'Mercado potencial'!F74*1000</f>
        <v>278470.09469650011</v>
      </c>
      <c r="C18" s="2645">
        <v>0</v>
      </c>
      <c r="D18" s="2645">
        <f t="shared" si="4"/>
        <v>-34900</v>
      </c>
      <c r="E18" s="2645">
        <f>-'Personal '!$F$29</f>
        <v>-83000</v>
      </c>
      <c r="F18" s="2645">
        <f>-B19*(1-'Costeo Productos'!$B$46)</f>
        <v>-107129.00663904769</v>
      </c>
      <c r="G18" s="2645">
        <f>-'Costo MKT y Comercialización'!J54*1000</f>
        <v>-1095.6185500000001</v>
      </c>
      <c r="H18" s="2645">
        <f>-'Costo logístico'!M15</f>
        <v>-3348.0657126309088</v>
      </c>
      <c r="I18" s="2645">
        <f>-'Costo logístico'!C34</f>
        <v>-3600</v>
      </c>
      <c r="J18" s="2645">
        <f>-'Costo MKT y Comercialización'!J72*1000</f>
        <v>-53254.264735692021</v>
      </c>
      <c r="K18" s="2645">
        <f>-B18*'Cuadro de Resultados'!$Y$35</f>
        <v>-11695.743977253003</v>
      </c>
      <c r="L18" s="2645">
        <f t="shared" si="0"/>
        <v>-72680.694715786522</v>
      </c>
      <c r="M18" s="2736">
        <f t="shared" si="1"/>
        <v>-92233.299633910035</v>
      </c>
      <c r="N18" s="2736">
        <f t="shared" si="2"/>
        <v>-1606387.0919063378</v>
      </c>
      <c r="O18" s="2741">
        <f>O17+M18/'Tipo de cambio'!$D$9</f>
        <v>19507.068325130585</v>
      </c>
      <c r="P18" s="2741">
        <f>O18/((1+'Análisis financiero'!$C$81/12*Z18)^AA18)</f>
        <v>17838.207413048109</v>
      </c>
      <c r="Q18" s="2741"/>
      <c r="Z18">
        <v>4</v>
      </c>
      <c r="AA18">
        <v>2</v>
      </c>
    </row>
    <row r="19" spans="1:27">
      <c r="A19" s="2735">
        <v>42856</v>
      </c>
      <c r="B19" s="2645">
        <f>'Mercado potencial'!F75*1000</f>
        <v>299961.21858933347</v>
      </c>
      <c r="C19" s="2645">
        <v>0</v>
      </c>
      <c r="D19" s="2645">
        <f t="shared" si="4"/>
        <v>-34900</v>
      </c>
      <c r="E19" s="2645">
        <f>-'Personal '!$F$29</f>
        <v>-83000</v>
      </c>
      <c r="F19" s="2645">
        <f>-B20*(1-'Costeo Productos'!$B$46)</f>
        <v>-114804.4080293453</v>
      </c>
      <c r="G19" s="2645">
        <f>-'Costo MKT y Comercialización'!J55*1000</f>
        <v>-1178.7344400000002</v>
      </c>
      <c r="H19" s="2645">
        <f>-'Costo logístico'!M16</f>
        <v>-3594.276327217633</v>
      </c>
      <c r="I19" s="2645">
        <f>-'Costo logístico'!C35</f>
        <v>-3600</v>
      </c>
      <c r="J19" s="2645">
        <v>0</v>
      </c>
      <c r="K19" s="2645">
        <f>-B19*'Cuadro de Resultados'!$Y$35</f>
        <v>-12598.371180752005</v>
      </c>
      <c r="L19" s="2645">
        <f t="shared" si="0"/>
        <v>-78289.878051816035</v>
      </c>
      <c r="M19" s="2736">
        <f t="shared" si="1"/>
        <v>-32004.449439797507</v>
      </c>
      <c r="N19" s="2736">
        <f t="shared" si="2"/>
        <v>-1638391.5413461353</v>
      </c>
      <c r="O19" s="2741">
        <f>O18+M19/'Tipo de cambio'!$D$9</f>
        <v>15911.062770097158</v>
      </c>
      <c r="P19" s="2741">
        <f>O19/((1+'Análisis financiero'!$C$81/12*Z19)^AA19)</f>
        <v>14236.841053311624</v>
      </c>
      <c r="Q19" s="2741"/>
      <c r="Z19">
        <v>5</v>
      </c>
      <c r="AA19">
        <v>2</v>
      </c>
    </row>
    <row r="20" spans="1:27">
      <c r="A20" s="2735">
        <v>42887</v>
      </c>
      <c r="B20" s="2645">
        <f>'Mercado potencial'!F76*1000</f>
        <v>321452.34248216677</v>
      </c>
      <c r="C20" s="2645">
        <v>0</v>
      </c>
      <c r="D20" s="2645">
        <f t="shared" si="4"/>
        <v>-34900</v>
      </c>
      <c r="E20" s="2645">
        <f>-'Personal '!$F$29</f>
        <v>-83000</v>
      </c>
      <c r="F20" s="2645">
        <f>-B21*(1-'Costeo Productos'!$B$46)</f>
        <v>-122479.80941964293</v>
      </c>
      <c r="G20" s="2645">
        <f>-'Costo MKT y Comercialización'!J56*1000</f>
        <v>-1254.2943400000001</v>
      </c>
      <c r="H20" s="2645">
        <f>-'Costo logístico'!M17</f>
        <v>-3812.2967250239099</v>
      </c>
      <c r="I20" s="2645">
        <f>-'Costo logístico'!C36</f>
        <v>-3600</v>
      </c>
      <c r="J20" s="2645">
        <v>0</v>
      </c>
      <c r="K20" s="2645">
        <f>-B20*'Cuadro de Resultados'!$Y$35</f>
        <v>-13500.998384251003</v>
      </c>
      <c r="L20" s="2645">
        <f t="shared" si="0"/>
        <v>-83899.061387845519</v>
      </c>
      <c r="M20" s="2736">
        <f t="shared" si="1"/>
        <v>-24994.117774596591</v>
      </c>
      <c r="N20" s="2736">
        <f t="shared" si="2"/>
        <v>-1663385.659120732</v>
      </c>
      <c r="O20" s="2741">
        <f>O19+M20/'Tipo de cambio'!$D$9</f>
        <v>13102.734930254845</v>
      </c>
      <c r="P20" s="2741">
        <f>O20/((1+'Análisis financiero'!$C$81/12*Z20)^AA20)</f>
        <v>11474.486022257035</v>
      </c>
      <c r="Q20" s="2741"/>
      <c r="Z20">
        <v>6</v>
      </c>
      <c r="AA20">
        <v>2</v>
      </c>
    </row>
    <row r="21" spans="1:27">
      <c r="A21" s="2735">
        <v>42917</v>
      </c>
      <c r="B21" s="2645">
        <f>'Mercado potencial'!F77*1000</f>
        <v>342943.46637500013</v>
      </c>
      <c r="C21" s="2645">
        <v>0</v>
      </c>
      <c r="D21" s="2645">
        <f t="shared" si="4"/>
        <v>-34900</v>
      </c>
      <c r="E21" s="2645">
        <f>-'Personal '!$F$29</f>
        <v>-83000</v>
      </c>
      <c r="F21" s="2645">
        <f>-B22*(1-'Costeo Productos'!$B$46)</f>
        <v>-130869.49652422627</v>
      </c>
      <c r="G21" s="2645">
        <f>-'Costo MKT y Comercialización'!J57*1000</f>
        <v>-1344.9662200000002</v>
      </c>
      <c r="H21" s="2645">
        <f>-'Costo logístico'!M18</f>
        <v>-4202.6172024521311</v>
      </c>
      <c r="I21" s="2645">
        <f>-'Costo logístico'!C37</f>
        <v>-4200</v>
      </c>
      <c r="J21" s="2645">
        <f>-'Costo MKT y Comercialización'!J75*1000</f>
        <v>-53254.264735692021</v>
      </c>
      <c r="K21" s="2645">
        <f>-B21*'Cuadro de Resultados'!$Y$35</f>
        <v>-14403.625587750004</v>
      </c>
      <c r="L21" s="2645">
        <f t="shared" si="0"/>
        <v>-89508.244723875032</v>
      </c>
      <c r="M21" s="2736">
        <f t="shared" si="1"/>
        <v>-72739.748618995334</v>
      </c>
      <c r="N21" s="2736">
        <f t="shared" si="2"/>
        <v>-1736125.4077397273</v>
      </c>
      <c r="O21" s="2741">
        <f>O20+M21/'Tipo de cambio'!$D$9</f>
        <v>4929.7294674463801</v>
      </c>
      <c r="P21" s="2741">
        <f>O21/((1+'Análisis financiero'!$C$81/12*Z21)^AA21)</f>
        <v>4226.2058270257367</v>
      </c>
      <c r="Q21" s="2741"/>
      <c r="Z21">
        <v>7</v>
      </c>
      <c r="AA21">
        <v>2</v>
      </c>
    </row>
    <row r="22" spans="1:27">
      <c r="A22" s="2735">
        <v>42948</v>
      </c>
      <c r="B22" s="2645">
        <f>'Mercado potencial'!F78*1000</f>
        <v>366434.5902678335</v>
      </c>
      <c r="C22" s="2645">
        <v>0</v>
      </c>
      <c r="D22" s="2645">
        <f t="shared" si="4"/>
        <v>-34900</v>
      </c>
      <c r="E22" s="2645">
        <f>-'Personal '!$F$29</f>
        <v>-83000</v>
      </c>
      <c r="F22" s="2645">
        <f>-B23*(1-'Costeo Productos'!$B$46)</f>
        <v>-140330.61220023816</v>
      </c>
      <c r="G22" s="2645">
        <f>-'Costo MKT y Comercialización'!J58*1000</f>
        <v>-1435.6381000000003</v>
      </c>
      <c r="H22" s="2645">
        <f>-'Costo logístico'!M19</f>
        <v>-4624.9804597998445</v>
      </c>
      <c r="I22" s="2645">
        <f>-'Costo logístico'!C38</f>
        <v>-4800</v>
      </c>
      <c r="J22" s="2645">
        <v>0</v>
      </c>
      <c r="K22" s="2645">
        <f>-B22*'Cuadro de Resultados'!$Y$35</f>
        <v>-15390.252791249006</v>
      </c>
      <c r="L22" s="2645">
        <f t="shared" si="0"/>
        <v>-95639.428059904545</v>
      </c>
      <c r="M22" s="2736">
        <f t="shared" si="1"/>
        <v>-13686.321343358053</v>
      </c>
      <c r="N22" s="2736">
        <f t="shared" si="2"/>
        <v>-1749811.7290830854</v>
      </c>
      <c r="O22" s="2741">
        <f>O21+M22/'Tipo de cambio'!$D$9</f>
        <v>3391.9405524623289</v>
      </c>
      <c r="P22" s="2741">
        <f>O22/((1+'Análisis financiero'!$C$81/12*Z22)^AA22)</f>
        <v>2847.2749053979778</v>
      </c>
      <c r="Q22" s="2741"/>
      <c r="Z22">
        <v>8</v>
      </c>
      <c r="AA22">
        <v>2</v>
      </c>
    </row>
    <row r="23" spans="1:27">
      <c r="A23" s="2735">
        <v>42979</v>
      </c>
      <c r="B23" s="2645">
        <f>'Mercado potencial'!F79*1000</f>
        <v>392925.71416066674</v>
      </c>
      <c r="C23" s="2645">
        <v>0</v>
      </c>
      <c r="D23" s="2645">
        <f t="shared" si="4"/>
        <v>-34900</v>
      </c>
      <c r="E23" s="2645">
        <f>-'Personal '!$F$29</f>
        <v>-83000</v>
      </c>
      <c r="F23" s="2645">
        <f>-B24*(1-'Costeo Productos'!$B$46)</f>
        <v>-158733.83300785723</v>
      </c>
      <c r="G23" s="2645">
        <f>-'Costo MKT y Comercialización'!J59*1000</f>
        <v>-1624.5378500000004</v>
      </c>
      <c r="H23" s="2645">
        <f>-'Costo logístico'!M20</f>
        <v>-4970.1722873768394</v>
      </c>
      <c r="I23" s="2645">
        <f>-'Costo logístico'!C39</f>
        <v>-5400</v>
      </c>
      <c r="J23" s="2645">
        <v>0</v>
      </c>
      <c r="K23" s="2645">
        <f>-B23*'Cuadro de Resultados'!$Y$35</f>
        <v>-16502.879994748</v>
      </c>
      <c r="L23" s="2645">
        <f t="shared" si="0"/>
        <v>-102553.61139593401</v>
      </c>
      <c r="M23" s="2736">
        <f t="shared" si="1"/>
        <v>-14759.320375249343</v>
      </c>
      <c r="N23" s="2736">
        <f t="shared" si="2"/>
        <v>-1764571.0494583347</v>
      </c>
      <c r="O23" s="2741">
        <f>O22+M23/'Tipo de cambio'!$D$9</f>
        <v>1733.5899485017287</v>
      </c>
      <c r="P23" s="2741">
        <f>O23/((1+'Análisis financiero'!$C$81/12*Z23)^AA23)</f>
        <v>1425.2021520178923</v>
      </c>
      <c r="Q23" s="2741"/>
      <c r="Z23">
        <v>9</v>
      </c>
      <c r="AA23">
        <v>2</v>
      </c>
    </row>
    <row r="24" spans="1:27">
      <c r="A24" s="2735">
        <v>43009</v>
      </c>
      <c r="B24" s="2645">
        <f>'Mercado potencial'!F80*1000</f>
        <v>444454.7324220002</v>
      </c>
      <c r="C24" s="2645">
        <v>0</v>
      </c>
      <c r="D24" s="2645">
        <f t="shared" si="4"/>
        <v>-34900</v>
      </c>
      <c r="E24" s="2645">
        <f>-'Personal '!$F$29</f>
        <v>-83000</v>
      </c>
      <c r="F24" s="2645">
        <f>-B25*(1-'Costeo Productos'!$B$46)</f>
        <v>-170818.50753726196</v>
      </c>
      <c r="G24" s="2645">
        <f>-'Costo MKT y Comercialización'!J60*1000</f>
        <v>-1752.9896800000004</v>
      </c>
      <c r="H24" s="2645">
        <f>-'Costo logístico'!M21</f>
        <v>-5315.3641149538353</v>
      </c>
      <c r="I24" s="2645">
        <f>-'Costo logístico'!C40</f>
        <v>-5400</v>
      </c>
      <c r="J24" s="2645">
        <f>-'Costo MKT y Comercialización'!J78*1000</f>
        <v>-35502.843157128009</v>
      </c>
      <c r="K24" s="2645">
        <f>-B24*'Cuadro de Resultados'!$Y$35</f>
        <v>-18667.098761724006</v>
      </c>
      <c r="L24" s="2645">
        <f t="shared" si="0"/>
        <v>-116002.68516214205</v>
      </c>
      <c r="M24" s="2736">
        <f t="shared" si="1"/>
        <v>-26904.755991209662</v>
      </c>
      <c r="N24" s="2736">
        <f t="shared" si="2"/>
        <v>-1791475.8054495445</v>
      </c>
      <c r="O24" s="2741">
        <f>O23+M24/'Tipo de cambio'!$D$9</f>
        <v>-1289.416342645424</v>
      </c>
      <c r="P24" s="2741">
        <f>O24/((1+'Análisis financiero'!$C$81/12*Z24)^AA24)</f>
        <v>-1038.402021329063</v>
      </c>
      <c r="Q24" s="2741"/>
      <c r="Z24">
        <v>10</v>
      </c>
      <c r="AA24">
        <v>2</v>
      </c>
    </row>
    <row r="25" spans="1:27">
      <c r="A25" s="2735">
        <v>43040</v>
      </c>
      <c r="B25" s="2645">
        <f>'Mercado potencial'!F81*1000</f>
        <v>478291.82110433344</v>
      </c>
      <c r="C25" s="2645">
        <v>0</v>
      </c>
      <c r="D25" s="2645">
        <f t="shared" si="4"/>
        <v>-34900</v>
      </c>
      <c r="E25" s="2645">
        <f>-'Personal '!$F$29</f>
        <v>-83000</v>
      </c>
      <c r="F25" s="2645">
        <f>-B26*(1-'Costeo Productos'!$B$46)</f>
        <v>-182903.18206666675</v>
      </c>
      <c r="G25" s="2645">
        <f>-'Costo MKT y Comercialización'!J61*1000</f>
        <v>-1873.8855200000003</v>
      </c>
      <c r="H25" s="2645">
        <f>-'Costo logístico'!M22</f>
        <v>-5622.0423369701903</v>
      </c>
      <c r="I25" s="2645">
        <f>-'Costo logístico'!C41</f>
        <v>-5400</v>
      </c>
      <c r="J25" s="2645">
        <v>0</v>
      </c>
      <c r="K25" s="2645">
        <f>-B25*'Cuadro de Resultados'!$Y$35</f>
        <v>-20088.256486382004</v>
      </c>
      <c r="L25" s="2645">
        <f t="shared" si="0"/>
        <v>-124834.16530823102</v>
      </c>
      <c r="M25" s="2736">
        <f t="shared" si="1"/>
        <v>19670.289386083459</v>
      </c>
      <c r="N25" s="2736">
        <f t="shared" si="2"/>
        <v>-1771805.5160634611</v>
      </c>
      <c r="O25" s="2741">
        <f>O24+M25/'Tipo de cambio'!$D$9</f>
        <v>920.72853219541389</v>
      </c>
      <c r="P25" s="2741">
        <f>O25/((1+'Análisis financiero'!$C$81/12*Z25)^AA25)</f>
        <v>726.5034149215453</v>
      </c>
      <c r="Q25" s="2741"/>
      <c r="Z25">
        <v>11</v>
      </c>
      <c r="AA25">
        <v>2</v>
      </c>
    </row>
    <row r="26" spans="1:27">
      <c r="A26" s="2735">
        <v>43070</v>
      </c>
      <c r="B26" s="2645">
        <f>'Mercado potencial'!F82*1000</f>
        <v>512128.9097866668</v>
      </c>
      <c r="C26" s="2645">
        <v>0</v>
      </c>
      <c r="D26" s="2645">
        <f t="shared" si="4"/>
        <v>-34900</v>
      </c>
      <c r="E26" s="2645">
        <f>-'Personal '!$F$29</f>
        <v>-83000</v>
      </c>
      <c r="F26" s="2645">
        <f>-B28*(1-'Costeo Productos'!$B$46)</f>
        <v>-194987.85659607154</v>
      </c>
      <c r="G26" s="2645">
        <f>-'Costo MKT y Comercialización'!J62*1000</f>
        <v>-2002.3373500000002</v>
      </c>
      <c r="H26" s="2645">
        <f>-'Costo logístico'!M23</f>
        <v>-5890.2069534259053</v>
      </c>
      <c r="I26" s="2645">
        <f>-'Costo logístico'!C42</f>
        <v>-5400</v>
      </c>
      <c r="J26" s="2645">
        <v>0</v>
      </c>
      <c r="K26" s="2645">
        <f>-B26*'Cuadro de Resultados'!$Y$35</f>
        <v>-21509.414211040003</v>
      </c>
      <c r="L26" s="2645">
        <f t="shared" si="0"/>
        <v>-133665.64545432001</v>
      </c>
      <c r="M26" s="2736">
        <f t="shared" si="1"/>
        <v>30773.449221809366</v>
      </c>
      <c r="N26" s="2736">
        <f t="shared" si="2"/>
        <v>-1741032.0668416517</v>
      </c>
      <c r="O26" s="2741">
        <f>O25+M26/'Tipo de cambio'!$D$9</f>
        <v>4378.4194559942189</v>
      </c>
      <c r="P26" s="2741">
        <f>O26/((1+'Análisis financiero'!$C$81/12*Z26)^AA26)</f>
        <v>3385.686315185676</v>
      </c>
      <c r="Q26" s="2741"/>
      <c r="Z26">
        <v>12</v>
      </c>
      <c r="AA26">
        <v>2</v>
      </c>
    </row>
    <row r="27" spans="1:27">
      <c r="A27" s="2738" t="s">
        <v>1693</v>
      </c>
      <c r="B27" s="2739">
        <f>SUM(B15:B26)</f>
        <v>4105886.1191900014</v>
      </c>
      <c r="C27" s="2739">
        <f t="shared" ref="C27" si="7">SUM(C15:C26)</f>
        <v>0</v>
      </c>
      <c r="D27" s="2739">
        <f t="shared" ref="D27" si="8">SUM(D15:D26)</f>
        <v>-418800</v>
      </c>
      <c r="E27" s="2739">
        <f t="shared" ref="E27" si="9">SUM(E15:E26)</f>
        <v>-996000</v>
      </c>
      <c r="F27" s="2739">
        <f t="shared" ref="F27" si="10">SUM(F15:F26)</f>
        <v>-1584948.3552289293</v>
      </c>
      <c r="G27" s="2739">
        <f t="shared" ref="G27" si="11">SUM(G15:G26)</f>
        <v>-16252.934490000003</v>
      </c>
      <c r="H27" s="2739">
        <f t="shared" ref="H27" si="12">SUM(H15:H26)</f>
        <v>-49994.20406892251</v>
      </c>
      <c r="I27" s="2739">
        <f t="shared" ref="I27" si="13">SUM(I15:I26)</f>
        <v>-50400</v>
      </c>
      <c r="J27" s="2739">
        <f t="shared" ref="J27" si="14">SUM(J15:J26)</f>
        <v>-177514.21578564006</v>
      </c>
      <c r="K27" s="2739">
        <f t="shared" ref="K27" si="15">SUM(K15:K26)</f>
        <v>-172447.21700598006</v>
      </c>
      <c r="L27" s="2739">
        <f t="shared" ref="L27" si="16">SUM(L15:L26)</f>
        <v>-1071636.2771085901</v>
      </c>
      <c r="M27" s="2739">
        <f t="shared" ref="M27" si="17">SUM(M15:M26)</f>
        <v>-432107.08449806075</v>
      </c>
      <c r="N27" s="2740"/>
    </row>
    <row r="28" spans="1:27">
      <c r="A28" s="2735">
        <v>43101</v>
      </c>
      <c r="B28" s="2645">
        <f>'Mercado potencial'!F83*1000</f>
        <v>545965.99846900022</v>
      </c>
      <c r="C28" s="2645">
        <v>0</v>
      </c>
      <c r="D28" s="2645">
        <f>D26</f>
        <v>-34900</v>
      </c>
      <c r="E28" s="2645">
        <f>-'Personal '!$F$39</f>
        <v>-103000</v>
      </c>
      <c r="F28" s="2645">
        <f>-B29*(1-'Costeo Productos'!$B$46)</f>
        <v>-203919.16206391028</v>
      </c>
      <c r="G28" s="2645">
        <f>-'Costo MKT y Comercialización'!K51*1000</f>
        <v>-2093.0092300000006</v>
      </c>
      <c r="H28" s="2645">
        <f>-'Costo logístico'!N12</f>
        <v>-6158.3715698816177</v>
      </c>
      <c r="I28" s="2645">
        <f>-'Costo logístico'!D31</f>
        <v>-5400</v>
      </c>
      <c r="J28" s="2645">
        <f>-'Costo MKT y Comercialización'!K69*1000</f>
        <v>-68017.512766431842</v>
      </c>
      <c r="K28" s="2645">
        <f>-B28*'Cuadro de Resultados'!$Y$35</f>
        <v>-22930.571935698008</v>
      </c>
      <c r="L28" s="2645">
        <f t="shared" si="0"/>
        <v>-142497.12560040905</v>
      </c>
      <c r="M28" s="2736">
        <f t="shared" si="1"/>
        <v>-42949.754697330587</v>
      </c>
      <c r="N28" s="2736">
        <f>N26+M28</f>
        <v>-1783981.8215389822</v>
      </c>
      <c r="O28" s="2741">
        <f>O26+M28/'Tipo de cambio'!$D$9</f>
        <v>-447.3956785373075</v>
      </c>
      <c r="P28" s="2741">
        <f>O28/((1+'Análisis financiero'!$C$81/12*Z28)^AA28)</f>
        <v>-432.39476482245868</v>
      </c>
      <c r="Q28" s="2741"/>
      <c r="Z28">
        <v>1</v>
      </c>
      <c r="AA28">
        <v>3</v>
      </c>
    </row>
    <row r="29" spans="1:27">
      <c r="A29" s="2735">
        <v>43132</v>
      </c>
      <c r="B29" s="2645">
        <f>'Mercado potencial'!G72*1000</f>
        <v>570973.6537789487</v>
      </c>
      <c r="C29" s="2645">
        <v>0</v>
      </c>
      <c r="D29" s="2645">
        <f t="shared" si="4"/>
        <v>-34900</v>
      </c>
      <c r="E29" s="2645">
        <f>-'Personal '!$F$39</f>
        <v>-103000</v>
      </c>
      <c r="F29" s="2645">
        <f>-B30*(1-'Costeo Productos'!$B$46)</f>
        <v>-212850.46753174899</v>
      </c>
      <c r="G29" s="2645">
        <f>-'Costo MKT y Comercialización'!K52*1000</f>
        <v>-2183.6811100000004</v>
      </c>
      <c r="H29" s="2645">
        <f>-'Costo logístico'!N13</f>
        <v>-6426.5361863373319</v>
      </c>
      <c r="I29" s="2645">
        <f>-'Costo logístico'!D32</f>
        <v>-5400</v>
      </c>
      <c r="J29" s="2645">
        <v>0</v>
      </c>
      <c r="K29" s="2645">
        <f>-B29*'Cuadro de Resultados'!$Y$35</f>
        <v>-23980.893458715844</v>
      </c>
      <c r="L29" s="2645">
        <f t="shared" si="0"/>
        <v>-149024.12363630559</v>
      </c>
      <c r="M29" s="2736">
        <f t="shared" si="1"/>
        <v>33207.951855840947</v>
      </c>
      <c r="N29" s="2736">
        <f t="shared" si="2"/>
        <v>-1750773.8696831414</v>
      </c>
      <c r="O29" s="2741">
        <f>O28+M29/'Tipo de cambio'!$D$9</f>
        <v>3283.8348670627988</v>
      </c>
      <c r="P29" s="2741">
        <f>O29/((1+'Análisis financiero'!$C$81/12*Z29)^AA29)</f>
        <v>3068.4926052318974</v>
      </c>
      <c r="Q29" s="2741"/>
      <c r="Z29">
        <v>2</v>
      </c>
      <c r="AA29">
        <v>3</v>
      </c>
    </row>
    <row r="30" spans="1:27">
      <c r="A30" s="2735">
        <v>43160</v>
      </c>
      <c r="B30" s="2645">
        <f>'Mercado potencial'!G73*1000</f>
        <v>595981.30908889708</v>
      </c>
      <c r="C30" s="2645">
        <v>0</v>
      </c>
      <c r="D30" s="2645">
        <f t="shared" si="4"/>
        <v>-34900</v>
      </c>
      <c r="E30" s="2645">
        <f>-'Personal '!$F$39</f>
        <v>-103000</v>
      </c>
      <c r="F30" s="2645">
        <f>-B31*(1-'Costeo Productos'!$B$46)</f>
        <v>-221781.77299958764</v>
      </c>
      <c r="G30" s="2645">
        <f>-'Costo MKT y Comercialización'!K53*1000</f>
        <v>-2274.3529900000003</v>
      </c>
      <c r="H30" s="2645">
        <f>-'Costo logístico'!N14</f>
        <v>-6694.700802793046</v>
      </c>
      <c r="I30" s="2645">
        <f>-'Costo logístico'!D33</f>
        <v>-5400</v>
      </c>
      <c r="J30" s="2645">
        <v>0</v>
      </c>
      <c r="K30" s="2645">
        <f>-B30*'Cuadro de Resultados'!$Y$35</f>
        <v>-25031.214981733676</v>
      </c>
      <c r="L30" s="2645">
        <f t="shared" si="0"/>
        <v>-155551.12167220213</v>
      </c>
      <c r="M30" s="2736">
        <f t="shared" si="1"/>
        <v>41348.145642580552</v>
      </c>
      <c r="N30" s="2736">
        <f t="shared" si="2"/>
        <v>-1709425.7240405609</v>
      </c>
      <c r="O30" s="2741">
        <f>O29+M30/'Tipo de cambio'!$D$9</f>
        <v>7929.6939280269053</v>
      </c>
      <c r="P30" s="2741">
        <f>O30/((1+'Análisis financiero'!$C$81/12*Z30)^AA30)</f>
        <v>7166.6816022120829</v>
      </c>
      <c r="Q30" s="2741"/>
      <c r="Z30">
        <v>3</v>
      </c>
      <c r="AA30">
        <v>3</v>
      </c>
    </row>
    <row r="31" spans="1:27">
      <c r="A31" s="2735">
        <v>43191</v>
      </c>
      <c r="B31" s="2645">
        <f>'Mercado potencial'!G74*1000</f>
        <v>620988.96439884533</v>
      </c>
      <c r="C31" s="2645">
        <v>0</v>
      </c>
      <c r="D31" s="2645">
        <f t="shared" si="4"/>
        <v>-34900</v>
      </c>
      <c r="E31" s="2645">
        <f>-'Personal '!$F$39</f>
        <v>-103000</v>
      </c>
      <c r="F31" s="2645">
        <f>-B32*(1-'Costeo Productos'!$B$46)</f>
        <v>-230713.07846742644</v>
      </c>
      <c r="G31" s="2645">
        <f>-'Costo MKT y Comercialización'!K54*1000</f>
        <v>-2365.0248700000002</v>
      </c>
      <c r="H31" s="2645">
        <f>-'Costo logístico'!N15</f>
        <v>-6912.8654192487584</v>
      </c>
      <c r="I31" s="2645">
        <f>-'Costo logístico'!D34</f>
        <v>-5400</v>
      </c>
      <c r="J31" s="2645">
        <f>-'Costo MKT y Comercialización'!K72*1000</f>
        <v>-102026.26914964775</v>
      </c>
      <c r="K31" s="2645">
        <f>-B31*'Cuadro de Resultados'!$Y$35</f>
        <v>-26081.536504751501</v>
      </c>
      <c r="L31" s="2645">
        <f t="shared" si="0"/>
        <v>-162078.11970809862</v>
      </c>
      <c r="M31" s="2736">
        <f t="shared" si="1"/>
        <v>-52487.929720327724</v>
      </c>
      <c r="N31" s="2736">
        <f t="shared" si="2"/>
        <v>-1761913.6537608886</v>
      </c>
      <c r="O31" s="2741">
        <f>O30+M31/'Tipo de cambio'!$D$9</f>
        <v>2032.1737347316557</v>
      </c>
      <c r="P31" s="2741">
        <f>O31/((1+'Análisis financiero'!$C$81/12*Z31)^AA31)</f>
        <v>1777.0499704210547</v>
      </c>
      <c r="Q31" s="2741"/>
      <c r="Z31">
        <v>4</v>
      </c>
      <c r="AA31">
        <v>3</v>
      </c>
    </row>
    <row r="32" spans="1:27">
      <c r="A32" s="2735">
        <v>43221</v>
      </c>
      <c r="B32" s="2645">
        <f>'Mercado potencial'!G75*1000</f>
        <v>645996.61970879394</v>
      </c>
      <c r="C32" s="2645">
        <v>0</v>
      </c>
      <c r="D32" s="2645">
        <f t="shared" si="4"/>
        <v>-34900</v>
      </c>
      <c r="E32" s="2645">
        <f>-'Personal '!$F$39</f>
        <v>-103000</v>
      </c>
      <c r="F32" s="2645">
        <f>-B33*(1-'Costeo Productos'!$B$46)</f>
        <v>-239644.38393526516</v>
      </c>
      <c r="G32" s="2645">
        <f>-'Costo MKT y Comercialización'!K55*1000</f>
        <v>-2455.6967500000005</v>
      </c>
      <c r="H32" s="2645">
        <f>-'Costo logístico'!N16</f>
        <v>-7181.0300357044734</v>
      </c>
      <c r="I32" s="2645">
        <f>-'Costo logístico'!D35</f>
        <v>-5400</v>
      </c>
      <c r="J32" s="2645">
        <v>0</v>
      </c>
      <c r="K32" s="2645">
        <f>-B32*'Cuadro de Resultados'!$Y$35</f>
        <v>-27131.858027769344</v>
      </c>
      <c r="L32" s="2645">
        <f t="shared" si="0"/>
        <v>-168605.11774399522</v>
      </c>
      <c r="M32" s="2736">
        <f t="shared" si="1"/>
        <v>57678.53321605979</v>
      </c>
      <c r="N32" s="2736">
        <f t="shared" si="2"/>
        <v>-1704235.1205448289</v>
      </c>
      <c r="O32" s="2741">
        <f>O31+M32/'Tipo de cambio'!$D$9</f>
        <v>8512.9078039518572</v>
      </c>
      <c r="P32" s="2741">
        <f>O32/((1+'Análisis financiero'!$C$81/12*Z32)^AA32)</f>
        <v>7205.2590728057221</v>
      </c>
      <c r="Q32" s="2741"/>
      <c r="Z32">
        <v>5</v>
      </c>
      <c r="AA32">
        <v>3</v>
      </c>
    </row>
    <row r="33" spans="1:27">
      <c r="A33" s="2735">
        <v>43252</v>
      </c>
      <c r="B33" s="2645">
        <f>'Mercado potencial'!G76*1000</f>
        <v>671004.27501874231</v>
      </c>
      <c r="C33" s="2645">
        <v>0</v>
      </c>
      <c r="D33" s="2645">
        <f t="shared" si="4"/>
        <v>-34900</v>
      </c>
      <c r="E33" s="2645">
        <f>-'Personal '!$F$39</f>
        <v>-103000</v>
      </c>
      <c r="F33" s="2645">
        <f>-B34*(1-'Costeo Productos'!$B$46)</f>
        <v>-248575.68940310381</v>
      </c>
      <c r="G33" s="2645">
        <f>-'Costo MKT y Comercialización'!K56*1000</f>
        <v>-2546.3686300000004</v>
      </c>
      <c r="H33" s="2645">
        <f>-'Costo logístico'!N17</f>
        <v>-7449.1946521601885</v>
      </c>
      <c r="I33" s="2645">
        <f>-'Costo logístico'!D36</f>
        <v>-5400</v>
      </c>
      <c r="J33" s="2645">
        <v>0</v>
      </c>
      <c r="K33" s="2645">
        <f>-B33*'Cuadro de Resultados'!$Y$35</f>
        <v>-28182.179550787176</v>
      </c>
      <c r="L33" s="2645">
        <f t="shared" si="0"/>
        <v>-175132.11577989173</v>
      </c>
      <c r="M33" s="2736">
        <f t="shared" si="1"/>
        <v>65818.727002799482</v>
      </c>
      <c r="N33" s="2736">
        <f t="shared" si="2"/>
        <v>-1638416.3935420294</v>
      </c>
      <c r="O33" s="2741">
        <f>O32+M33/'Tipo de cambio'!$D$9</f>
        <v>15908.270388536068</v>
      </c>
      <c r="P33" s="2741">
        <f>O33/((1+'Análisis financiero'!$C$81/12*Z33)^AA33)</f>
        <v>13037.066863561218</v>
      </c>
      <c r="Q33" s="2741"/>
      <c r="Z33">
        <v>6</v>
      </c>
      <c r="AA33">
        <v>3</v>
      </c>
    </row>
    <row r="34" spans="1:27">
      <c r="A34" s="2735">
        <v>43282</v>
      </c>
      <c r="B34" s="2645">
        <f>'Mercado potencial'!G77*1000</f>
        <v>696011.93032869056</v>
      </c>
      <c r="C34" s="2645">
        <v>0</v>
      </c>
      <c r="D34" s="2645">
        <f t="shared" si="4"/>
        <v>-34900</v>
      </c>
      <c r="E34" s="2645">
        <f>-'Personal '!$F$39</f>
        <v>-103000</v>
      </c>
      <c r="F34" s="2645">
        <f>-B35*(1-'Costeo Productos'!$B$46)</f>
        <v>-257506.99487094264</v>
      </c>
      <c r="G34" s="2645">
        <f>-'Costo MKT y Comercialización'!K57*1000</f>
        <v>-2637.0405100000003</v>
      </c>
      <c r="H34" s="2645">
        <f>-'Costo logístico'!N18</f>
        <v>-7667.3592686159009</v>
      </c>
      <c r="I34" s="2645">
        <f>-'Costo logístico'!D37</f>
        <v>-5400</v>
      </c>
      <c r="J34" s="2645">
        <f>-'Costo MKT y Comercialización'!K75*1000</f>
        <v>-102026.26914964775</v>
      </c>
      <c r="K34" s="2645">
        <f>-B34*'Cuadro de Resultados'!$Y$35</f>
        <v>-29232.501073805</v>
      </c>
      <c r="L34" s="2645">
        <f t="shared" si="0"/>
        <v>-181659.11381578821</v>
      </c>
      <c r="M34" s="2736">
        <f t="shared" si="1"/>
        <v>-28017.348360108968</v>
      </c>
      <c r="N34" s="2736">
        <f t="shared" si="2"/>
        <v>-1666433.7419021383</v>
      </c>
      <c r="O34" s="2741">
        <f>O33+M34/'Tipo de cambio'!$D$9</f>
        <v>12760.253718860902</v>
      </c>
      <c r="P34" s="2741">
        <f>O34/((1+'Análisis financiero'!$C$81/12*Z34)^AA34)</f>
        <v>10128.628593131869</v>
      </c>
      <c r="Q34" s="2741"/>
      <c r="Z34">
        <v>7</v>
      </c>
      <c r="AA34">
        <v>3</v>
      </c>
    </row>
    <row r="35" spans="1:27">
      <c r="A35" s="2735">
        <v>43313</v>
      </c>
      <c r="B35" s="2645">
        <f>'Mercado potencial'!G78*1000</f>
        <v>721019.58563863928</v>
      </c>
      <c r="C35" s="2645">
        <v>0</v>
      </c>
      <c r="D35" s="2645">
        <f t="shared" si="4"/>
        <v>-34900</v>
      </c>
      <c r="E35" s="2645">
        <f>-'Personal '!$F$39</f>
        <v>-103000</v>
      </c>
      <c r="F35" s="2645">
        <f>-B36*(1-'Costeo Productos'!$B$46)</f>
        <v>-266438.30033878132</v>
      </c>
      <c r="G35" s="2645">
        <f>-'Costo MKT y Comercialización'!K58*1000</f>
        <v>-2735.2683800000004</v>
      </c>
      <c r="H35" s="2645">
        <f>-'Costo logístico'!N19</f>
        <v>-7935.523885071616</v>
      </c>
      <c r="I35" s="2645">
        <f>-'Costo logístico'!D38</f>
        <v>-5400</v>
      </c>
      <c r="J35" s="2645">
        <v>0</v>
      </c>
      <c r="K35" s="2645">
        <f>-B35*'Cuadro de Resultados'!$Y$35</f>
        <v>-30282.822596822847</v>
      </c>
      <c r="L35" s="2645">
        <f t="shared" si="0"/>
        <v>-188186.11185168484</v>
      </c>
      <c r="M35" s="2736">
        <f t="shared" si="1"/>
        <v>82141.55858627861</v>
      </c>
      <c r="N35" s="2736">
        <f t="shared" si="2"/>
        <v>-1584292.1833158596</v>
      </c>
      <c r="O35" s="2741">
        <f>O34+M35/'Tipo de cambio'!$D$9</f>
        <v>21989.642324060747</v>
      </c>
      <c r="P35" s="2741">
        <f>O35/((1+'Análisis financiero'!$C$81/12*Z35)^AA35)</f>
        <v>16911.803262632719</v>
      </c>
      <c r="Q35" s="2741"/>
      <c r="Z35">
        <v>8</v>
      </c>
      <c r="AA35">
        <v>3</v>
      </c>
    </row>
    <row r="36" spans="1:27">
      <c r="A36" s="2735">
        <v>43344</v>
      </c>
      <c r="B36" s="2645">
        <f>'Mercado potencial'!G79*1000</f>
        <v>746027.24094858754</v>
      </c>
      <c r="C36" s="2645">
        <v>0</v>
      </c>
      <c r="D36" s="2645">
        <f t="shared" si="4"/>
        <v>-34900</v>
      </c>
      <c r="E36" s="2645">
        <f>-'Personal '!$F$39</f>
        <v>-103000</v>
      </c>
      <c r="F36" s="2645">
        <f>-B37*(1-'Costeo Productos'!$B$46)</f>
        <v>-275369.60580662003</v>
      </c>
      <c r="G36" s="2645">
        <f>-'Costo MKT y Comercialización'!K59*1000</f>
        <v>-2825.9402600000003</v>
      </c>
      <c r="H36" s="2645">
        <f>-'Costo logístico'!N20</f>
        <v>-8203.6885015273292</v>
      </c>
      <c r="I36" s="2645">
        <f>-'Costo logístico'!D39</f>
        <v>-5400</v>
      </c>
      <c r="J36" s="2645">
        <v>0</v>
      </c>
      <c r="K36" s="2645">
        <f>-B36*'Cuadro de Resultados'!$Y$35</f>
        <v>-31333.144119840672</v>
      </c>
      <c r="L36" s="2645">
        <f t="shared" si="0"/>
        <v>-194713.10988758135</v>
      </c>
      <c r="M36" s="2736">
        <f t="shared" si="1"/>
        <v>90281.752373018157</v>
      </c>
      <c r="N36" s="2736">
        <f t="shared" si="2"/>
        <v>-1494010.4309428416</v>
      </c>
      <c r="O36" s="2741">
        <f>O35+M36/'Tipo de cambio'!$D$9</f>
        <v>32133.659444624587</v>
      </c>
      <c r="P36" s="2741">
        <f>O36/((1+'Análisis financiero'!$C$81/12*Z36)^AA36)</f>
        <v>23952.746625107902</v>
      </c>
      <c r="Q36" s="2741"/>
      <c r="Z36">
        <v>9</v>
      </c>
      <c r="AA36">
        <v>3</v>
      </c>
    </row>
    <row r="37" spans="1:27">
      <c r="A37" s="2735">
        <v>43374</v>
      </c>
      <c r="B37" s="2645">
        <f>'Mercado potencial'!G80*1000</f>
        <v>771034.89625853591</v>
      </c>
      <c r="C37" s="2645">
        <v>0</v>
      </c>
      <c r="D37" s="2645">
        <f t="shared" si="4"/>
        <v>-34900</v>
      </c>
      <c r="E37" s="2645">
        <f>-'Personal '!$F$39</f>
        <v>-103000</v>
      </c>
      <c r="F37" s="2645">
        <f>-B38*(1-'Costeo Productos'!$B$46)</f>
        <v>-284300.91127445875</v>
      </c>
      <c r="G37" s="2645">
        <f>-'Costo MKT y Comercialización'!K60*1000</f>
        <v>-2916.6121400000006</v>
      </c>
      <c r="H37" s="2645">
        <f>-'Costo logístico'!N21</f>
        <v>-8471.8531179830425</v>
      </c>
      <c r="I37" s="2645">
        <f>-'Costo logístico'!D40</f>
        <v>-5400</v>
      </c>
      <c r="J37" s="2645">
        <f>-'Costo MKT y Comercialización'!K78*1000</f>
        <v>-68017.512766431842</v>
      </c>
      <c r="K37" s="2645">
        <f>-B37*'Cuadro de Resultados'!$Y$35</f>
        <v>-32383.465642858504</v>
      </c>
      <c r="L37" s="2645">
        <f t="shared" si="0"/>
        <v>-201240.10792347786</v>
      </c>
      <c r="M37" s="2736">
        <f t="shared" si="1"/>
        <v>30404.433393325948</v>
      </c>
      <c r="N37" s="2736">
        <f t="shared" si="2"/>
        <v>-1463605.9975495157</v>
      </c>
      <c r="O37" s="2741">
        <f>O36+M37/'Tipo de cambio'!$D$9</f>
        <v>35549.887915784806</v>
      </c>
      <c r="P37" s="2741">
        <f>O37/((1+'Análisis financiero'!$C$81/12*Z37)^AA37)</f>
        <v>25691.932216035006</v>
      </c>
      <c r="Q37" s="2741"/>
      <c r="Z37">
        <v>10</v>
      </c>
      <c r="AA37">
        <v>3</v>
      </c>
    </row>
    <row r="38" spans="1:27">
      <c r="A38" s="2735">
        <v>43405</v>
      </c>
      <c r="B38" s="2645">
        <f>'Mercado potencial'!G81*1000</f>
        <v>796042.5515684844</v>
      </c>
      <c r="C38" s="2645">
        <v>0</v>
      </c>
      <c r="D38" s="2645">
        <f t="shared" si="4"/>
        <v>-34900</v>
      </c>
      <c r="E38" s="2645">
        <f>-'Personal '!$F$39</f>
        <v>-103000</v>
      </c>
      <c r="F38" s="2645">
        <f>-B39*(1-'Costeo Productos'!$B$46)</f>
        <v>-293232.21674229746</v>
      </c>
      <c r="G38" s="2645">
        <f>-'Costo MKT y Comercialización'!K61*1000</f>
        <v>-3007.2840200000005</v>
      </c>
      <c r="H38" s="2645">
        <f>-'Costo logístico'!N22</f>
        <v>-8580.9354262109009</v>
      </c>
      <c r="I38" s="2645">
        <f>-'Costo logístico'!D41</f>
        <v>-5400</v>
      </c>
      <c r="J38" s="2645">
        <v>0</v>
      </c>
      <c r="K38" s="2645">
        <f>-B38*'Cuadro de Resultados'!$Y$35</f>
        <v>-33433.78716587634</v>
      </c>
      <c r="L38" s="2645">
        <f t="shared" si="0"/>
        <v>-207767.10595937443</v>
      </c>
      <c r="M38" s="2736">
        <f t="shared" si="1"/>
        <v>106721.2222547252</v>
      </c>
      <c r="N38" s="2736">
        <f t="shared" si="2"/>
        <v>-1356884.7752947905</v>
      </c>
      <c r="O38" s="2741">
        <f>O37+M38/'Tipo de cambio'!$D$9</f>
        <v>47541.036483731456</v>
      </c>
      <c r="P38" s="2741">
        <f>O38/((1+'Análisis financiero'!$C$81/12*Z38)^AA38)</f>
        <v>33321.744773391285</v>
      </c>
      <c r="Q38" s="2741"/>
      <c r="Z38">
        <v>11</v>
      </c>
      <c r="AA38">
        <v>3</v>
      </c>
    </row>
    <row r="39" spans="1:27">
      <c r="A39" s="2735">
        <v>43435</v>
      </c>
      <c r="B39" s="2645">
        <f>'Mercado potencial'!G82*1000</f>
        <v>821050.20687843277</v>
      </c>
      <c r="C39" s="2645">
        <v>0</v>
      </c>
      <c r="D39" s="2645">
        <f t="shared" si="4"/>
        <v>-34900</v>
      </c>
      <c r="E39" s="2645">
        <f>-'Personal '!$F$39</f>
        <v>-103000</v>
      </c>
      <c r="F39" s="2645">
        <f>-B41*(1-'Costeo Productos'!$B$46)</f>
        <v>-302163.52221013617</v>
      </c>
      <c r="G39" s="2645">
        <f>-'Costo MKT y Comercialización'!K62*1000</f>
        <v>-3097.9559000000004</v>
      </c>
      <c r="H39" s="2645">
        <f>-'Costo logístico'!N23</f>
        <v>-8630.9354262109009</v>
      </c>
      <c r="I39" s="2645">
        <f>-'Costo logístico'!D42</f>
        <v>-5400</v>
      </c>
      <c r="J39" s="2645">
        <v>0</v>
      </c>
      <c r="K39" s="2645">
        <f>-B39*'Cuadro de Resultados'!$Y$35</f>
        <v>-34484.108688894172</v>
      </c>
      <c r="L39" s="2645">
        <f t="shared" si="0"/>
        <v>-214294.10399527094</v>
      </c>
      <c r="M39" s="2736">
        <f t="shared" si="1"/>
        <v>115079.58065792054</v>
      </c>
      <c r="N39" s="2736">
        <f t="shared" si="2"/>
        <v>-1241805.1946368699</v>
      </c>
      <c r="O39" s="2741">
        <f>O38+M39/'Tipo de cambio'!$D$9</f>
        <v>60471.326445295563</v>
      </c>
      <c r="P39" s="2741">
        <f>O39/((1+'Análisis financiero'!$C$81/12*Z39)^AA39)</f>
        <v>41119.092835304407</v>
      </c>
      <c r="Q39" s="2741"/>
      <c r="Z39">
        <v>12</v>
      </c>
      <c r="AA39">
        <v>3</v>
      </c>
    </row>
    <row r="40" spans="1:27">
      <c r="A40" s="2738" t="s">
        <v>1694</v>
      </c>
      <c r="B40" s="2739">
        <f>SUM(B28:B39)</f>
        <v>8202097.2320845984</v>
      </c>
      <c r="C40" s="2739">
        <f t="shared" ref="C40" si="18">SUM(C28:C39)</f>
        <v>0</v>
      </c>
      <c r="D40" s="2739">
        <f t="shared" ref="D40" si="19">SUM(D28:D39)</f>
        <v>-418800</v>
      </c>
      <c r="E40" s="2739">
        <f t="shared" ref="E40" si="20">SUM(E28:E39)</f>
        <v>-1236000</v>
      </c>
      <c r="F40" s="2739">
        <f t="shared" ref="F40" si="21">SUM(F28:F39)</f>
        <v>-3036496.1056442787</v>
      </c>
      <c r="G40" s="2739">
        <f t="shared" ref="G40" si="22">SUM(G28:G39)</f>
        <v>-31138.234790000006</v>
      </c>
      <c r="H40" s="2739">
        <f t="shared" ref="H40" si="23">SUM(H28:H39)</f>
        <v>-90312.994291745097</v>
      </c>
      <c r="I40" s="2739">
        <f t="shared" ref="I40" si="24">SUM(I28:I39)</f>
        <v>-64800</v>
      </c>
      <c r="J40" s="2739">
        <f t="shared" ref="J40" si="25">SUM(J28:J39)</f>
        <v>-340087.56383215915</v>
      </c>
      <c r="K40" s="2739">
        <f t="shared" ref="K40" si="26">SUM(K28:K39)</f>
        <v>-344488.08374755312</v>
      </c>
      <c r="L40" s="2739">
        <f t="shared" ref="L40" si="27">SUM(L28:L39)</f>
        <v>-2140747.3775740801</v>
      </c>
      <c r="M40" s="2739">
        <f t="shared" ref="M40" si="28">SUM(M28:M39)</f>
        <v>499226.87220478198</v>
      </c>
      <c r="N40" s="2740"/>
    </row>
    <row r="41" spans="1:27">
      <c r="A41" s="2735">
        <v>43466</v>
      </c>
      <c r="B41" s="2645">
        <f>'Mercado potencial'!G83*1000</f>
        <v>846057.86218838114</v>
      </c>
      <c r="C41" s="2645">
        <v>0</v>
      </c>
      <c r="D41" s="2645">
        <f>D39</f>
        <v>-34900</v>
      </c>
      <c r="E41" s="2645">
        <f>-'Personal '!$F$39</f>
        <v>-103000</v>
      </c>
      <c r="F41" s="2645">
        <f>-B42*(1-'Costeo Productos'!$B$46)</f>
        <v>-302163.52221013617</v>
      </c>
      <c r="G41" s="2736">
        <f>G39</f>
        <v>-3097.9559000000004</v>
      </c>
      <c r="H41" s="2736">
        <f>H39</f>
        <v>-8630.9354262109009</v>
      </c>
      <c r="I41" s="2736">
        <f>I39</f>
        <v>-5400</v>
      </c>
      <c r="J41" s="2736">
        <f>SUM($B$41:$B$52)*4%*20%</f>
        <v>81221.554770084593</v>
      </c>
      <c r="K41" s="2645">
        <f>-B41*'Cuadro de Resultados'!$Y$35</f>
        <v>-35534.430211912004</v>
      </c>
      <c r="L41" s="2645">
        <f t="shared" si="0"/>
        <v>-220821.10203116745</v>
      </c>
      <c r="M41" s="2736">
        <f t="shared" si="1"/>
        <v>213731.47117903913</v>
      </c>
      <c r="N41" s="2736">
        <f>N39+M41</f>
        <v>-1028073.7234578308</v>
      </c>
      <c r="O41" s="2741">
        <f>O39+M41/'Tipo de cambio'!$D$9</f>
        <v>84486.098487884228</v>
      </c>
      <c r="P41" s="2741">
        <f>O41/((1+'Análisis financiero'!$C$81/12*Z41)^AA41)</f>
        <v>80730.339373377923</v>
      </c>
      <c r="Q41" s="2741"/>
      <c r="Z41">
        <v>1</v>
      </c>
      <c r="AA41">
        <v>4</v>
      </c>
    </row>
    <row r="42" spans="1:27">
      <c r="A42" s="2735">
        <v>43497</v>
      </c>
      <c r="B42" s="2736">
        <f>B41</f>
        <v>846057.86218838114</v>
      </c>
      <c r="C42" s="2645">
        <v>0</v>
      </c>
      <c r="D42" s="2645">
        <f t="shared" si="4"/>
        <v>-34900</v>
      </c>
      <c r="E42" s="2645">
        <f>-'Personal '!$F$39</f>
        <v>-103000</v>
      </c>
      <c r="F42" s="2645">
        <f>-B43*(1-'Costeo Productos'!$B$46)</f>
        <v>-302163.52221013617</v>
      </c>
      <c r="G42" s="2736">
        <f t="shared" ref="G42:G65" si="29">G41</f>
        <v>-3097.9559000000004</v>
      </c>
      <c r="H42" s="2736">
        <f t="shared" ref="H42:H65" si="30">H41</f>
        <v>-8630.9354262109009</v>
      </c>
      <c r="I42" s="2736">
        <f t="shared" ref="I42:I65" si="31">I41</f>
        <v>-5400</v>
      </c>
      <c r="J42" s="2645">
        <v>0</v>
      </c>
      <c r="K42" s="2645">
        <f>-B42*'Cuadro de Resultados'!$Y$35</f>
        <v>-35534.430211912004</v>
      </c>
      <c r="L42" s="2645">
        <f t="shared" si="0"/>
        <v>-220821.10203116745</v>
      </c>
      <c r="M42" s="2736">
        <f t="shared" si="1"/>
        <v>132509.91640895457</v>
      </c>
      <c r="N42" s="2736">
        <f t="shared" si="2"/>
        <v>-895563.8070488763</v>
      </c>
      <c r="O42" s="2741">
        <f>O41+M42/'Tipo de cambio'!$D$9</f>
        <v>99374.853140575753</v>
      </c>
      <c r="P42" s="2741">
        <f>O42/((1+'Análisis financiero'!$C$81/12*Z42)^AA42)</f>
        <v>90782.372450455179</v>
      </c>
      <c r="Q42" s="2741"/>
      <c r="Z42">
        <v>2</v>
      </c>
      <c r="AA42">
        <v>4</v>
      </c>
    </row>
    <row r="43" spans="1:27">
      <c r="A43" s="2735">
        <v>43525</v>
      </c>
      <c r="B43" s="2736">
        <f t="shared" ref="B43:B65" si="32">B42</f>
        <v>846057.86218838114</v>
      </c>
      <c r="C43" s="2645">
        <v>0</v>
      </c>
      <c r="D43" s="2645">
        <f t="shared" si="4"/>
        <v>-34900</v>
      </c>
      <c r="E43" s="2645">
        <f>-'Personal '!$F$39</f>
        <v>-103000</v>
      </c>
      <c r="F43" s="2645">
        <f>-B44*(1-'Costeo Productos'!$B$46)</f>
        <v>-302163.52221013617</v>
      </c>
      <c r="G43" s="2736">
        <f t="shared" si="29"/>
        <v>-3097.9559000000004</v>
      </c>
      <c r="H43" s="2736">
        <f t="shared" si="30"/>
        <v>-8630.9354262109009</v>
      </c>
      <c r="I43" s="2736">
        <f t="shared" si="31"/>
        <v>-5400</v>
      </c>
      <c r="J43" s="2645">
        <v>0</v>
      </c>
      <c r="K43" s="2645">
        <f>-B43*'Cuadro de Resultados'!$Y$35</f>
        <v>-35534.430211912004</v>
      </c>
      <c r="L43" s="2645">
        <f t="shared" si="0"/>
        <v>-220821.10203116745</v>
      </c>
      <c r="M43" s="2736">
        <f t="shared" si="1"/>
        <v>132509.91640895457</v>
      </c>
      <c r="N43" s="2736">
        <f t="shared" si="2"/>
        <v>-763053.89063992177</v>
      </c>
      <c r="O43" s="2741">
        <f>O42+M43/'Tipo de cambio'!$D$9</f>
        <v>114263.60779326728</v>
      </c>
      <c r="P43" s="2741">
        <f>O43/((1+'Análisis financiero'!$C$81/12*Z43)^AA43)</f>
        <v>99844.354438592462</v>
      </c>
      <c r="Q43" s="2741"/>
      <c r="Z43">
        <v>3</v>
      </c>
      <c r="AA43">
        <v>4</v>
      </c>
    </row>
    <row r="44" spans="1:27">
      <c r="A44" s="2735">
        <v>43556</v>
      </c>
      <c r="B44" s="2736">
        <f t="shared" si="32"/>
        <v>846057.86218838114</v>
      </c>
      <c r="C44" s="2645">
        <v>0</v>
      </c>
      <c r="D44" s="2645">
        <f t="shared" si="4"/>
        <v>-34900</v>
      </c>
      <c r="E44" s="2645">
        <f>-'Personal '!$F$39</f>
        <v>-103000</v>
      </c>
      <c r="F44" s="2645">
        <f>-B45*(1-'Costeo Productos'!$B$46)</f>
        <v>-302163.52221013617</v>
      </c>
      <c r="G44" s="2736">
        <f t="shared" si="29"/>
        <v>-3097.9559000000004</v>
      </c>
      <c r="H44" s="2736">
        <f t="shared" si="30"/>
        <v>-8630.9354262109009</v>
      </c>
      <c r="I44" s="2736">
        <f t="shared" si="31"/>
        <v>-5400</v>
      </c>
      <c r="J44" s="2736">
        <f>SUM($B$41:$B$52)*4%*30%</f>
        <v>121832.33215512687</v>
      </c>
      <c r="K44" s="2645">
        <f>-B44*'Cuadro de Resultados'!$Y$35</f>
        <v>-35534.430211912004</v>
      </c>
      <c r="L44" s="2645">
        <f t="shared" si="0"/>
        <v>-220821.10203116745</v>
      </c>
      <c r="M44" s="2736">
        <f t="shared" si="1"/>
        <v>254342.24856408141</v>
      </c>
      <c r="N44" s="2736">
        <f t="shared" si="2"/>
        <v>-508711.64207584038</v>
      </c>
      <c r="O44" s="2741">
        <f>O43+M44/'Tipo de cambio'!$D$9</f>
        <v>142841.38853080451</v>
      </c>
      <c r="P44" s="2741">
        <f>O44/((1+'Análisis financiero'!$C$81/12*Z44)^AA44)</f>
        <v>119446.2368024106</v>
      </c>
      <c r="Q44" s="2741"/>
      <c r="Z44">
        <v>4</v>
      </c>
      <c r="AA44">
        <v>4</v>
      </c>
    </row>
    <row r="45" spans="1:27">
      <c r="A45" s="2735">
        <v>43586</v>
      </c>
      <c r="B45" s="2736">
        <f t="shared" si="32"/>
        <v>846057.86218838114</v>
      </c>
      <c r="C45" s="2645">
        <v>0</v>
      </c>
      <c r="D45" s="2645">
        <f t="shared" si="4"/>
        <v>-34900</v>
      </c>
      <c r="E45" s="2645">
        <f>-'Personal '!$F$39</f>
        <v>-103000</v>
      </c>
      <c r="F45" s="2645">
        <f>-B46*(1-'Costeo Productos'!$B$46)</f>
        <v>-302163.52221013617</v>
      </c>
      <c r="G45" s="2736">
        <f t="shared" si="29"/>
        <v>-3097.9559000000004</v>
      </c>
      <c r="H45" s="2736">
        <f t="shared" si="30"/>
        <v>-8630.9354262109009</v>
      </c>
      <c r="I45" s="2736">
        <f t="shared" si="31"/>
        <v>-5400</v>
      </c>
      <c r="J45" s="2645">
        <v>0</v>
      </c>
      <c r="K45" s="2645">
        <f>-B45*'Cuadro de Resultados'!$Y$35</f>
        <v>-35534.430211912004</v>
      </c>
      <c r="L45" s="2645">
        <f t="shared" si="0"/>
        <v>-220821.10203116745</v>
      </c>
      <c r="M45" s="2736">
        <f t="shared" si="1"/>
        <v>132509.91640895457</v>
      </c>
      <c r="N45" s="2736">
        <f t="shared" si="2"/>
        <v>-376201.72566688585</v>
      </c>
      <c r="O45" s="2741">
        <f>O44+M45/'Tipo de cambio'!$D$9</f>
        <v>157730.14318349602</v>
      </c>
      <c r="P45" s="2741">
        <f>O45/((1+'Análisis financiero'!$C$81/12*Z45)^AA45)</f>
        <v>126282.62249150775</v>
      </c>
      <c r="Q45" s="2741"/>
      <c r="Z45">
        <v>5</v>
      </c>
      <c r="AA45">
        <v>4</v>
      </c>
    </row>
    <row r="46" spans="1:27">
      <c r="A46" s="2735">
        <v>43617</v>
      </c>
      <c r="B46" s="2736">
        <f t="shared" si="32"/>
        <v>846057.86218838114</v>
      </c>
      <c r="C46" s="2645">
        <v>0</v>
      </c>
      <c r="D46" s="2645">
        <f t="shared" si="4"/>
        <v>-34900</v>
      </c>
      <c r="E46" s="2645">
        <f>-'Personal '!$F$39</f>
        <v>-103000</v>
      </c>
      <c r="F46" s="2645">
        <f>-B47*(1-'Costeo Productos'!$B$46)</f>
        <v>-302163.52221013617</v>
      </c>
      <c r="G46" s="2736">
        <f t="shared" si="29"/>
        <v>-3097.9559000000004</v>
      </c>
      <c r="H46" s="2736">
        <f t="shared" si="30"/>
        <v>-8630.9354262109009</v>
      </c>
      <c r="I46" s="2736">
        <f t="shared" si="31"/>
        <v>-5400</v>
      </c>
      <c r="J46" s="2645">
        <v>0</v>
      </c>
      <c r="K46" s="2645">
        <f>-B46*'Cuadro de Resultados'!$Y$35</f>
        <v>-35534.430211912004</v>
      </c>
      <c r="L46" s="2645">
        <f t="shared" si="0"/>
        <v>-220821.10203116745</v>
      </c>
      <c r="M46" s="2736">
        <f t="shared" si="1"/>
        <v>132509.91640895457</v>
      </c>
      <c r="N46" s="2736">
        <f t="shared" si="2"/>
        <v>-243691.80925793128</v>
      </c>
      <c r="O46" s="2741">
        <f>O45+M46/'Tipo de cambio'!$D$9</f>
        <v>172618.89783618753</v>
      </c>
      <c r="P46" s="2741">
        <f>O46/((1+'Análisis financiero'!$C$81/12*Z46)^AA46)</f>
        <v>132382.60148296488</v>
      </c>
      <c r="Q46" s="2741"/>
      <c r="Z46">
        <v>6</v>
      </c>
      <c r="AA46">
        <v>4</v>
      </c>
    </row>
    <row r="47" spans="1:27">
      <c r="A47" s="2735">
        <v>43647</v>
      </c>
      <c r="B47" s="2736">
        <f t="shared" si="32"/>
        <v>846057.86218838114</v>
      </c>
      <c r="C47" s="2645">
        <v>0</v>
      </c>
      <c r="D47" s="2645">
        <f t="shared" si="4"/>
        <v>-34900</v>
      </c>
      <c r="E47" s="2645">
        <f>-'Personal '!$F$39</f>
        <v>-103000</v>
      </c>
      <c r="F47" s="2645">
        <f>-B48*(1-'Costeo Productos'!$B$46)</f>
        <v>-302163.52221013617</v>
      </c>
      <c r="G47" s="2736">
        <f t="shared" si="29"/>
        <v>-3097.9559000000004</v>
      </c>
      <c r="H47" s="2736">
        <f t="shared" si="30"/>
        <v>-8630.9354262109009</v>
      </c>
      <c r="I47" s="2736">
        <f t="shared" si="31"/>
        <v>-5400</v>
      </c>
      <c r="J47" s="2736">
        <f>SUM($B$41:$B$52)*4%*30%</f>
        <v>121832.33215512687</v>
      </c>
      <c r="K47" s="2645">
        <f>-B47*'Cuadro de Resultados'!$Y$35</f>
        <v>-35534.430211912004</v>
      </c>
      <c r="L47" s="2645">
        <f t="shared" si="0"/>
        <v>-220821.10203116745</v>
      </c>
      <c r="M47" s="2736">
        <f t="shared" si="1"/>
        <v>254342.24856408141</v>
      </c>
      <c r="N47" s="2736">
        <f t="shared" si="2"/>
        <v>10650.439306150132</v>
      </c>
      <c r="O47" s="2741">
        <f>O46+M47/'Tipo de cambio'!$D$9</f>
        <v>201196.67857372476</v>
      </c>
      <c r="P47" s="2741">
        <f>O47/((1+'Análisis financiero'!$C$81/12*Z47)^AA47)</f>
        <v>147868.58679978008</v>
      </c>
      <c r="Q47" s="2741"/>
      <c r="Z47">
        <v>7</v>
      </c>
      <c r="AA47">
        <v>4</v>
      </c>
    </row>
    <row r="48" spans="1:27">
      <c r="A48" s="2735">
        <v>43678</v>
      </c>
      <c r="B48" s="2736">
        <f t="shared" si="32"/>
        <v>846057.86218838114</v>
      </c>
      <c r="C48" s="2645">
        <v>0</v>
      </c>
      <c r="D48" s="2645">
        <f t="shared" si="4"/>
        <v>-34900</v>
      </c>
      <c r="E48" s="2645">
        <f>-'Personal '!$F$39</f>
        <v>-103000</v>
      </c>
      <c r="F48" s="2645">
        <f>-B49*(1-'Costeo Productos'!$B$46)</f>
        <v>-302163.52221013617</v>
      </c>
      <c r="G48" s="2736">
        <f t="shared" si="29"/>
        <v>-3097.9559000000004</v>
      </c>
      <c r="H48" s="2736">
        <f t="shared" si="30"/>
        <v>-8630.9354262109009</v>
      </c>
      <c r="I48" s="2736">
        <f t="shared" si="31"/>
        <v>-5400</v>
      </c>
      <c r="J48" s="2645">
        <v>0</v>
      </c>
      <c r="K48" s="2645">
        <f>-B48*'Cuadro de Resultados'!$Y$35</f>
        <v>-35534.430211912004</v>
      </c>
      <c r="L48" s="2645">
        <f t="shared" si="0"/>
        <v>-220821.10203116745</v>
      </c>
      <c r="M48" s="2736">
        <f t="shared" si="1"/>
        <v>132509.91640895457</v>
      </c>
      <c r="N48" s="2736">
        <f t="shared" si="2"/>
        <v>143160.3557151047</v>
      </c>
      <c r="O48" s="2741">
        <f>O47+M48/'Tipo de cambio'!$D$9</f>
        <v>216085.43322641627</v>
      </c>
      <c r="P48" s="2741">
        <f>O48/((1+'Análisis financiero'!$C$81/12*Z48)^AA48)</f>
        <v>152260.70199426936</v>
      </c>
      <c r="Q48" s="2741"/>
      <c r="Z48">
        <v>8</v>
      </c>
      <c r="AA48">
        <v>4</v>
      </c>
    </row>
    <row r="49" spans="1:27">
      <c r="A49" s="2735">
        <v>43709</v>
      </c>
      <c r="B49" s="2736">
        <f t="shared" si="32"/>
        <v>846057.86218838114</v>
      </c>
      <c r="C49" s="2645">
        <v>0</v>
      </c>
      <c r="D49" s="2645">
        <f t="shared" si="4"/>
        <v>-34900</v>
      </c>
      <c r="E49" s="2645">
        <f>-'Personal '!$F$39</f>
        <v>-103000</v>
      </c>
      <c r="F49" s="2645">
        <f>-B50*(1-'Costeo Productos'!$B$46)</f>
        <v>-302163.52221013617</v>
      </c>
      <c r="G49" s="2736">
        <f t="shared" si="29"/>
        <v>-3097.9559000000004</v>
      </c>
      <c r="H49" s="2736">
        <f t="shared" si="30"/>
        <v>-8630.9354262109009</v>
      </c>
      <c r="I49" s="2736">
        <f t="shared" si="31"/>
        <v>-5400</v>
      </c>
      <c r="J49" s="2645">
        <v>0</v>
      </c>
      <c r="K49" s="2645">
        <f>-B49*'Cuadro de Resultados'!$Y$35</f>
        <v>-35534.430211912004</v>
      </c>
      <c r="L49" s="2645">
        <f t="shared" si="0"/>
        <v>-220821.10203116745</v>
      </c>
      <c r="M49" s="2736">
        <f t="shared" si="1"/>
        <v>132509.91640895457</v>
      </c>
      <c r="N49" s="2736">
        <f t="shared" si="2"/>
        <v>275670.27212405927</v>
      </c>
      <c r="O49" s="2773">
        <f>O48+M49/'Tipo de cambio'!$D$9-(U5+U7)</f>
        <v>3534.9878791077645</v>
      </c>
      <c r="P49" s="2773">
        <f>O49/((1+'Análisis financiero'!$C$81/12*Z49)^AA49)</f>
        <v>2389.1758016932072</v>
      </c>
      <c r="Q49" s="2741"/>
      <c r="Z49">
        <v>9</v>
      </c>
      <c r="AA49">
        <v>4</v>
      </c>
    </row>
    <row r="50" spans="1:27">
      <c r="A50" s="2735">
        <v>43739</v>
      </c>
      <c r="B50" s="2736">
        <f t="shared" si="32"/>
        <v>846057.86218838114</v>
      </c>
      <c r="C50" s="2645">
        <v>0</v>
      </c>
      <c r="D50" s="2645">
        <f t="shared" si="4"/>
        <v>-34900</v>
      </c>
      <c r="E50" s="2645">
        <f>-'Personal '!$F$39</f>
        <v>-103000</v>
      </c>
      <c r="F50" s="2645">
        <f>-B51*(1-'Costeo Productos'!$B$46)</f>
        <v>-302163.52221013617</v>
      </c>
      <c r="G50" s="2736">
        <f t="shared" si="29"/>
        <v>-3097.9559000000004</v>
      </c>
      <c r="H50" s="2736">
        <f t="shared" si="30"/>
        <v>-8630.9354262109009</v>
      </c>
      <c r="I50" s="2736">
        <f t="shared" si="31"/>
        <v>-5400</v>
      </c>
      <c r="J50" s="2736">
        <f>SUM($B$41:$B$52)*4%*20%</f>
        <v>81221.554770084593</v>
      </c>
      <c r="K50" s="2645">
        <f>-B50*'Cuadro de Resultados'!$Y$35</f>
        <v>-35534.430211912004</v>
      </c>
      <c r="L50" s="2645">
        <f t="shared" si="0"/>
        <v>-220821.10203116745</v>
      </c>
      <c r="M50" s="2736">
        <f t="shared" si="1"/>
        <v>213731.47117903913</v>
      </c>
      <c r="N50" s="2736">
        <f t="shared" si="2"/>
        <v>489401.74330309837</v>
      </c>
      <c r="O50" s="2741">
        <f>O49+M50/'Tipo de cambio'!$D$9</f>
        <v>27549.75992169643</v>
      </c>
      <c r="P50" s="2741">
        <f>O50/((1+'Análisis financiero'!$C$81/12*Z50)^AA50)</f>
        <v>17867.448030880954</v>
      </c>
      <c r="Q50" s="2741"/>
      <c r="Z50">
        <v>10</v>
      </c>
      <c r="AA50">
        <v>4</v>
      </c>
    </row>
    <row r="51" spans="1:27">
      <c r="A51" s="2735">
        <v>43770</v>
      </c>
      <c r="B51" s="2736">
        <f t="shared" si="32"/>
        <v>846057.86218838114</v>
      </c>
      <c r="C51" s="2645">
        <v>0</v>
      </c>
      <c r="D51" s="2645">
        <f t="shared" si="4"/>
        <v>-34900</v>
      </c>
      <c r="E51" s="2645">
        <f>-'Personal '!$F$39</f>
        <v>-103000</v>
      </c>
      <c r="F51" s="2645">
        <f>-B52*(1-'Costeo Productos'!$B$46)</f>
        <v>-302163.52221013617</v>
      </c>
      <c r="G51" s="2736">
        <f t="shared" si="29"/>
        <v>-3097.9559000000004</v>
      </c>
      <c r="H51" s="2736">
        <f t="shared" si="30"/>
        <v>-8630.9354262109009</v>
      </c>
      <c r="I51" s="2736">
        <f t="shared" si="31"/>
        <v>-5400</v>
      </c>
      <c r="J51" s="2645">
        <v>0</v>
      </c>
      <c r="K51" s="2645">
        <f>-B51*'Cuadro de Resultados'!$Y$35</f>
        <v>-35534.430211912004</v>
      </c>
      <c r="L51" s="2645">
        <f t="shared" si="0"/>
        <v>-220821.10203116745</v>
      </c>
      <c r="M51" s="2736">
        <f t="shared" si="1"/>
        <v>132509.91640895457</v>
      </c>
      <c r="N51" s="2736">
        <f t="shared" si="2"/>
        <v>621911.6597120529</v>
      </c>
      <c r="O51" s="2741">
        <f>O50+M51/'Tipo de cambio'!$D$9</f>
        <v>42438.514574387955</v>
      </c>
      <c r="P51" s="2741">
        <f>O51/((1+'Análisis financiero'!$C$81/12*Z51)^AA51)</f>
        <v>26422.401726158994</v>
      </c>
      <c r="Q51" s="2741"/>
      <c r="Z51">
        <v>11</v>
      </c>
      <c r="AA51">
        <v>4</v>
      </c>
    </row>
    <row r="52" spans="1:27">
      <c r="A52" s="2735">
        <v>43800</v>
      </c>
      <c r="B52" s="2736">
        <f t="shared" si="32"/>
        <v>846057.86218838114</v>
      </c>
      <c r="C52" s="2645">
        <v>0</v>
      </c>
      <c r="D52" s="2645">
        <f t="shared" si="4"/>
        <v>-34900</v>
      </c>
      <c r="E52" s="2645">
        <f>-'Personal '!$F$39</f>
        <v>-103000</v>
      </c>
      <c r="F52" s="2645">
        <f>-B54*(1-'Costeo Productos'!$B$46)</f>
        <v>-302163.52221013617</v>
      </c>
      <c r="G52" s="2736">
        <f t="shared" si="29"/>
        <v>-3097.9559000000004</v>
      </c>
      <c r="H52" s="2736">
        <f t="shared" si="30"/>
        <v>-8630.9354262109009</v>
      </c>
      <c r="I52" s="2736">
        <f t="shared" si="31"/>
        <v>-5400</v>
      </c>
      <c r="J52" s="2645">
        <v>0</v>
      </c>
      <c r="K52" s="2645">
        <f>-B52*'Cuadro de Resultados'!$Y$35</f>
        <v>-35534.430211912004</v>
      </c>
      <c r="L52" s="2645">
        <f t="shared" si="0"/>
        <v>-220821.10203116745</v>
      </c>
      <c r="M52" s="2736">
        <f t="shared" si="1"/>
        <v>132509.91640895457</v>
      </c>
      <c r="N52" s="2736">
        <f t="shared" si="2"/>
        <v>754421.57612100744</v>
      </c>
      <c r="O52" s="2741">
        <f>O51+M52/'Tipo de cambio'!$D$9</f>
        <v>57327.26922707948</v>
      </c>
      <c r="P52" s="2741">
        <f>O52/((1+'Análisis financiero'!$C$81/12*Z52)^AA52)</f>
        <v>34278.354120186959</v>
      </c>
      <c r="Q52" s="2741"/>
      <c r="Z52">
        <v>12</v>
      </c>
      <c r="AA52">
        <v>4</v>
      </c>
    </row>
    <row r="53" spans="1:27">
      <c r="A53" s="2738" t="s">
        <v>1695</v>
      </c>
      <c r="B53" s="2739">
        <f>SUM(B41:B52)</f>
        <v>10152694.346260574</v>
      </c>
      <c r="C53" s="2739">
        <f t="shared" ref="C53" si="33">SUM(C41:C52)</f>
        <v>0</v>
      </c>
      <c r="D53" s="2739">
        <f t="shared" ref="D53" si="34">SUM(D41:D52)</f>
        <v>-418800</v>
      </c>
      <c r="E53" s="2739">
        <f t="shared" ref="E53" si="35">SUM(E41:E52)</f>
        <v>-1236000</v>
      </c>
      <c r="F53" s="2739">
        <f t="shared" ref="F53" si="36">SUM(F41:F52)</f>
        <v>-3625962.2665216331</v>
      </c>
      <c r="G53" s="2739">
        <f t="shared" ref="G53" si="37">SUM(G41:G52)</f>
        <v>-37175.470800000003</v>
      </c>
      <c r="H53" s="2739">
        <f t="shared" ref="H53" si="38">SUM(H41:H52)</f>
        <v>-103571.22511453078</v>
      </c>
      <c r="I53" s="2739">
        <f t="shared" ref="I53" si="39">SUM(I41:I52)</f>
        <v>-64800</v>
      </c>
      <c r="J53" s="2739">
        <f t="shared" ref="J53" si="40">SUM(J41:J52)</f>
        <v>406107.77385042293</v>
      </c>
      <c r="K53" s="2739">
        <f t="shared" ref="K53" si="41">SUM(K41:K52)</f>
        <v>-426413.16254294413</v>
      </c>
      <c r="L53" s="2739">
        <f t="shared" ref="L53" si="42">SUM(L41:L52)</f>
        <v>-2649853.2243740093</v>
      </c>
      <c r="M53" s="2739">
        <f t="shared" ref="M53" si="43">SUM(M41:M52)</f>
        <v>1996226.770757878</v>
      </c>
      <c r="N53" s="2740"/>
    </row>
    <row r="54" spans="1:27">
      <c r="A54" s="2735">
        <v>43831</v>
      </c>
      <c r="B54" s="2736">
        <f>B52</f>
        <v>846057.86218838114</v>
      </c>
      <c r="C54" s="2645">
        <v>0</v>
      </c>
      <c r="D54" s="2645">
        <f>D52</f>
        <v>-34900</v>
      </c>
      <c r="E54" s="2645">
        <f>-'Personal '!$F$39</f>
        <v>-103000</v>
      </c>
      <c r="F54" s="2645">
        <f>-B55*(1-'Costeo Productos'!$B$46)</f>
        <v>-302163.52221013617</v>
      </c>
      <c r="G54" s="2736">
        <f>G52</f>
        <v>-3097.9559000000004</v>
      </c>
      <c r="H54" s="2736">
        <f>H52</f>
        <v>-8630.9354262109009</v>
      </c>
      <c r="I54" s="2736">
        <f>I52</f>
        <v>-5400</v>
      </c>
      <c r="J54" s="2736">
        <f>SUM($B$41:$B$52)*4%*20%</f>
        <v>81221.554770084593</v>
      </c>
      <c r="K54" s="2645">
        <f>-B54*'Cuadro de Resultados'!$Y$35</f>
        <v>-35534.430211912004</v>
      </c>
      <c r="L54" s="2645">
        <f t="shared" si="0"/>
        <v>-220821.10203116745</v>
      </c>
      <c r="M54" s="2736">
        <f t="shared" si="1"/>
        <v>213731.47117903913</v>
      </c>
      <c r="N54" s="2736">
        <f>N52+M54</f>
        <v>968153.04730004654</v>
      </c>
      <c r="O54" s="2741">
        <f>O52+M54/'Tipo de cambio'!$D$9</f>
        <v>81342.041269668145</v>
      </c>
      <c r="P54" s="2741">
        <f>O54/((1+'Análisis financiero'!$C$81/12*Z54)^AA54)</f>
        <v>76847.45168406688</v>
      </c>
      <c r="Z54">
        <v>1</v>
      </c>
      <c r="AA54">
        <v>5</v>
      </c>
    </row>
    <row r="55" spans="1:27">
      <c r="A55" s="2735">
        <v>43862</v>
      </c>
      <c r="B55" s="2736">
        <f t="shared" si="32"/>
        <v>846057.86218838114</v>
      </c>
      <c r="C55" s="2645">
        <v>0</v>
      </c>
      <c r="D55" s="2645">
        <f t="shared" si="4"/>
        <v>-34900</v>
      </c>
      <c r="E55" s="2645">
        <f>-'Personal '!$F$39</f>
        <v>-103000</v>
      </c>
      <c r="F55" s="2645">
        <f>-B56*(1-'Costeo Productos'!$B$46)</f>
        <v>-302163.52221013617</v>
      </c>
      <c r="G55" s="2736">
        <f t="shared" si="29"/>
        <v>-3097.9559000000004</v>
      </c>
      <c r="H55" s="2736">
        <f t="shared" si="30"/>
        <v>-8630.9354262109009</v>
      </c>
      <c r="I55" s="2736">
        <f t="shared" si="31"/>
        <v>-5400</v>
      </c>
      <c r="J55" s="2645">
        <v>0</v>
      </c>
      <c r="K55" s="2645">
        <f>-B55*'Cuadro de Resultados'!$Y$35</f>
        <v>-35534.430211912004</v>
      </c>
      <c r="L55" s="2645">
        <f t="shared" si="0"/>
        <v>-220821.10203116745</v>
      </c>
      <c r="M55" s="2736">
        <f t="shared" si="1"/>
        <v>132509.91640895457</v>
      </c>
      <c r="N55" s="2736">
        <f t="shared" si="2"/>
        <v>1100662.9637090012</v>
      </c>
      <c r="O55" s="2741">
        <f>O54+M55/'Tipo de cambio'!$D$9</f>
        <v>96230.79592235967</v>
      </c>
      <c r="P55" s="2741">
        <f>O55/((1+'Análisis financiero'!$C$81/12*Z55)^AA55)</f>
        <v>85944.949989282817</v>
      </c>
      <c r="Z55">
        <v>2</v>
      </c>
      <c r="AA55">
        <v>5</v>
      </c>
    </row>
    <row r="56" spans="1:27">
      <c r="A56" s="2735">
        <v>43891</v>
      </c>
      <c r="B56" s="2736">
        <f t="shared" si="32"/>
        <v>846057.86218838114</v>
      </c>
      <c r="C56" s="2645">
        <v>0</v>
      </c>
      <c r="D56" s="2645">
        <f t="shared" si="4"/>
        <v>-34900</v>
      </c>
      <c r="E56" s="2645">
        <f>-'Personal '!$F$39</f>
        <v>-103000</v>
      </c>
      <c r="F56" s="2645">
        <f>-B57*(1-'Costeo Productos'!$B$46)</f>
        <v>-302163.52221013617</v>
      </c>
      <c r="G56" s="2736">
        <f t="shared" si="29"/>
        <v>-3097.9559000000004</v>
      </c>
      <c r="H56" s="2736">
        <f t="shared" si="30"/>
        <v>-8630.9354262109009</v>
      </c>
      <c r="I56" s="2736">
        <f t="shared" si="31"/>
        <v>-5400</v>
      </c>
      <c r="J56" s="2645">
        <v>0</v>
      </c>
      <c r="K56" s="2645">
        <f>-B56*'Cuadro de Resultados'!$Y$35</f>
        <v>-35534.430211912004</v>
      </c>
      <c r="L56" s="2645">
        <f t="shared" si="0"/>
        <v>-220821.10203116745</v>
      </c>
      <c r="M56" s="2736">
        <f t="shared" si="1"/>
        <v>132509.91640895457</v>
      </c>
      <c r="N56" s="2736">
        <f t="shared" si="2"/>
        <v>1233172.8801179559</v>
      </c>
      <c r="O56" s="2741">
        <f>O55+M56/'Tipo de cambio'!$D$9</f>
        <v>111119.55057505119</v>
      </c>
      <c r="P56" s="2741">
        <f>O56/((1+'Análisis financiero'!$C$81/12*Z56)^AA56)</f>
        <v>93877.16206323613</v>
      </c>
      <c r="Z56">
        <v>3</v>
      </c>
      <c r="AA56">
        <v>5</v>
      </c>
    </row>
    <row r="57" spans="1:27">
      <c r="A57" s="2735">
        <v>43922</v>
      </c>
      <c r="B57" s="2736">
        <f t="shared" si="32"/>
        <v>846057.86218838114</v>
      </c>
      <c r="C57" s="2645">
        <v>0</v>
      </c>
      <c r="D57" s="2645">
        <f t="shared" si="4"/>
        <v>-34900</v>
      </c>
      <c r="E57" s="2645">
        <f>-'Personal '!$F$39</f>
        <v>-103000</v>
      </c>
      <c r="F57" s="2645">
        <f>-B58*(1-'Costeo Productos'!$B$46)</f>
        <v>-302163.52221013617</v>
      </c>
      <c r="G57" s="2736">
        <f t="shared" si="29"/>
        <v>-3097.9559000000004</v>
      </c>
      <c r="H57" s="2736">
        <f t="shared" si="30"/>
        <v>-8630.9354262109009</v>
      </c>
      <c r="I57" s="2736">
        <f t="shared" si="31"/>
        <v>-5400</v>
      </c>
      <c r="J57" s="2736">
        <f>SUM($B$41:$B$52)*4%*30%</f>
        <v>121832.33215512687</v>
      </c>
      <c r="K57" s="2645">
        <f>-B57*'Cuadro de Resultados'!$Y$35</f>
        <v>-35534.430211912004</v>
      </c>
      <c r="L57" s="2645">
        <f t="shared" si="0"/>
        <v>-220821.10203116745</v>
      </c>
      <c r="M57" s="2736">
        <f t="shared" si="1"/>
        <v>254342.24856408141</v>
      </c>
      <c r="N57" s="2736">
        <f t="shared" si="2"/>
        <v>1487515.1286820373</v>
      </c>
      <c r="O57" s="2741">
        <f>O56+M57/'Tipo de cambio'!$D$9</f>
        <v>139697.33131258842</v>
      </c>
      <c r="P57" s="2741">
        <f>O57/((1+'Análisis financiero'!$C$81/12*Z57)^AA57)</f>
        <v>111708.47429580313</v>
      </c>
      <c r="Z57">
        <v>4</v>
      </c>
      <c r="AA57">
        <v>5</v>
      </c>
    </row>
    <row r="58" spans="1:27">
      <c r="A58" s="2735">
        <v>43952</v>
      </c>
      <c r="B58" s="2736">
        <f t="shared" si="32"/>
        <v>846057.86218838114</v>
      </c>
      <c r="C58" s="2645">
        <v>0</v>
      </c>
      <c r="D58" s="2645">
        <f t="shared" si="4"/>
        <v>-34900</v>
      </c>
      <c r="E58" s="2645">
        <f>-'Personal '!$F$39</f>
        <v>-103000</v>
      </c>
      <c r="F58" s="2645">
        <f>-B59*(1-'Costeo Productos'!$B$46)</f>
        <v>-302163.52221013617</v>
      </c>
      <c r="G58" s="2736">
        <f t="shared" si="29"/>
        <v>-3097.9559000000004</v>
      </c>
      <c r="H58" s="2736">
        <f t="shared" si="30"/>
        <v>-8630.9354262109009</v>
      </c>
      <c r="I58" s="2736">
        <f t="shared" si="31"/>
        <v>-5400</v>
      </c>
      <c r="J58" s="2645">
        <v>0</v>
      </c>
      <c r="K58" s="2645">
        <f>-B58*'Cuadro de Resultados'!$Y$35</f>
        <v>-35534.430211912004</v>
      </c>
      <c r="L58" s="2645">
        <f t="shared" si="0"/>
        <v>-220821.10203116745</v>
      </c>
      <c r="M58" s="2736">
        <f t="shared" si="1"/>
        <v>132509.91640895457</v>
      </c>
      <c r="N58" s="2736">
        <f t="shared" si="2"/>
        <v>1620025.045090992</v>
      </c>
      <c r="O58" s="2741">
        <f>O57+M58/'Tipo de cambio'!$D$9</f>
        <v>154586.08596527993</v>
      </c>
      <c r="P58" s="2741">
        <f>O58/((1+'Análisis financiero'!$C$81/12*Z58)^AA58)</f>
        <v>117072.9386086013</v>
      </c>
      <c r="Z58">
        <v>5</v>
      </c>
      <c r="AA58">
        <v>5</v>
      </c>
    </row>
    <row r="59" spans="1:27">
      <c r="A59" s="2735">
        <v>43983</v>
      </c>
      <c r="B59" s="2736">
        <f t="shared" si="32"/>
        <v>846057.86218838114</v>
      </c>
      <c r="C59" s="2645">
        <v>0</v>
      </c>
      <c r="D59" s="2645">
        <f t="shared" si="4"/>
        <v>-34900</v>
      </c>
      <c r="E59" s="2645">
        <f>-'Personal '!$F$39</f>
        <v>-103000</v>
      </c>
      <c r="F59" s="2645">
        <f>-B60*(1-'Costeo Productos'!$B$46)</f>
        <v>-302163.52221013617</v>
      </c>
      <c r="G59" s="2736">
        <f t="shared" si="29"/>
        <v>-3097.9559000000004</v>
      </c>
      <c r="H59" s="2736">
        <f t="shared" si="30"/>
        <v>-8630.9354262109009</v>
      </c>
      <c r="I59" s="2736">
        <f t="shared" si="31"/>
        <v>-5400</v>
      </c>
      <c r="J59" s="2645">
        <v>0</v>
      </c>
      <c r="K59" s="2645">
        <f>-B59*'Cuadro de Resultados'!$Y$35</f>
        <v>-35534.430211912004</v>
      </c>
      <c r="L59" s="2645">
        <f t="shared" si="0"/>
        <v>-220821.10203116745</v>
      </c>
      <c r="M59" s="2736">
        <f t="shared" si="1"/>
        <v>132509.91640895457</v>
      </c>
      <c r="N59" s="2736">
        <f t="shared" si="2"/>
        <v>1752534.9614999467</v>
      </c>
      <c r="O59" s="2741">
        <f>O58+M59/'Tipo de cambio'!$D$9</f>
        <v>169474.84061797144</v>
      </c>
      <c r="P59" s="2741">
        <f>O59/((1+'Análisis financiero'!$C$81/12*Z59)^AA59)</f>
        <v>121627.96740699635</v>
      </c>
      <c r="Z59">
        <v>6</v>
      </c>
      <c r="AA59">
        <v>5</v>
      </c>
    </row>
    <row r="60" spans="1:27">
      <c r="A60" s="2735">
        <v>44013</v>
      </c>
      <c r="B60" s="2736">
        <f t="shared" si="32"/>
        <v>846057.86218838114</v>
      </c>
      <c r="C60" s="2645">
        <v>0</v>
      </c>
      <c r="D60" s="2645">
        <f t="shared" si="4"/>
        <v>-34900</v>
      </c>
      <c r="E60" s="2645">
        <f>-'Personal '!$F$39</f>
        <v>-103000</v>
      </c>
      <c r="F60" s="2645">
        <f>-B61*(1-'Costeo Productos'!$B$46)</f>
        <v>-302163.52221013617</v>
      </c>
      <c r="G60" s="2736">
        <f t="shared" si="29"/>
        <v>-3097.9559000000004</v>
      </c>
      <c r="H60" s="2736">
        <f t="shared" si="30"/>
        <v>-8630.9354262109009</v>
      </c>
      <c r="I60" s="2736">
        <f t="shared" si="31"/>
        <v>-5400</v>
      </c>
      <c r="J60" s="2736">
        <f>SUM($B$41:$B$52)*4%*30%</f>
        <v>121832.33215512687</v>
      </c>
      <c r="K60" s="2645">
        <f>-B60*'Cuadro de Resultados'!$Y$35</f>
        <v>-35534.430211912004</v>
      </c>
      <c r="L60" s="2645">
        <f t="shared" si="0"/>
        <v>-220821.10203116745</v>
      </c>
      <c r="M60" s="2736">
        <f t="shared" si="1"/>
        <v>254342.24856408141</v>
      </c>
      <c r="N60" s="2736">
        <f t="shared" si="2"/>
        <v>2006877.2100640282</v>
      </c>
      <c r="O60" s="2741">
        <f>O59+M60/'Tipo de cambio'!$D$9</f>
        <v>198052.62135550869</v>
      </c>
      <c r="P60" s="2741">
        <f>O60/((1+'Análisis financiero'!$C$81/12*Z60)^AA60)</f>
        <v>134771.94284305139</v>
      </c>
      <c r="Z60">
        <v>7</v>
      </c>
      <c r="AA60">
        <v>5</v>
      </c>
    </row>
    <row r="61" spans="1:27">
      <c r="A61" s="2735">
        <v>44044</v>
      </c>
      <c r="B61" s="2736">
        <f t="shared" si="32"/>
        <v>846057.86218838114</v>
      </c>
      <c r="C61" s="2645">
        <v>0</v>
      </c>
      <c r="D61" s="2645">
        <f t="shared" si="4"/>
        <v>-34900</v>
      </c>
      <c r="E61" s="2645">
        <f>-'Personal '!$F$39</f>
        <v>-103000</v>
      </c>
      <c r="F61" s="2645">
        <f>-B62*(1-'Costeo Productos'!$B$46)</f>
        <v>-302163.52221013617</v>
      </c>
      <c r="G61" s="2736">
        <f t="shared" si="29"/>
        <v>-3097.9559000000004</v>
      </c>
      <c r="H61" s="2736">
        <f t="shared" si="30"/>
        <v>-8630.9354262109009</v>
      </c>
      <c r="I61" s="2736">
        <f t="shared" si="31"/>
        <v>-5400</v>
      </c>
      <c r="J61" s="2645">
        <v>0</v>
      </c>
      <c r="K61" s="2645">
        <f>-B61*'Cuadro de Resultados'!$Y$35</f>
        <v>-35534.430211912004</v>
      </c>
      <c r="L61" s="2645">
        <f t="shared" si="0"/>
        <v>-220821.10203116745</v>
      </c>
      <c r="M61" s="2736">
        <f t="shared" si="1"/>
        <v>132509.91640895457</v>
      </c>
      <c r="N61" s="2736">
        <f t="shared" si="2"/>
        <v>2139387.1264729826</v>
      </c>
      <c r="O61" s="2741">
        <f>O60+M61/'Tipo de cambio'!$D$9</f>
        <v>212941.3760082002</v>
      </c>
      <c r="P61" s="2741">
        <f>O61/((1+'Análisis financiero'!$C$81/12*Z61)^AA61)</f>
        <v>137471.59668051527</v>
      </c>
      <c r="Z61">
        <v>8</v>
      </c>
      <c r="AA61">
        <v>5</v>
      </c>
    </row>
    <row r="62" spans="1:27">
      <c r="A62" s="2735">
        <v>44075</v>
      </c>
      <c r="B62" s="2736">
        <f t="shared" si="32"/>
        <v>846057.86218838114</v>
      </c>
      <c r="C62" s="2645">
        <v>0</v>
      </c>
      <c r="D62" s="2645">
        <f t="shared" si="4"/>
        <v>-34900</v>
      </c>
      <c r="E62" s="2645">
        <f>-'Personal '!$F$39</f>
        <v>-103000</v>
      </c>
      <c r="F62" s="2645">
        <f>-B63*(1-'Costeo Productos'!$B$46)</f>
        <v>-302163.52221013617</v>
      </c>
      <c r="G62" s="2736">
        <f t="shared" si="29"/>
        <v>-3097.9559000000004</v>
      </c>
      <c r="H62" s="2736">
        <f t="shared" si="30"/>
        <v>-8630.9354262109009</v>
      </c>
      <c r="I62" s="2736">
        <f t="shared" si="31"/>
        <v>-5400</v>
      </c>
      <c r="J62" s="2645">
        <v>0</v>
      </c>
      <c r="K62" s="2645">
        <f>-B62*'Cuadro de Resultados'!$Y$35</f>
        <v>-35534.430211912004</v>
      </c>
      <c r="L62" s="2645">
        <f t="shared" si="0"/>
        <v>-220821.10203116745</v>
      </c>
      <c r="M62" s="2736">
        <f t="shared" si="1"/>
        <v>132509.91640895457</v>
      </c>
      <c r="N62" s="2736">
        <f t="shared" si="2"/>
        <v>2271897.0428819372</v>
      </c>
      <c r="O62" s="2741">
        <f>O61+M62/'Tipo de cambio'!$D$9</f>
        <v>227830.13066089171</v>
      </c>
      <c r="P62" s="2741">
        <f>O62/((1+'Análisis financiero'!$C$81/12*Z62)^AA62)</f>
        <v>139616.3828621828</v>
      </c>
      <c r="Z62">
        <v>9</v>
      </c>
      <c r="AA62">
        <v>5</v>
      </c>
    </row>
    <row r="63" spans="1:27">
      <c r="A63" s="2735">
        <v>44105</v>
      </c>
      <c r="B63" s="2736">
        <f t="shared" si="32"/>
        <v>846057.86218838114</v>
      </c>
      <c r="C63" s="2645">
        <v>0</v>
      </c>
      <c r="D63" s="2645">
        <f t="shared" si="4"/>
        <v>-34900</v>
      </c>
      <c r="E63" s="2645">
        <f>-'Personal '!$F$39</f>
        <v>-103000</v>
      </c>
      <c r="F63" s="2645">
        <f>-B64*(1-'Costeo Productos'!$B$46)</f>
        <v>-302163.52221013617</v>
      </c>
      <c r="G63" s="2736">
        <f t="shared" si="29"/>
        <v>-3097.9559000000004</v>
      </c>
      <c r="H63" s="2736">
        <f t="shared" si="30"/>
        <v>-8630.9354262109009</v>
      </c>
      <c r="I63" s="2736">
        <f t="shared" si="31"/>
        <v>-5400</v>
      </c>
      <c r="J63" s="2736">
        <f>SUM($B$41:$B$52)*4%*20%</f>
        <v>81221.554770084593</v>
      </c>
      <c r="K63" s="2645">
        <f>-B63*'Cuadro de Resultados'!$Y$35</f>
        <v>-35534.430211912004</v>
      </c>
      <c r="L63" s="2645">
        <f t="shared" si="0"/>
        <v>-220821.10203116745</v>
      </c>
      <c r="M63" s="2736">
        <f t="shared" si="1"/>
        <v>213731.47117903913</v>
      </c>
      <c r="N63" s="2736">
        <f t="shared" si="2"/>
        <v>2485628.5140609764</v>
      </c>
      <c r="O63" s="2741">
        <f>O62+M63/'Tipo de cambio'!$D$9</f>
        <v>251844.90270348039</v>
      </c>
      <c r="P63" s="2741">
        <f>O63/((1+'Análisis financiero'!$C$81/12*Z63)^AA63)</f>
        <v>146576.40016745971</v>
      </c>
      <c r="Z63">
        <v>10</v>
      </c>
      <c r="AA63">
        <v>5</v>
      </c>
    </row>
    <row r="64" spans="1:27">
      <c r="A64" s="2735">
        <v>44136</v>
      </c>
      <c r="B64" s="2736">
        <f t="shared" si="32"/>
        <v>846057.86218838114</v>
      </c>
      <c r="C64" s="2645">
        <v>0</v>
      </c>
      <c r="D64" s="2645">
        <f t="shared" si="4"/>
        <v>-34900</v>
      </c>
      <c r="E64" s="2645">
        <f>-'Personal '!$F$39</f>
        <v>-103000</v>
      </c>
      <c r="F64" s="2645">
        <f>-B65*(1-'Costeo Productos'!$B$46)</f>
        <v>-302163.52221013617</v>
      </c>
      <c r="G64" s="2736">
        <f t="shared" si="29"/>
        <v>-3097.9559000000004</v>
      </c>
      <c r="H64" s="2736">
        <f t="shared" si="30"/>
        <v>-8630.9354262109009</v>
      </c>
      <c r="I64" s="2736">
        <f t="shared" si="31"/>
        <v>-5400</v>
      </c>
      <c r="J64" s="2645">
        <v>0</v>
      </c>
      <c r="K64" s="2645">
        <f>-B64*'Cuadro de Resultados'!$Y$35</f>
        <v>-35534.430211912004</v>
      </c>
      <c r="L64" s="2645">
        <f t="shared" si="0"/>
        <v>-220821.10203116745</v>
      </c>
      <c r="M64" s="2736">
        <f t="shared" si="1"/>
        <v>132509.91640895457</v>
      </c>
      <c r="N64" s="2736">
        <f t="shared" si="2"/>
        <v>2618138.4304699311</v>
      </c>
      <c r="O64" s="2741">
        <f>O63+M64/'Tipo de cambio'!$D$9</f>
        <v>266733.65735617193</v>
      </c>
      <c r="P64" s="2741">
        <f>O64/((1+'Análisis financiero'!$C$81/12*Z64)^AA64)</f>
        <v>147517.30376895244</v>
      </c>
      <c r="Z64">
        <v>11</v>
      </c>
      <c r="AA64">
        <v>5</v>
      </c>
    </row>
    <row r="65" spans="1:27">
      <c r="A65" s="2735">
        <v>44166</v>
      </c>
      <c r="B65" s="2736">
        <f t="shared" si="32"/>
        <v>846057.86218838114</v>
      </c>
      <c r="C65" s="2645">
        <v>0</v>
      </c>
      <c r="D65" s="2645">
        <f t="shared" si="4"/>
        <v>-34900</v>
      </c>
      <c r="E65" s="2645">
        <f>-'Personal '!$F$39</f>
        <v>-103000</v>
      </c>
      <c r="F65" s="2645">
        <f>-B67*(1-'Costeo Productos'!$B$46)</f>
        <v>0</v>
      </c>
      <c r="G65" s="2736">
        <f t="shared" si="29"/>
        <v>-3097.9559000000004</v>
      </c>
      <c r="H65" s="2736">
        <f t="shared" si="30"/>
        <v>-8630.9354262109009</v>
      </c>
      <c r="I65" s="2736">
        <f t="shared" si="31"/>
        <v>-5400</v>
      </c>
      <c r="J65" s="2645">
        <v>0</v>
      </c>
      <c r="K65" s="2645">
        <f>-B65*'Cuadro de Resultados'!$Y$35</f>
        <v>-35534.430211912004</v>
      </c>
      <c r="L65" s="2645">
        <f t="shared" si="0"/>
        <v>-220821.10203116745</v>
      </c>
      <c r="M65" s="2736">
        <f t="shared" si="1"/>
        <v>434673.43861909083</v>
      </c>
      <c r="N65" s="2736">
        <f t="shared" si="2"/>
        <v>3052811.8690890218</v>
      </c>
      <c r="O65" s="2741">
        <f>O64+M65/'Tipo de cambio'!$D$9</f>
        <v>315573.36956056417</v>
      </c>
      <c r="P65" s="2741">
        <f>O65/((1+'Análisis financiero'!$C$81/12*Z65)^AA65)</f>
        <v>165929.54792383776</v>
      </c>
      <c r="Z65">
        <v>12</v>
      </c>
      <c r="AA65">
        <v>5</v>
      </c>
    </row>
    <row r="66" spans="1:27">
      <c r="A66" s="2738" t="s">
        <v>1696</v>
      </c>
      <c r="B66" s="2739">
        <f>SUM(B54:B65)</f>
        <v>10152694.346260574</v>
      </c>
      <c r="C66" s="2739">
        <f t="shared" ref="C66" si="44">SUM(C54:C65)</f>
        <v>0</v>
      </c>
      <c r="D66" s="2739">
        <f t="shared" ref="D66" si="45">SUM(D54:D65)</f>
        <v>-418800</v>
      </c>
      <c r="E66" s="2739">
        <f t="shared" ref="E66" si="46">SUM(E54:E65)</f>
        <v>-1236000</v>
      </c>
      <c r="F66" s="2739">
        <f t="shared" ref="F66" si="47">SUM(F54:F65)</f>
        <v>-3323798.7443114971</v>
      </c>
      <c r="G66" s="2739">
        <f t="shared" ref="G66" si="48">SUM(G54:G65)</f>
        <v>-37175.470800000003</v>
      </c>
      <c r="H66" s="2739">
        <f t="shared" ref="H66" si="49">SUM(H54:H65)</f>
        <v>-103571.22511453078</v>
      </c>
      <c r="I66" s="2739">
        <f t="shared" ref="I66" si="50">SUM(I54:I65)</f>
        <v>-64800</v>
      </c>
      <c r="J66" s="2739">
        <f t="shared" ref="J66:K66" si="51">SUM(J54:J65)</f>
        <v>406107.77385042293</v>
      </c>
      <c r="K66" s="2739">
        <f t="shared" si="51"/>
        <v>-426413.16254294413</v>
      </c>
      <c r="L66" s="2739">
        <f t="shared" ref="L66" si="52">SUM(L54:L65)</f>
        <v>-2649853.2243740093</v>
      </c>
      <c r="M66" s="2739">
        <f t="shared" ref="M66" si="53">SUM(M54:M65)</f>
        <v>2298390.2929680143</v>
      </c>
      <c r="N66" s="2740"/>
    </row>
    <row r="68" spans="1:27">
      <c r="A68" s="260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50"/>
    <pageSetUpPr fitToPage="1"/>
  </sheetPr>
  <dimension ref="A1:AA127"/>
  <sheetViews>
    <sheetView zoomScale="75" zoomScaleNormal="75" workbookViewId="0">
      <selection activeCell="A10" sqref="A10"/>
    </sheetView>
  </sheetViews>
  <sheetFormatPr baseColWidth="10" defaultColWidth="11.42578125" defaultRowHeight="12.75"/>
  <cols>
    <col min="1" max="1" width="8" style="4" customWidth="1"/>
    <col min="2" max="2" width="35.85546875" style="4" customWidth="1"/>
    <col min="3" max="3" width="12.85546875" style="4" bestFit="1" customWidth="1"/>
    <col min="4" max="14" width="18.28515625" style="4" customWidth="1"/>
    <col min="15" max="15" width="14" style="4" customWidth="1"/>
    <col min="16" max="16" width="8" style="4" hidden="1" customWidth="1"/>
    <col min="17" max="17" width="48.7109375" style="4" hidden="1" customWidth="1"/>
    <col min="18" max="18" width="9.28515625" style="4" hidden="1" customWidth="1"/>
    <col min="19" max="19" width="8" style="4" hidden="1" customWidth="1"/>
    <col min="20" max="20" width="48.7109375" style="4" hidden="1" customWidth="1"/>
    <col min="21" max="21" width="12.7109375" style="4" hidden="1" customWidth="1"/>
    <col min="22" max="25" width="0" style="4" hidden="1" customWidth="1"/>
    <col min="26" max="26" width="83.140625" style="4" bestFit="1" customWidth="1"/>
    <col min="27" max="27" width="70" style="4" bestFit="1" customWidth="1"/>
    <col min="28" max="16384" width="11.42578125" style="4"/>
  </cols>
  <sheetData>
    <row r="1" spans="1:27" customFormat="1" ht="30">
      <c r="A1" s="621"/>
      <c r="B1" s="2402"/>
      <c r="C1" s="623"/>
      <c r="D1" s="621"/>
      <c r="E1" s="621"/>
      <c r="F1" s="2403" t="s">
        <v>1706</v>
      </c>
      <c r="G1" s="621"/>
      <c r="H1" s="621"/>
      <c r="I1" s="621"/>
      <c r="J1" s="621"/>
      <c r="K1" s="623"/>
      <c r="L1" s="621"/>
      <c r="M1" s="621"/>
      <c r="N1" s="119" t="s">
        <v>151</v>
      </c>
      <c r="O1" s="621"/>
      <c r="Q1" s="66" t="s">
        <v>662</v>
      </c>
      <c r="T1" s="66" t="s">
        <v>683</v>
      </c>
    </row>
    <row r="2" spans="1:27" customFormat="1" ht="26.25">
      <c r="A2" s="621"/>
      <c r="B2" s="2402"/>
      <c r="C2" s="623"/>
      <c r="D2" s="621"/>
      <c r="E2" s="621"/>
      <c r="F2" s="2394"/>
      <c r="G2" s="621"/>
      <c r="H2" s="621"/>
      <c r="I2" s="621"/>
      <c r="J2" s="621"/>
      <c r="K2" s="621"/>
      <c r="L2" s="621"/>
      <c r="M2" s="621"/>
      <c r="N2" s="1903" t="s">
        <v>152</v>
      </c>
      <c r="O2" s="621"/>
      <c r="Q2" s="66"/>
      <c r="T2" s="66"/>
    </row>
    <row r="3" spans="1:27" customFormat="1">
      <c r="A3" s="623"/>
      <c r="B3" s="621"/>
      <c r="C3" s="621"/>
      <c r="D3" s="621"/>
      <c r="E3" s="621"/>
      <c r="F3" s="621"/>
      <c r="G3" s="621"/>
      <c r="H3" s="621"/>
      <c r="I3" s="621"/>
      <c r="J3" s="621"/>
      <c r="K3" s="621"/>
      <c r="L3" s="621"/>
      <c r="M3" s="621"/>
      <c r="N3" s="621"/>
      <c r="O3" s="621"/>
      <c r="P3" s="4"/>
      <c r="S3" s="4"/>
    </row>
    <row r="4" spans="1:27" customFormat="1" ht="15.75">
      <c r="A4" s="412" t="str">
        <f>+'Synthèse projet'!A3</f>
        <v>Nom projet / Project Name :</v>
      </c>
      <c r="B4" s="1079"/>
      <c r="C4" s="164" t="str">
        <f>'Cuadro de Resultados'!D4</f>
        <v>Transformuebles S.R.L.</v>
      </c>
      <c r="D4" s="622"/>
      <c r="E4" s="621"/>
      <c r="F4" s="621"/>
      <c r="G4" s="621"/>
      <c r="H4" s="1223"/>
      <c r="I4" s="621"/>
      <c r="J4" s="621"/>
      <c r="K4" s="621"/>
      <c r="L4" s="621"/>
      <c r="M4" s="621"/>
      <c r="N4" s="621"/>
      <c r="O4" s="621"/>
      <c r="P4" s="1239"/>
      <c r="Q4" s="1240"/>
      <c r="R4" s="621"/>
      <c r="S4" s="1239"/>
      <c r="T4" s="1240"/>
    </row>
    <row r="5" spans="1:27" ht="15.75">
      <c r="A5" s="413" t="str">
        <f>+'Synthèse projet'!A5</f>
        <v>Rédacteur / Writer  :</v>
      </c>
      <c r="B5" s="1080"/>
      <c r="C5" s="1078" t="str">
        <f>'Cuadro de Resultados'!E6</f>
        <v>SB</v>
      </c>
      <c r="D5" s="2404"/>
      <c r="E5" s="623"/>
      <c r="F5" s="623"/>
      <c r="G5" s="623"/>
      <c r="H5" s="623"/>
      <c r="I5" s="623"/>
      <c r="J5" s="623"/>
      <c r="K5" s="623"/>
      <c r="L5" s="623"/>
      <c r="M5" s="623"/>
      <c r="N5" s="623"/>
      <c r="O5" s="623"/>
      <c r="P5" s="1241"/>
      <c r="Q5" s="1242"/>
      <c r="R5" s="623"/>
      <c r="S5" s="1241"/>
      <c r="T5" s="1242"/>
    </row>
    <row r="6" spans="1:27" s="5" customFormat="1" ht="6.75" customHeight="1">
      <c r="A6" s="1243"/>
      <c r="B6" s="1244"/>
      <c r="C6" s="623"/>
      <c r="D6" s="623"/>
      <c r="E6" s="623"/>
      <c r="F6" s="623"/>
      <c r="G6" s="623"/>
      <c r="H6" s="623"/>
      <c r="I6" s="623"/>
      <c r="J6" s="623"/>
      <c r="K6" s="623"/>
      <c r="L6" s="623"/>
      <c r="M6" s="623"/>
      <c r="N6" s="623"/>
      <c r="O6" s="623"/>
      <c r="P6" s="1243"/>
      <c r="Q6" s="1244"/>
      <c r="R6" s="623"/>
      <c r="S6" s="1243"/>
      <c r="T6" s="1244"/>
    </row>
    <row r="7" spans="1:27" s="81" customFormat="1" ht="18">
      <c r="A7" s="2476" t="s">
        <v>5</v>
      </c>
      <c r="B7" s="2476" t="s">
        <v>1381</v>
      </c>
      <c r="C7" s="78"/>
      <c r="D7" s="79">
        <f>'Cuadro de Resultados'!D12</f>
        <v>2016</v>
      </c>
      <c r="E7" s="79">
        <f t="shared" ref="E7:M7" si="0">D7+1</f>
        <v>2017</v>
      </c>
      <c r="F7" s="79">
        <f t="shared" si="0"/>
        <v>2018</v>
      </c>
      <c r="G7" s="79">
        <f t="shared" si="0"/>
        <v>2019</v>
      </c>
      <c r="H7" s="79">
        <f t="shared" si="0"/>
        <v>2020</v>
      </c>
      <c r="I7" s="79">
        <f t="shared" si="0"/>
        <v>2021</v>
      </c>
      <c r="J7" s="79">
        <f t="shared" si="0"/>
        <v>2022</v>
      </c>
      <c r="K7" s="79">
        <f t="shared" si="0"/>
        <v>2023</v>
      </c>
      <c r="L7" s="79">
        <f t="shared" si="0"/>
        <v>2024</v>
      </c>
      <c r="M7" s="79">
        <f t="shared" si="0"/>
        <v>2025</v>
      </c>
      <c r="N7" s="80">
        <f>M7+1</f>
        <v>2026</v>
      </c>
      <c r="O7" s="1246"/>
      <c r="P7" s="1245"/>
      <c r="Q7" s="1245" t="s">
        <v>936</v>
      </c>
      <c r="R7" s="1246"/>
      <c r="S7" s="1245"/>
      <c r="T7" s="1245" t="s">
        <v>226</v>
      </c>
      <c r="Z7" s="1706" t="s">
        <v>988</v>
      </c>
      <c r="AA7" s="1711" t="s">
        <v>989</v>
      </c>
    </row>
    <row r="8" spans="1:27" ht="8.25" customHeight="1">
      <c r="A8" s="95"/>
      <c r="B8" s="95"/>
      <c r="C8" s="5"/>
      <c r="D8" s="5"/>
      <c r="E8" s="5"/>
      <c r="F8" s="5"/>
      <c r="G8" s="5"/>
      <c r="H8" s="5"/>
      <c r="I8" s="5"/>
      <c r="J8" s="5"/>
      <c r="K8" s="5"/>
      <c r="L8" s="5"/>
      <c r="M8" s="5"/>
      <c r="N8" s="5"/>
      <c r="O8" s="623"/>
      <c r="P8" s="95"/>
      <c r="Q8" s="95"/>
      <c r="S8" s="95"/>
      <c r="T8" s="95"/>
      <c r="Z8" s="1716"/>
      <c r="AA8" s="1730"/>
    </row>
    <row r="9" spans="1:27" s="84" customFormat="1" ht="18" customHeight="1">
      <c r="A9" s="2831" t="s">
        <v>1366</v>
      </c>
      <c r="B9" s="2831"/>
      <c r="C9" s="82"/>
      <c r="D9" s="83"/>
      <c r="E9" s="83"/>
      <c r="F9" s="83"/>
      <c r="G9" s="83"/>
      <c r="H9" s="83"/>
      <c r="I9" s="83"/>
      <c r="J9" s="83"/>
      <c r="K9" s="83"/>
      <c r="L9" s="83"/>
      <c r="M9" s="83"/>
      <c r="N9" s="83"/>
      <c r="O9" s="2437"/>
      <c r="P9" s="2831" t="s">
        <v>6</v>
      </c>
      <c r="Q9" s="2831"/>
      <c r="S9" s="2831" t="s">
        <v>232</v>
      </c>
      <c r="T9" s="2831"/>
      <c r="Z9" s="1717"/>
      <c r="AA9" s="1731"/>
    </row>
    <row r="10" spans="1:27" s="84" customFormat="1" ht="15.75">
      <c r="A10" s="2405"/>
      <c r="B10" s="258" t="s">
        <v>1703</v>
      </c>
      <c r="C10" s="261"/>
      <c r="D10" s="2454">
        <f>(Inversión!F19-Inversión!F9)/'Tipo de cambio'!$D$9</f>
        <v>16740.009716255387</v>
      </c>
      <c r="E10" s="2456"/>
      <c r="F10" s="2456"/>
      <c r="G10" s="2456"/>
      <c r="H10" s="2456"/>
      <c r="I10" s="2457"/>
      <c r="J10" s="2457"/>
      <c r="K10" s="2457"/>
      <c r="L10" s="2457"/>
      <c r="M10" s="2457"/>
      <c r="N10" s="2458"/>
      <c r="O10" s="2437"/>
      <c r="P10" s="82"/>
      <c r="Q10" s="258" t="s">
        <v>7</v>
      </c>
      <c r="S10" s="82"/>
      <c r="T10" s="258" t="s">
        <v>764</v>
      </c>
      <c r="Z10" s="1717"/>
      <c r="AA10" s="1731"/>
    </row>
    <row r="11" spans="1:27" s="86" customFormat="1" ht="15">
      <c r="A11" s="2406"/>
      <c r="B11" s="259" t="s">
        <v>1704</v>
      </c>
      <c r="C11" s="262"/>
      <c r="D11" s="2454">
        <f>Inversión!C9/'Tipo de cambio'!$D$9</f>
        <v>20000</v>
      </c>
      <c r="E11" s="2456"/>
      <c r="F11" s="2456"/>
      <c r="G11" s="2456"/>
      <c r="H11" s="2456"/>
      <c r="I11" s="2457"/>
      <c r="J11" s="2457"/>
      <c r="K11" s="2457"/>
      <c r="L11" s="2457"/>
      <c r="M11" s="2457"/>
      <c r="N11" s="2458"/>
      <c r="O11" s="2408"/>
      <c r="P11" s="87"/>
      <c r="Q11" s="259"/>
      <c r="S11" s="87"/>
      <c r="T11" s="259"/>
      <c r="Z11" s="1718"/>
      <c r="AA11" s="1732"/>
    </row>
    <row r="12" spans="1:27" s="86" customFormat="1" ht="15">
      <c r="A12" s="2406"/>
      <c r="B12" s="259" t="str">
        <f>IF(+'Análisis financiero'!Q12="","",IF('Mode Opératoire'!$I$1="Français",+'Análisis financiero'!Q12,'Análisis financiero'!T12))</f>
        <v/>
      </c>
      <c r="C12" s="263"/>
      <c r="D12" s="1085"/>
      <c r="E12" s="1086"/>
      <c r="F12" s="1086"/>
      <c r="G12" s="1086"/>
      <c r="H12" s="1086"/>
      <c r="I12" s="1087"/>
      <c r="J12" s="1087"/>
      <c r="K12" s="1087"/>
      <c r="L12" s="1087"/>
      <c r="M12" s="1087"/>
      <c r="N12" s="1088"/>
      <c r="O12" s="2408"/>
      <c r="P12" s="87"/>
      <c r="Q12" s="260"/>
      <c r="S12" s="87"/>
      <c r="T12" s="260"/>
      <c r="Z12" s="1718"/>
      <c r="AA12" s="1732"/>
    </row>
    <row r="13" spans="1:27" s="98" customFormat="1" ht="15.75" customHeight="1">
      <c r="A13" s="2407"/>
      <c r="B13" s="267" t="s">
        <v>1382</v>
      </c>
      <c r="C13" s="265"/>
      <c r="D13" s="266">
        <f>SUM(D10:D12)</f>
        <v>36740.009716255387</v>
      </c>
      <c r="E13" s="266">
        <f t="shared" ref="E13:H13" si="1">SUM(E10:E12)</f>
        <v>0</v>
      </c>
      <c r="F13" s="266">
        <f t="shared" si="1"/>
        <v>0</v>
      </c>
      <c r="G13" s="266">
        <f t="shared" si="1"/>
        <v>0</v>
      </c>
      <c r="H13" s="266">
        <f t="shared" si="1"/>
        <v>0</v>
      </c>
      <c r="I13" s="266"/>
      <c r="J13" s="266"/>
      <c r="K13" s="266"/>
      <c r="L13" s="266"/>
      <c r="M13" s="266"/>
      <c r="N13" s="266"/>
      <c r="O13" s="2407"/>
      <c r="P13" s="97"/>
      <c r="Q13" s="267" t="s">
        <v>69</v>
      </c>
      <c r="S13" s="97"/>
      <c r="T13" s="267" t="s">
        <v>771</v>
      </c>
      <c r="Z13" s="1719"/>
      <c r="AA13" s="1733"/>
    </row>
    <row r="14" spans="1:27" s="102" customFormat="1" ht="15">
      <c r="A14" s="2408"/>
      <c r="B14" s="268" t="s">
        <v>1811</v>
      </c>
      <c r="C14" s="269"/>
      <c r="D14" s="270">
        <f>D13</f>
        <v>36740.009716255387</v>
      </c>
      <c r="E14" s="270">
        <f t="shared" ref="E14:H14" si="2">D14+E13</f>
        <v>36740.009716255387</v>
      </c>
      <c r="F14" s="270">
        <f t="shared" si="2"/>
        <v>36740.009716255387</v>
      </c>
      <c r="G14" s="270">
        <f t="shared" si="2"/>
        <v>36740.009716255387</v>
      </c>
      <c r="H14" s="270">
        <f t="shared" si="2"/>
        <v>36740.009716255387</v>
      </c>
      <c r="I14" s="270"/>
      <c r="J14" s="270"/>
      <c r="K14" s="270"/>
      <c r="L14" s="270"/>
      <c r="M14" s="270"/>
      <c r="N14" s="270"/>
      <c r="O14" s="2415"/>
      <c r="P14" s="85"/>
      <c r="Q14" s="268" t="s">
        <v>154</v>
      </c>
      <c r="S14" s="85"/>
      <c r="T14" s="268" t="s">
        <v>772</v>
      </c>
      <c r="Z14" s="1720"/>
      <c r="AA14" s="1734"/>
    </row>
    <row r="15" spans="1:27" ht="6.75" customHeight="1">
      <c r="A15" s="623"/>
      <c r="B15" s="623"/>
      <c r="C15" s="623"/>
      <c r="D15" s="623"/>
      <c r="E15" s="623"/>
      <c r="F15" s="623"/>
      <c r="G15" s="623"/>
      <c r="H15" s="623"/>
      <c r="I15" s="623"/>
      <c r="J15" s="623"/>
      <c r="K15" s="623"/>
      <c r="L15" s="623"/>
      <c r="M15" s="623"/>
      <c r="N15" s="623"/>
      <c r="O15" s="623"/>
      <c r="P15" s="5"/>
      <c r="Q15" s="5"/>
      <c r="S15" s="5"/>
      <c r="T15" s="5"/>
      <c r="Z15" s="1716"/>
      <c r="AA15" s="1730"/>
    </row>
    <row r="16" spans="1:27" s="101" customFormat="1" ht="18" customHeight="1">
      <c r="A16" s="2831" t="s">
        <v>1383</v>
      </c>
      <c r="B16" s="2831"/>
      <c r="C16" s="99" t="s">
        <v>1705</v>
      </c>
      <c r="D16" s="100"/>
      <c r="E16" s="100"/>
      <c r="F16" s="100"/>
      <c r="G16" s="100"/>
      <c r="H16" s="100"/>
      <c r="I16" s="100"/>
      <c r="J16" s="100"/>
      <c r="K16" s="100"/>
      <c r="L16" s="100"/>
      <c r="M16" s="100"/>
      <c r="O16" s="2414"/>
      <c r="P16" s="2831" t="s">
        <v>13</v>
      </c>
      <c r="Q16" s="2831"/>
      <c r="R16" s="101" t="s">
        <v>130</v>
      </c>
      <c r="S16" s="2831" t="s">
        <v>104</v>
      </c>
      <c r="T16" s="2831"/>
      <c r="U16" s="101" t="s">
        <v>843</v>
      </c>
      <c r="Z16" s="1721"/>
      <c r="AA16" s="1735"/>
    </row>
    <row r="17" spans="1:27" s="86" customFormat="1" ht="15">
      <c r="A17" s="2409"/>
      <c r="B17" s="259" t="str">
        <f>B10</f>
        <v>Oficinas</v>
      </c>
      <c r="C17" s="278">
        <v>5</v>
      </c>
      <c r="D17" s="281">
        <f>ROUND(SLN($D$10,0,$C17),0)</f>
        <v>3348</v>
      </c>
      <c r="E17" s="281">
        <f>ROUND(SLN($D$10,0,$C17),0)</f>
        <v>3348</v>
      </c>
      <c r="F17" s="281">
        <f>ROUND(SLN($D$10,0,$C17),0)</f>
        <v>3348</v>
      </c>
      <c r="G17" s="281">
        <f>ROUND(SLN($D$10,0,$C17),0)</f>
        <v>3348</v>
      </c>
      <c r="H17" s="281">
        <f>ROUND(SLN($D$10,0,$C17),0)</f>
        <v>3348</v>
      </c>
      <c r="I17" s="281"/>
      <c r="J17" s="120"/>
      <c r="K17" s="120"/>
      <c r="L17" s="120"/>
      <c r="M17" s="120"/>
      <c r="N17" s="273"/>
      <c r="O17" s="2415"/>
      <c r="P17" s="934"/>
      <c r="Q17" s="259" t="e">
        <f>#REF!</f>
        <v>#REF!</v>
      </c>
      <c r="S17" s="934"/>
      <c r="T17" s="259" t="e">
        <f>#REF!</f>
        <v>#REF!</v>
      </c>
      <c r="Z17" s="1718"/>
      <c r="AA17" s="1732"/>
    </row>
    <row r="18" spans="1:27" s="86" customFormat="1" ht="15">
      <c r="A18" s="2409"/>
      <c r="B18" s="259" t="str">
        <f>B11</f>
        <v>Aplicación web</v>
      </c>
      <c r="C18" s="278">
        <v>5</v>
      </c>
      <c r="D18" s="281">
        <f>ROUND(SLN($D$11,0,$C18),0)</f>
        <v>4000</v>
      </c>
      <c r="E18" s="281">
        <f>ROUND(SLN($D$11,0,$C18),0)</f>
        <v>4000</v>
      </c>
      <c r="F18" s="281">
        <f>ROUND(SLN($D$11,0,$C18),0)</f>
        <v>4000</v>
      </c>
      <c r="G18" s="281">
        <f>ROUND(SLN($D$11,0,$C18),0)</f>
        <v>4000</v>
      </c>
      <c r="H18" s="281">
        <f>ROUND(SLN($D$11,0,$C18),0)</f>
        <v>4000</v>
      </c>
      <c r="I18" s="281"/>
      <c r="J18" s="120"/>
      <c r="K18" s="120"/>
      <c r="L18" s="120"/>
      <c r="M18" s="120"/>
      <c r="N18" s="273"/>
      <c r="O18" s="2415"/>
      <c r="P18" s="934"/>
      <c r="Q18" s="259" t="e">
        <f>#REF!</f>
        <v>#REF!</v>
      </c>
      <c r="S18" s="934"/>
      <c r="T18" s="259" t="e">
        <f>#REF!</f>
        <v>#REF!</v>
      </c>
      <c r="Z18" s="1718"/>
      <c r="AA18" s="1732"/>
    </row>
    <row r="19" spans="1:27" s="98" customFormat="1" ht="15.75" customHeight="1">
      <c r="A19" s="2410"/>
      <c r="B19" s="284" t="s">
        <v>1384</v>
      </c>
      <c r="C19" s="285"/>
      <c r="D19" s="266">
        <f t="shared" ref="D19:H19" si="3">SUM(D17:D18)</f>
        <v>7348</v>
      </c>
      <c r="E19" s="266">
        <f t="shared" si="3"/>
        <v>7348</v>
      </c>
      <c r="F19" s="266">
        <f t="shared" si="3"/>
        <v>7348</v>
      </c>
      <c r="G19" s="266">
        <f t="shared" si="3"/>
        <v>7348</v>
      </c>
      <c r="H19" s="266">
        <f t="shared" si="3"/>
        <v>7348</v>
      </c>
      <c r="I19" s="266"/>
      <c r="J19" s="266"/>
      <c r="K19" s="266"/>
      <c r="L19" s="266"/>
      <c r="M19" s="266"/>
      <c r="N19" s="266"/>
      <c r="O19" s="2407"/>
      <c r="P19" s="95"/>
      <c r="Q19" s="284" t="s">
        <v>14</v>
      </c>
      <c r="S19" s="95"/>
      <c r="T19" s="284" t="s">
        <v>751</v>
      </c>
      <c r="Z19" s="1719"/>
      <c r="AA19" s="1733"/>
    </row>
    <row r="20" spans="1:27" s="102" customFormat="1" ht="15">
      <c r="A20" s="2408"/>
      <c r="B20" s="268" t="s">
        <v>1707</v>
      </c>
      <c r="C20" s="269"/>
      <c r="D20" s="270">
        <f>D19</f>
        <v>7348</v>
      </c>
      <c r="E20" s="270">
        <f t="shared" ref="E20:H20" si="4">D20+E19</f>
        <v>14696</v>
      </c>
      <c r="F20" s="270">
        <f t="shared" si="4"/>
        <v>22044</v>
      </c>
      <c r="G20" s="270">
        <f t="shared" si="4"/>
        <v>29392</v>
      </c>
      <c r="H20" s="270">
        <f t="shared" si="4"/>
        <v>36740</v>
      </c>
      <c r="I20" s="270"/>
      <c r="J20" s="270"/>
      <c r="K20" s="270"/>
      <c r="L20" s="270"/>
      <c r="M20" s="270"/>
      <c r="N20" s="270"/>
      <c r="O20" s="2415"/>
      <c r="P20" s="85"/>
      <c r="Q20" s="268" t="s">
        <v>153</v>
      </c>
      <c r="S20" s="85"/>
      <c r="T20" s="268" t="s">
        <v>773</v>
      </c>
      <c r="Z20" s="1720"/>
      <c r="AA20" s="1734"/>
    </row>
    <row r="21" spans="1:27" s="103" customFormat="1" ht="18">
      <c r="A21" s="2410"/>
      <c r="B21" s="2411"/>
      <c r="C21" s="2411"/>
      <c r="D21" s="2411"/>
      <c r="E21" s="2411"/>
      <c r="F21" s="2411"/>
      <c r="G21" s="2411"/>
      <c r="H21" s="2411"/>
      <c r="I21" s="2411"/>
      <c r="J21" s="2411"/>
      <c r="K21" s="2411"/>
      <c r="L21" s="2411"/>
      <c r="M21" s="2411"/>
      <c r="N21" s="2411"/>
      <c r="O21" s="2411"/>
      <c r="P21" s="95"/>
      <c r="Q21" s="104"/>
      <c r="S21" s="95"/>
      <c r="T21" s="104"/>
      <c r="Z21" s="1722"/>
      <c r="AA21" s="1736"/>
    </row>
    <row r="22" spans="1:27" s="98" customFormat="1" ht="15.75" customHeight="1">
      <c r="A22" s="2410"/>
      <c r="B22" s="264" t="s">
        <v>1385</v>
      </c>
      <c r="C22" s="286"/>
      <c r="D22" s="266">
        <f>D13-D19</f>
        <v>29392.009716255387</v>
      </c>
      <c r="E22" s="266">
        <f>+D22+E13-E19</f>
        <v>22044.009716255387</v>
      </c>
      <c r="F22" s="266">
        <f>+E22+F13-F19</f>
        <v>14696.009716255387</v>
      </c>
      <c r="G22" s="266">
        <f>+F22+G13-G19</f>
        <v>7348.0097162553866</v>
      </c>
      <c r="H22" s="266">
        <f>+G22+H13-H19</f>
        <v>9.7162553865928203E-3</v>
      </c>
      <c r="I22" s="266"/>
      <c r="J22" s="266"/>
      <c r="K22" s="266"/>
      <c r="L22" s="266"/>
      <c r="M22" s="266"/>
      <c r="N22" s="266"/>
      <c r="O22" s="2407"/>
      <c r="P22" s="95"/>
      <c r="Q22" s="264" t="s">
        <v>15</v>
      </c>
      <c r="S22" s="95"/>
      <c r="T22" s="264" t="s">
        <v>774</v>
      </c>
      <c r="Z22" s="1719"/>
      <c r="AA22" s="1733"/>
    </row>
    <row r="23" spans="1:27" s="9" customFormat="1">
      <c r="A23" s="2404"/>
      <c r="B23" s="2404"/>
      <c r="C23" s="2404"/>
      <c r="D23" s="2404"/>
      <c r="E23" s="2404"/>
      <c r="F23" s="2404"/>
      <c r="G23" s="2404"/>
      <c r="H23" s="2404"/>
      <c r="I23" s="2404"/>
      <c r="J23" s="2404"/>
      <c r="K23" s="2404"/>
      <c r="L23" s="2404"/>
      <c r="M23" s="2404"/>
      <c r="N23" s="2404"/>
      <c r="O23" s="2404"/>
      <c r="P23" s="6"/>
      <c r="Q23" s="6"/>
      <c r="S23" s="6"/>
      <c r="T23" s="6"/>
      <c r="Z23" s="1723"/>
      <c r="AA23" s="1737"/>
    </row>
    <row r="24" spans="1:27" s="9" customFormat="1">
      <c r="A24" s="2404"/>
      <c r="B24" s="2404"/>
      <c r="C24" s="2404"/>
      <c r="D24" s="2404"/>
      <c r="E24" s="2404"/>
      <c r="F24" s="2404"/>
      <c r="G24" s="2404"/>
      <c r="H24" s="2404"/>
      <c r="I24" s="2404"/>
      <c r="J24" s="2404"/>
      <c r="K24" s="2404"/>
      <c r="L24" s="2404"/>
      <c r="M24" s="2404"/>
      <c r="N24" s="2404"/>
      <c r="O24" s="2404"/>
      <c r="P24" s="6"/>
      <c r="Q24" s="6"/>
      <c r="S24" s="6"/>
      <c r="T24" s="6"/>
      <c r="Z24" s="1723"/>
      <c r="AA24" s="1737"/>
    </row>
    <row r="25" spans="1:27" s="101" customFormat="1" ht="18" customHeight="1">
      <c r="A25" s="2831" t="s">
        <v>1708</v>
      </c>
      <c r="B25" s="2831"/>
      <c r="C25" s="2412"/>
      <c r="D25" s="2413"/>
      <c r="E25" s="2413"/>
      <c r="F25" s="2413"/>
      <c r="G25" s="2413"/>
      <c r="H25" s="2413"/>
      <c r="I25" s="2413"/>
      <c r="J25" s="2413"/>
      <c r="K25" s="2413"/>
      <c r="L25" s="2413"/>
      <c r="M25" s="2413"/>
      <c r="N25" s="2414"/>
      <c r="O25" s="2414"/>
      <c r="P25" s="2831" t="s">
        <v>16</v>
      </c>
      <c r="Q25" s="2831"/>
      <c r="S25" s="2831" t="s">
        <v>775</v>
      </c>
      <c r="T25" s="2831"/>
      <c r="Z25" s="1721"/>
      <c r="AA25" s="1735"/>
    </row>
    <row r="26" spans="1:27" s="86" customFormat="1" ht="15">
      <c r="A26" s="2408"/>
      <c r="B26" s="287" t="s">
        <v>1406</v>
      </c>
      <c r="C26" s="288" t="s">
        <v>18</v>
      </c>
      <c r="D26" s="296">
        <f>'Cuadro de Resultados'!D14</f>
        <v>151289.83358005621</v>
      </c>
      <c r="E26" s="296">
        <f>'Cuadro de Resultados'!E14</f>
        <v>498635.4376001124</v>
      </c>
      <c r="F26" s="296">
        <f>'Cuadro de Resultados'!F14</f>
        <v>955302.14559595252</v>
      </c>
      <c r="G26" s="296">
        <f>'Cuadro de Resultados'!G14</f>
        <v>1140752.1737371432</v>
      </c>
      <c r="H26" s="296">
        <f>'Cuadro de Resultados'!H14</f>
        <v>1140752.1737371432</v>
      </c>
      <c r="I26" s="296">
        <f>'Cpte exploitation ARG'!I14</f>
        <v>0</v>
      </c>
      <c r="J26" s="296"/>
      <c r="K26" s="296"/>
      <c r="L26" s="296"/>
      <c r="M26" s="296"/>
      <c r="N26" s="296"/>
      <c r="O26" s="2408"/>
      <c r="P26" s="85"/>
      <c r="Q26" s="287" t="s">
        <v>17</v>
      </c>
      <c r="S26" s="85"/>
      <c r="T26" s="287" t="s">
        <v>79</v>
      </c>
      <c r="Z26" s="1718"/>
      <c r="AA26" s="1732"/>
    </row>
    <row r="27" spans="1:27" s="106" customFormat="1" ht="13.5" customHeight="1">
      <c r="A27" s="2410"/>
      <c r="B27" s="308" t="s">
        <v>1715</v>
      </c>
      <c r="C27" s="309"/>
      <c r="D27" s="308">
        <f>SUM(D26:D26)</f>
        <v>151289.83358005621</v>
      </c>
      <c r="E27" s="310">
        <f>SUM(E26:E26)</f>
        <v>498635.4376001124</v>
      </c>
      <c r="F27" s="310">
        <f>SUM(F26:F26)</f>
        <v>955302.14559595252</v>
      </c>
      <c r="G27" s="310">
        <f>SUM(G26:G26)</f>
        <v>1140752.1737371432</v>
      </c>
      <c r="H27" s="310">
        <f>SUM(H26:H26)</f>
        <v>1140752.1737371432</v>
      </c>
      <c r="I27" s="310"/>
      <c r="J27" s="311"/>
      <c r="K27" s="311"/>
      <c r="L27" s="311"/>
      <c r="M27" s="311"/>
      <c r="N27" s="309"/>
      <c r="O27" s="2410"/>
      <c r="P27" s="95"/>
      <c r="Q27" s="308" t="s">
        <v>132</v>
      </c>
      <c r="S27" s="95"/>
      <c r="T27" s="308" t="s">
        <v>776</v>
      </c>
      <c r="Z27" s="1724"/>
      <c r="AA27" s="1738"/>
    </row>
    <row r="28" spans="1:27" s="86" customFormat="1" ht="15">
      <c r="A28" s="2408"/>
      <c r="B28" s="291" t="s">
        <v>1710</v>
      </c>
      <c r="C28" s="292" t="s">
        <v>20</v>
      </c>
      <c r="D28" s="296">
        <f>'Cuadro de Resultados'!D15+'Cuadro de Resultados'!D16</f>
        <v>-93809.186330787139</v>
      </c>
      <c r="E28" s="296">
        <f>'Cuadro de Resultados'!E15+'Cuadro de Resultados'!E16</f>
        <v>-310054.10648541909</v>
      </c>
      <c r="F28" s="296">
        <f>'Cuadro de Resultados'!F15+'Cuadro de Resultados'!F16</f>
        <v>-594011.87577967602</v>
      </c>
      <c r="G28" s="296">
        <f>'Cuadro de Resultados'!G15+'Cuadro de Resultados'!G16</f>
        <v>-709325.674233275</v>
      </c>
      <c r="H28" s="296">
        <f>'Cuadro de Resultados'!H15+'Cuadro de Resultados'!H16</f>
        <v>-709325.674233275</v>
      </c>
      <c r="I28" s="296">
        <f>'Cpte exploitation ARG'!I20</f>
        <v>0</v>
      </c>
      <c r="J28" s="122"/>
      <c r="K28" s="122"/>
      <c r="L28" s="122"/>
      <c r="M28" s="122"/>
      <c r="N28" s="301"/>
      <c r="O28" s="2408"/>
      <c r="P28" s="85"/>
      <c r="Q28" s="291" t="s">
        <v>123</v>
      </c>
      <c r="S28" s="85"/>
      <c r="T28" s="291" t="s">
        <v>82</v>
      </c>
      <c r="Z28" s="1718"/>
      <c r="AA28" s="1732"/>
    </row>
    <row r="29" spans="1:27" s="98" customFormat="1" ht="15.75" customHeight="1">
      <c r="A29" s="2407"/>
      <c r="B29" s="318" t="s">
        <v>1714</v>
      </c>
      <c r="C29" s="319"/>
      <c r="D29" s="318">
        <f>D26+D28</f>
        <v>57480.647249269066</v>
      </c>
      <c r="E29" s="320">
        <f>E26+E28</f>
        <v>188581.33111469331</v>
      </c>
      <c r="F29" s="320">
        <f>F26+F28</f>
        <v>361290.2698162765</v>
      </c>
      <c r="G29" s="320">
        <f>G26+G28</f>
        <v>431426.49950386817</v>
      </c>
      <c r="H29" s="320">
        <f>H26+H28</f>
        <v>431426.49950386817</v>
      </c>
      <c r="I29" s="320"/>
      <c r="J29" s="321"/>
      <c r="K29" s="321"/>
      <c r="L29" s="321"/>
      <c r="M29" s="321"/>
      <c r="N29" s="319"/>
      <c r="O29" s="2407"/>
      <c r="P29" s="97"/>
      <c r="Q29" s="318" t="s">
        <v>21</v>
      </c>
      <c r="S29" s="97"/>
      <c r="T29" s="318" t="s">
        <v>83</v>
      </c>
      <c r="Z29" s="1719"/>
      <c r="AA29" s="1733"/>
    </row>
    <row r="30" spans="1:27" s="102" customFormat="1" ht="15">
      <c r="A30" s="2415"/>
      <c r="B30" s="294" t="str">
        <f>IF('Mode Opératoire'!$I$1="Français",+'Análisis financiero'!Q30,'Análisis financiero'!T30)</f>
        <v>% MCO/Ventes</v>
      </c>
      <c r="C30" s="295"/>
      <c r="D30" s="326">
        <f t="shared" ref="D30:I30" si="5">IF(SUM(D$26:D$26)&lt;&gt;0,D29/SUM(D$26:D$26),"")</f>
        <v>0.37993727594956161</v>
      </c>
      <c r="E30" s="327">
        <f t="shared" si="5"/>
        <v>0.37819480304552427</v>
      </c>
      <c r="F30" s="327">
        <f t="shared" si="5"/>
        <v>0.37819476432860977</v>
      </c>
      <c r="G30" s="327">
        <f t="shared" si="5"/>
        <v>0.37819476432860977</v>
      </c>
      <c r="H30" s="327">
        <f t="shared" si="5"/>
        <v>0.37819476432860977</v>
      </c>
      <c r="I30" s="327" t="str">
        <f t="shared" si="5"/>
        <v/>
      </c>
      <c r="J30" s="328"/>
      <c r="K30" s="328"/>
      <c r="L30" s="328"/>
      <c r="M30" s="328"/>
      <c r="N30" s="329"/>
      <c r="O30" s="2415"/>
      <c r="P30" s="107"/>
      <c r="Q30" s="294" t="s">
        <v>22</v>
      </c>
      <c r="S30" s="107"/>
      <c r="T30" s="294" t="s">
        <v>777</v>
      </c>
      <c r="Z30" s="1720"/>
      <c r="AA30" s="1734"/>
    </row>
    <row r="31" spans="1:27" s="86" customFormat="1" ht="15">
      <c r="A31" s="2408"/>
      <c r="B31" s="325" t="s">
        <v>1711</v>
      </c>
      <c r="C31" s="293" t="s">
        <v>20</v>
      </c>
      <c r="D31" s="302">
        <f>'Cuadro de Resultados'!D25</f>
        <v>-96687.640449438186</v>
      </c>
      <c r="E31" s="302">
        <f>'Cuadro de Resultados'!E25</f>
        <v>-113029.21348314607</v>
      </c>
      <c r="F31" s="302">
        <f>'Cuadro de Resultados'!F25</f>
        <v>-140265.16853932582</v>
      </c>
      <c r="G31" s="302">
        <f>'Cuadro de Resultados'!G25</f>
        <v>-140265.16853932582</v>
      </c>
      <c r="H31" s="302">
        <f>'Cuadro de Resultados'!H25</f>
        <v>-140265.16853932582</v>
      </c>
      <c r="I31" s="302">
        <f>'Cpte exploitation ARG'!I34</f>
        <v>0</v>
      </c>
      <c r="J31" s="123"/>
      <c r="K31" s="123"/>
      <c r="L31" s="123"/>
      <c r="M31" s="123"/>
      <c r="N31" s="303"/>
      <c r="O31" s="2408"/>
      <c r="P31" s="85"/>
      <c r="Q31" s="325" t="s">
        <v>117</v>
      </c>
      <c r="S31" s="85"/>
      <c r="T31" s="325" t="s">
        <v>89</v>
      </c>
      <c r="Z31" s="1718"/>
      <c r="AA31" s="1732"/>
    </row>
    <row r="32" spans="1:27" s="86" customFormat="1" ht="15">
      <c r="A32" s="2408"/>
      <c r="B32" s="289" t="s">
        <v>1417</v>
      </c>
      <c r="C32" s="290" t="s">
        <v>20</v>
      </c>
      <c r="D32" s="302">
        <f>'Cuadro de Resultados'!D31</f>
        <v>-34276.382095690031</v>
      </c>
      <c r="E32" s="120">
        <f>'Cuadro de Resultados'!E31</f>
        <v>-55315.552792647482</v>
      </c>
      <c r="F32" s="120">
        <f>'Cuadro de Resultados'!F31</f>
        <v>-79730.399789202726</v>
      </c>
      <c r="G32" s="120">
        <f>'Cuadro de Resultados'!G31</f>
        <v>-89118.310916168135</v>
      </c>
      <c r="H32" s="120">
        <f>'Cuadro de Resultados'!H31</f>
        <v>-89118.310916168135</v>
      </c>
      <c r="I32" s="120"/>
      <c r="J32" s="120"/>
      <c r="K32" s="120"/>
      <c r="L32" s="120"/>
      <c r="M32" s="120"/>
      <c r="N32" s="273"/>
      <c r="O32" s="2408"/>
      <c r="P32" s="85"/>
      <c r="Q32" s="289" t="s">
        <v>50</v>
      </c>
      <c r="S32" s="85"/>
      <c r="T32" s="289" t="s">
        <v>778</v>
      </c>
      <c r="Z32" s="1718"/>
      <c r="AA32" s="1732"/>
    </row>
    <row r="33" spans="1:27" s="86" customFormat="1" ht="15">
      <c r="A33" s="2408"/>
      <c r="B33" s="289" t="s">
        <v>1422</v>
      </c>
      <c r="C33" s="290" t="s">
        <v>20</v>
      </c>
      <c r="D33" s="120">
        <f>'Cuadro de Resultados'!D35</f>
        <v>-23185.321021029169</v>
      </c>
      <c r="E33" s="120">
        <f>'Cuadro de Resultados'!E35</f>
        <v>-51256.982457287253</v>
      </c>
      <c r="F33" s="120">
        <f>'Cuadro de Resultados'!F35</f>
        <v>-70436.984193112541</v>
      </c>
      <c r="G33" s="120">
        <f>'Cuadro de Resultados'!G35</f>
        <v>-78225.885375042548</v>
      </c>
      <c r="H33" s="120">
        <f>'Cuadro de Resultados'!H35</f>
        <v>-78225.885375042548</v>
      </c>
      <c r="I33" s="120"/>
      <c r="J33" s="120"/>
      <c r="K33" s="120"/>
      <c r="L33" s="120"/>
      <c r="M33" s="120"/>
      <c r="N33" s="273"/>
      <c r="O33" s="2408"/>
      <c r="P33" s="85"/>
      <c r="Q33" s="289" t="s">
        <v>119</v>
      </c>
      <c r="S33" s="85"/>
      <c r="T33" s="289" t="s">
        <v>92</v>
      </c>
      <c r="Z33" s="1718"/>
      <c r="AA33" s="1732"/>
    </row>
    <row r="34" spans="1:27" s="98" customFormat="1" ht="15.75" customHeight="1">
      <c r="A34" s="2407"/>
      <c r="B34" s="308" t="s">
        <v>1712</v>
      </c>
      <c r="C34" s="309"/>
      <c r="D34" s="308">
        <f>D29+SUM(D31:D33)</f>
        <v>-96668.696316888323</v>
      </c>
      <c r="E34" s="310">
        <f>E29+SUM(E31:E33)</f>
        <v>-31020.417618387495</v>
      </c>
      <c r="F34" s="310">
        <f>F29+SUM(F31:F33)</f>
        <v>70857.717294635426</v>
      </c>
      <c r="G34" s="310">
        <f>G29+SUM(G31:G33)</f>
        <v>123817.13467333163</v>
      </c>
      <c r="H34" s="310">
        <f>H29+SUM(H31:H33)</f>
        <v>123817.13467333163</v>
      </c>
      <c r="I34" s="310"/>
      <c r="J34" s="310"/>
      <c r="K34" s="310"/>
      <c r="L34" s="310"/>
      <c r="M34" s="310"/>
      <c r="N34" s="317"/>
      <c r="O34" s="2407"/>
      <c r="P34" s="97"/>
      <c r="Q34" s="308" t="s">
        <v>148</v>
      </c>
      <c r="S34" s="97"/>
      <c r="T34" s="308" t="s">
        <v>94</v>
      </c>
      <c r="Z34" s="1719"/>
      <c r="AA34" s="1733"/>
    </row>
    <row r="35" spans="1:27" s="102" customFormat="1" ht="15">
      <c r="A35" s="2415"/>
      <c r="B35" s="294" t="s">
        <v>1713</v>
      </c>
      <c r="C35" s="295"/>
      <c r="D35" s="304">
        <f>IF(SUM(D$26:D$26)&lt;&gt;0,D34/SUM(D$26:D$26),"")</f>
        <v>-0.6389635974167116</v>
      </c>
      <c r="E35" s="305">
        <f>IF(SUM(E$26:E$26)&lt;&gt;0,E34/SUM(E$26:E$26),"")</f>
        <v>-6.2210615771085144E-2</v>
      </c>
      <c r="F35" s="305">
        <f>IF(SUM(F$26:F$26)&lt;&gt;0,F34/SUM(F$26:F$26),"")</f>
        <v>7.4173095518833762E-2</v>
      </c>
      <c r="G35" s="305">
        <f>IF(SUM(G$26:G$26)&lt;&gt;0,G34/SUM(G$26:G$26),"")</f>
        <v>0.10853990684734131</v>
      </c>
      <c r="H35" s="305">
        <f>IF(SUM(H$26:H$26)&lt;&gt;0,H34/SUM(H$26:H$26),"")</f>
        <v>0.10853990684734131</v>
      </c>
      <c r="I35" s="305"/>
      <c r="J35" s="306"/>
      <c r="K35" s="306"/>
      <c r="L35" s="306"/>
      <c r="M35" s="306"/>
      <c r="N35" s="307"/>
      <c r="O35" s="2415"/>
      <c r="P35" s="107"/>
      <c r="Q35" s="294" t="s">
        <v>156</v>
      </c>
      <c r="S35" s="107"/>
      <c r="T35" s="294" t="s">
        <v>779</v>
      </c>
      <c r="Z35" s="1720"/>
      <c r="AA35" s="1734"/>
    </row>
    <row r="36" spans="1:27" s="7" customFormat="1">
      <c r="A36" s="2416"/>
      <c r="B36" s="155" t="s">
        <v>1716</v>
      </c>
      <c r="C36" s="10"/>
      <c r="D36" s="10"/>
      <c r="E36" s="10"/>
      <c r="F36" s="10"/>
      <c r="G36" s="10"/>
      <c r="H36" s="10"/>
      <c r="I36" s="10"/>
      <c r="J36" s="10"/>
      <c r="K36" s="10"/>
      <c r="L36" s="10"/>
      <c r="M36" s="10"/>
      <c r="N36" s="10"/>
      <c r="O36" s="2416"/>
      <c r="P36" s="8"/>
      <c r="Q36" s="155" t="s">
        <v>169</v>
      </c>
      <c r="S36" s="8"/>
      <c r="T36" s="155" t="s">
        <v>169</v>
      </c>
      <c r="Z36" s="1725"/>
      <c r="AA36" s="1739"/>
    </row>
    <row r="37" spans="1:27" s="98" customFormat="1" ht="15.75" customHeight="1">
      <c r="A37" s="2407"/>
      <c r="B37" s="308" t="s">
        <v>1717</v>
      </c>
      <c r="C37" s="309"/>
      <c r="D37" s="308">
        <f>+D34*(1-$C$39)</f>
        <v>-62834.652605977411</v>
      </c>
      <c r="E37" s="310">
        <f t="shared" ref="E37:H37" si="6">+E34*(1-$C$39)</f>
        <v>-20163.271451951874</v>
      </c>
      <c r="F37" s="310">
        <f t="shared" si="6"/>
        <v>46057.516241513025</v>
      </c>
      <c r="G37" s="310">
        <f t="shared" si="6"/>
        <v>80481.137537665563</v>
      </c>
      <c r="H37" s="310">
        <f t="shared" si="6"/>
        <v>80481.137537665563</v>
      </c>
      <c r="I37" s="310"/>
      <c r="J37" s="310"/>
      <c r="K37" s="310"/>
      <c r="L37" s="310"/>
      <c r="M37" s="310"/>
      <c r="N37" s="317"/>
      <c r="O37" s="2407"/>
      <c r="P37" s="97"/>
      <c r="Q37" s="308" t="s">
        <v>939</v>
      </c>
      <c r="S37" s="97"/>
      <c r="T37" s="308" t="s">
        <v>940</v>
      </c>
      <c r="Z37" s="1719"/>
      <c r="AA37" s="1733"/>
    </row>
    <row r="38" spans="1:27" s="102" customFormat="1" ht="15">
      <c r="A38" s="2415"/>
      <c r="B38" s="2768" t="s">
        <v>1720</v>
      </c>
      <c r="C38" s="304"/>
      <c r="D38" s="305">
        <f>IF(SUM(D$26:D$26)&lt;&gt;0,D37/SUM(D$26:D$26),"")</f>
        <v>-0.41532633832086252</v>
      </c>
      <c r="E38" s="305">
        <f>IF(SUM(E$26:E$26)&lt;&gt;0,E37/SUM(E$26:E$26),"")</f>
        <v>-4.0436900251205346E-2</v>
      </c>
      <c r="F38" s="305">
        <f>IF(SUM(F$26:F$26)&lt;&gt;0,F37/SUM(F$26:F$26),"")</f>
        <v>4.8212512087241942E-2</v>
      </c>
      <c r="G38" s="305">
        <f>IF(SUM(G$26:G$26)&lt;&gt;0,G37/SUM(G$26:G$26),"")</f>
        <v>7.0550939450771857E-2</v>
      </c>
      <c r="H38" s="305">
        <f>IF(SUM(H$26:H$26)&lt;&gt;0,H37/SUM(H$26:H$26),"")</f>
        <v>7.0550939450771857E-2</v>
      </c>
      <c r="I38" s="306"/>
      <c r="J38" s="306"/>
      <c r="K38" s="306"/>
      <c r="L38" s="306"/>
      <c r="M38" s="307"/>
      <c r="N38" s="307"/>
      <c r="O38" s="2415"/>
      <c r="P38" s="107"/>
      <c r="Q38" s="294" t="s">
        <v>941</v>
      </c>
      <c r="S38" s="107"/>
      <c r="T38" s="294" t="s">
        <v>942</v>
      </c>
      <c r="Z38" s="1720"/>
      <c r="AA38" s="1734"/>
    </row>
    <row r="39" spans="1:27" s="7" customFormat="1" ht="18">
      <c r="A39" s="2416"/>
      <c r="B39" s="1683" t="s">
        <v>1718</v>
      </c>
      <c r="C39" s="1904">
        <v>0.35</v>
      </c>
      <c r="D39" s="10"/>
      <c r="E39" s="10"/>
      <c r="F39" s="10"/>
      <c r="G39" s="10"/>
      <c r="H39" s="10"/>
      <c r="I39" s="10"/>
      <c r="J39" s="10"/>
      <c r="K39" s="10"/>
      <c r="L39" s="10"/>
      <c r="M39" s="10"/>
      <c r="N39" s="10"/>
      <c r="O39" s="2416"/>
      <c r="P39" s="8"/>
      <c r="Q39" s="155" t="s">
        <v>169</v>
      </c>
      <c r="S39" s="8"/>
      <c r="T39" s="155" t="s">
        <v>169</v>
      </c>
      <c r="Z39" s="1724" t="s">
        <v>977</v>
      </c>
      <c r="AA39" s="1738" t="s">
        <v>994</v>
      </c>
    </row>
    <row r="40" spans="1:27" s="98" customFormat="1" ht="15.75" customHeight="1">
      <c r="A40" s="2407"/>
      <c r="B40" s="308" t="str">
        <f>IF('Mode Opératoire'!$I$1="Français",+'Análisis financiero'!Q40,'Análisis financiero'!T40)</f>
        <v>EBITDA</v>
      </c>
      <c r="C40" s="309"/>
      <c r="D40" s="308">
        <f>IF(D34=0,0,D34-D19-D22)</f>
        <v>-133408.70603314371</v>
      </c>
      <c r="E40" s="310">
        <f>IF(E34=0,0,E34-E19-E22)</f>
        <v>-60412.427334642882</v>
      </c>
      <c r="F40" s="310">
        <f>IF(F34=0,0,F34-F19-F22)</f>
        <v>48813.707578380039</v>
      </c>
      <c r="G40" s="310">
        <f>IF(G34=0,0,G34-G19-G22)</f>
        <v>109121.12495707624</v>
      </c>
      <c r="H40" s="310">
        <f>IF(H34=0,0,H34-H19-H22)</f>
        <v>116469.12495707624</v>
      </c>
      <c r="I40" s="310"/>
      <c r="J40" s="310"/>
      <c r="K40" s="310"/>
      <c r="L40" s="310"/>
      <c r="M40" s="310"/>
      <c r="N40" s="317"/>
      <c r="O40" s="2407"/>
      <c r="P40" s="97"/>
      <c r="Q40" s="308" t="s">
        <v>943</v>
      </c>
      <c r="S40" s="97"/>
      <c r="T40" s="308" t="s">
        <v>943</v>
      </c>
      <c r="Z40" s="1719"/>
      <c r="AA40" s="1733"/>
    </row>
    <row r="41" spans="1:27" s="102" customFormat="1" ht="15">
      <c r="A41" s="2415"/>
      <c r="B41" s="294" t="s">
        <v>1719</v>
      </c>
      <c r="C41" s="295"/>
      <c r="D41" s="305">
        <f t="shared" ref="D41:N41" si="7">IF(SUM(D$26:D$26)&lt;&gt;0,D40/SUM(D$26:D$26),"")</f>
        <v>-0.88180879624373065</v>
      </c>
      <c r="E41" s="305">
        <f t="shared" si="7"/>
        <v>-0.12115550315758236</v>
      </c>
      <c r="F41" s="305">
        <f t="shared" si="7"/>
        <v>5.1097663501978481E-2</v>
      </c>
      <c r="G41" s="305">
        <f t="shared" si="7"/>
        <v>9.565717030333741E-2</v>
      </c>
      <c r="H41" s="305">
        <f t="shared" si="7"/>
        <v>0.10209853431663374</v>
      </c>
      <c r="I41" s="306" t="str">
        <f t="shared" si="7"/>
        <v/>
      </c>
      <c r="J41" s="306" t="str">
        <f t="shared" si="7"/>
        <v/>
      </c>
      <c r="K41" s="306" t="str">
        <f t="shared" si="7"/>
        <v/>
      </c>
      <c r="L41" s="306" t="str">
        <f t="shared" si="7"/>
        <v/>
      </c>
      <c r="M41" s="307" t="str">
        <f t="shared" si="7"/>
        <v/>
      </c>
      <c r="N41" s="307" t="str">
        <f t="shared" si="7"/>
        <v/>
      </c>
      <c r="O41" s="2415"/>
      <c r="P41" s="107"/>
      <c r="Q41" s="294" t="s">
        <v>944</v>
      </c>
      <c r="S41" s="107"/>
      <c r="T41" s="294" t="s">
        <v>945</v>
      </c>
      <c r="Z41" s="1720"/>
      <c r="AA41" s="1734"/>
    </row>
    <row r="42" spans="1:27" customFormat="1">
      <c r="A42" s="621"/>
      <c r="B42" s="621"/>
      <c r="C42" s="621"/>
      <c r="D42" s="621"/>
      <c r="E42" s="621"/>
      <c r="F42" s="621"/>
      <c r="G42" s="621"/>
      <c r="H42" s="621"/>
      <c r="I42" s="621"/>
      <c r="J42" s="621"/>
      <c r="K42" s="621"/>
      <c r="L42" s="621"/>
      <c r="M42" s="621"/>
      <c r="N42" s="621"/>
      <c r="O42" s="621"/>
      <c r="Z42" s="1726"/>
      <c r="AA42" s="1740"/>
    </row>
    <row r="43" spans="1:27" ht="20.25" customHeight="1">
      <c r="A43" s="623"/>
      <c r="B43" s="623"/>
      <c r="C43" s="623"/>
      <c r="D43" s="623"/>
      <c r="E43" s="623"/>
      <c r="F43" s="623"/>
      <c r="G43" s="623"/>
      <c r="H43" s="623"/>
      <c r="I43" s="623"/>
      <c r="J43" s="623"/>
      <c r="K43" s="623"/>
      <c r="L43" s="623"/>
      <c r="M43" s="623"/>
      <c r="N43" s="623"/>
      <c r="O43" s="623"/>
      <c r="P43" s="5"/>
      <c r="Q43" s="5"/>
      <c r="S43" s="5"/>
      <c r="T43" s="5"/>
      <c r="Z43" s="1716"/>
      <c r="AA43" s="1730"/>
    </row>
    <row r="44" spans="1:27" s="106" customFormat="1" ht="18" customHeight="1">
      <c r="A44" s="2831" t="s">
        <v>1721</v>
      </c>
      <c r="B44" s="2831"/>
      <c r="C44" s="108" t="s">
        <v>1722</v>
      </c>
      <c r="D44" s="1905">
        <v>0.21</v>
      </c>
      <c r="E44" s="109"/>
      <c r="F44" s="109"/>
      <c r="G44" s="109"/>
      <c r="H44" s="109"/>
      <c r="I44" s="109"/>
      <c r="J44" s="109"/>
      <c r="K44" s="109"/>
      <c r="L44" s="109"/>
      <c r="M44" s="109"/>
      <c r="O44" s="2410"/>
      <c r="P44" s="2831" t="s">
        <v>24</v>
      </c>
      <c r="Q44" s="2831"/>
      <c r="S44" s="2831" t="s">
        <v>780</v>
      </c>
      <c r="T44" s="2831"/>
      <c r="Z44" s="1724" t="s">
        <v>976</v>
      </c>
      <c r="AA44" s="1738" t="s">
        <v>995</v>
      </c>
    </row>
    <row r="45" spans="1:27" s="86" customFormat="1" ht="15">
      <c r="A45" s="2408"/>
      <c r="B45" s="287" t="s">
        <v>1406</v>
      </c>
      <c r="C45" s="277" t="s">
        <v>18</v>
      </c>
      <c r="D45" s="342">
        <f>ROUND(D27*D50/365*(1+$D$44),0)</f>
        <v>502</v>
      </c>
      <c r="E45" s="346">
        <f>ROUND(E26*E50/365*(1+$D$44),0)</f>
        <v>1653</v>
      </c>
      <c r="F45" s="346">
        <f>ROUND(F26*F50/365*(1+$D$44),0)</f>
        <v>3167</v>
      </c>
      <c r="G45" s="346">
        <f>ROUND(G26*G50/365*(1+$D$44),0)</f>
        <v>3782</v>
      </c>
      <c r="H45" s="346">
        <f>ROUND(H26*H50/365*(1+$D$44),0)</f>
        <v>3782</v>
      </c>
      <c r="I45" s="330"/>
      <c r="J45" s="330"/>
      <c r="K45" s="330"/>
      <c r="L45" s="330"/>
      <c r="M45" s="330"/>
      <c r="N45" s="331"/>
      <c r="O45" s="2408"/>
      <c r="P45" s="85"/>
      <c r="Q45" s="287" t="s">
        <v>26</v>
      </c>
      <c r="S45" s="85"/>
      <c r="T45" s="287" t="s">
        <v>969</v>
      </c>
      <c r="Z45" s="1718"/>
      <c r="AA45" s="1732"/>
    </row>
    <row r="46" spans="1:27" s="86" customFormat="1" ht="15">
      <c r="A46" s="2408"/>
      <c r="B46" s="291" t="s">
        <v>1709</v>
      </c>
      <c r="C46" s="338" t="s">
        <v>20</v>
      </c>
      <c r="D46" s="342">
        <f>ROUND(D28*D51/365*(1+$D$44),0)</f>
        <v>-9330</v>
      </c>
      <c r="E46" s="346">
        <f>ROUND(E28*E51/365*(1+$D$44),0)</f>
        <v>-30836</v>
      </c>
      <c r="F46" s="334">
        <f>ROUND(F28*F51/365*(1+$D$44),0)</f>
        <v>-59076</v>
      </c>
      <c r="G46" s="334">
        <f>ROUND(G28*G51/365*(1+$D$44),0)</f>
        <v>-70544</v>
      </c>
      <c r="H46" s="334">
        <f>ROUND(H28*H51/365*(1+$D$44),0)</f>
        <v>-70544</v>
      </c>
      <c r="I46" s="334"/>
      <c r="J46" s="334"/>
      <c r="K46" s="334"/>
      <c r="L46" s="334"/>
      <c r="M46" s="334"/>
      <c r="N46" s="335"/>
      <c r="O46" s="2438"/>
      <c r="P46" s="85"/>
      <c r="Q46" s="291" t="s">
        <v>123</v>
      </c>
      <c r="S46" s="85"/>
      <c r="T46" s="291" t="s">
        <v>755</v>
      </c>
      <c r="Z46" s="1718"/>
      <c r="AA46" s="1732"/>
    </row>
    <row r="47" spans="1:27" s="98" customFormat="1" ht="15.75" customHeight="1">
      <c r="A47" s="2407"/>
      <c r="B47" s="336" t="s">
        <v>1724</v>
      </c>
      <c r="C47" s="339"/>
      <c r="D47" s="343">
        <f>ROUND(SUM(D45:D45)+D46,0)</f>
        <v>-8828</v>
      </c>
      <c r="E47" s="347">
        <f>ROUND(SUM(E45:E45)+E46,0)</f>
        <v>-29183</v>
      </c>
      <c r="F47" s="337">
        <f>ROUND(SUM(F45:F45)+F46,0)</f>
        <v>-55909</v>
      </c>
      <c r="G47" s="337">
        <f>ROUND(SUM(G45:G45)+G46,0)</f>
        <v>-66762</v>
      </c>
      <c r="H47" s="337">
        <f>ROUND(SUM(H45:H45)+H46,0)</f>
        <v>-66762</v>
      </c>
      <c r="I47" s="337"/>
      <c r="J47" s="337"/>
      <c r="K47" s="337"/>
      <c r="L47" s="337"/>
      <c r="M47" s="337"/>
      <c r="N47" s="286"/>
      <c r="O47" s="2407"/>
      <c r="P47" s="97"/>
      <c r="Q47" s="336" t="s">
        <v>166</v>
      </c>
      <c r="S47" s="97"/>
      <c r="T47" s="336" t="s">
        <v>166</v>
      </c>
      <c r="Z47" s="1719"/>
      <c r="AA47" s="1733"/>
    </row>
    <row r="48" spans="1:27" ht="10.5" customHeight="1">
      <c r="A48" s="623"/>
      <c r="B48" s="5"/>
      <c r="C48" s="5"/>
      <c r="D48" s="5"/>
      <c r="E48" s="5"/>
      <c r="F48" s="5"/>
      <c r="G48" s="5"/>
      <c r="H48" s="5"/>
      <c r="I48" s="5"/>
      <c r="J48" s="5"/>
      <c r="K48" s="5"/>
      <c r="L48" s="5"/>
      <c r="M48" s="5"/>
      <c r="N48" s="5"/>
      <c r="O48" s="623"/>
      <c r="Q48" s="5"/>
      <c r="T48" s="5"/>
      <c r="Z48" s="1716"/>
      <c r="AA48" s="1730"/>
    </row>
    <row r="49" spans="1:27" s="86" customFormat="1" ht="15.75">
      <c r="A49" s="2408"/>
      <c r="B49" s="110" t="s">
        <v>1723</v>
      </c>
      <c r="C49" s="85"/>
      <c r="D49" s="85"/>
      <c r="E49" s="85"/>
      <c r="F49" s="85"/>
      <c r="G49" s="85"/>
      <c r="H49" s="85"/>
      <c r="I49" s="85"/>
      <c r="J49" s="85"/>
      <c r="K49" s="85"/>
      <c r="L49" s="85"/>
      <c r="M49" s="85"/>
      <c r="N49" s="85"/>
      <c r="O49" s="2408"/>
      <c r="Q49" s="110" t="s">
        <v>124</v>
      </c>
      <c r="T49" s="110" t="s">
        <v>781</v>
      </c>
      <c r="Z49" s="1718"/>
      <c r="AA49" s="1732"/>
    </row>
    <row r="50" spans="1:27" s="86" customFormat="1" ht="15">
      <c r="A50" s="2408"/>
      <c r="B50" s="348" t="s">
        <v>1406</v>
      </c>
      <c r="C50" s="356"/>
      <c r="D50" s="1906">
        <v>1</v>
      </c>
      <c r="E50" s="349">
        <f>D50</f>
        <v>1</v>
      </c>
      <c r="F50" s="349">
        <f t="shared" ref="F50:H51" si="8">E50</f>
        <v>1</v>
      </c>
      <c r="G50" s="349">
        <f t="shared" si="8"/>
        <v>1</v>
      </c>
      <c r="H50" s="349">
        <f t="shared" si="8"/>
        <v>1</v>
      </c>
      <c r="I50" s="349"/>
      <c r="J50" s="349"/>
      <c r="K50" s="349"/>
      <c r="L50" s="349"/>
      <c r="M50" s="349"/>
      <c r="N50" s="350"/>
      <c r="O50" s="2438"/>
      <c r="P50" s="85"/>
      <c r="Q50" s="348" t="s">
        <v>26</v>
      </c>
      <c r="S50" s="85"/>
      <c r="T50" s="348" t="s">
        <v>969</v>
      </c>
      <c r="Z50" s="1718" t="s">
        <v>986</v>
      </c>
      <c r="AA50" s="1732" t="s">
        <v>996</v>
      </c>
    </row>
    <row r="51" spans="1:27" s="86" customFormat="1" ht="15">
      <c r="A51" s="2408"/>
      <c r="B51" s="353" t="s">
        <v>1725</v>
      </c>
      <c r="C51" s="358"/>
      <c r="D51" s="1909">
        <v>30</v>
      </c>
      <c r="E51" s="354">
        <f>D51</f>
        <v>30</v>
      </c>
      <c r="F51" s="354">
        <f t="shared" si="8"/>
        <v>30</v>
      </c>
      <c r="G51" s="354">
        <f t="shared" si="8"/>
        <v>30</v>
      </c>
      <c r="H51" s="354">
        <f t="shared" si="8"/>
        <v>30</v>
      </c>
      <c r="I51" s="354"/>
      <c r="J51" s="354"/>
      <c r="K51" s="354"/>
      <c r="L51" s="354"/>
      <c r="M51" s="354"/>
      <c r="N51" s="355"/>
      <c r="O51" s="2408"/>
      <c r="P51" s="85"/>
      <c r="Q51" s="353" t="s">
        <v>125</v>
      </c>
      <c r="S51" s="85"/>
      <c r="T51" s="353" t="s">
        <v>782</v>
      </c>
      <c r="Z51" s="1718" t="s">
        <v>987</v>
      </c>
      <c r="AA51" s="1732" t="s">
        <v>997</v>
      </c>
    </row>
    <row r="52" spans="1:27" ht="15">
      <c r="A52" s="623"/>
      <c r="B52" s="2417"/>
      <c r="C52" s="2418"/>
      <c r="D52" s="2419"/>
      <c r="E52" s="2419"/>
      <c r="F52" s="2419"/>
      <c r="G52" s="2419"/>
      <c r="H52" s="2419"/>
      <c r="I52" s="2420"/>
      <c r="J52" s="2420"/>
      <c r="K52" s="2420"/>
      <c r="L52" s="2420"/>
      <c r="M52" s="2420"/>
      <c r="N52" s="2420"/>
      <c r="O52" s="623"/>
      <c r="P52" s="5"/>
      <c r="Q52" s="11"/>
      <c r="S52" s="5"/>
      <c r="T52" s="11"/>
      <c r="Z52" s="1716"/>
      <c r="AA52" s="1730"/>
    </row>
    <row r="53" spans="1:27" ht="15">
      <c r="A53" s="623"/>
      <c r="B53" s="2417"/>
      <c r="C53" s="2418"/>
      <c r="D53" s="2419"/>
      <c r="E53" s="2419"/>
      <c r="F53" s="2419"/>
      <c r="G53" s="2419"/>
      <c r="H53" s="2419"/>
      <c r="I53" s="2420"/>
      <c r="J53" s="2420"/>
      <c r="K53" s="2420"/>
      <c r="L53" s="2420"/>
      <c r="M53" s="2420"/>
      <c r="N53" s="2420"/>
      <c r="O53" s="623"/>
      <c r="P53" s="5"/>
      <c r="Q53" s="11"/>
      <c r="S53" s="5"/>
      <c r="T53" s="11"/>
      <c r="Z53" s="1716"/>
      <c r="AA53" s="1730"/>
    </row>
    <row r="54" spans="1:27" ht="10.5" customHeight="1">
      <c r="A54" s="623"/>
      <c r="B54" s="5"/>
      <c r="C54" s="5"/>
      <c r="D54" s="5"/>
      <c r="E54" s="5"/>
      <c r="F54" s="5"/>
      <c r="G54" s="5"/>
      <c r="H54" s="5"/>
      <c r="I54" s="5"/>
      <c r="J54" s="5"/>
      <c r="K54" s="5"/>
      <c r="L54" s="5"/>
      <c r="M54" s="5"/>
      <c r="N54" s="5"/>
      <c r="O54" s="623"/>
      <c r="P54" s="5"/>
      <c r="Q54" s="5"/>
      <c r="S54" s="5"/>
      <c r="T54" s="5"/>
      <c r="Z54" s="1716"/>
      <c r="AA54" s="1730"/>
    </row>
    <row r="55" spans="1:27" s="112" customFormat="1" ht="17.25" customHeight="1">
      <c r="A55" s="2834" t="s">
        <v>1726</v>
      </c>
      <c r="B55" s="2834"/>
      <c r="C55" s="2834"/>
      <c r="D55" s="111">
        <v>1</v>
      </c>
      <c r="E55" s="111">
        <f t="shared" ref="E55:H55" si="9">D55+1</f>
        <v>2</v>
      </c>
      <c r="F55" s="111">
        <f t="shared" si="9"/>
        <v>3</v>
      </c>
      <c r="G55" s="111">
        <f t="shared" si="9"/>
        <v>4</v>
      </c>
      <c r="H55" s="111">
        <f t="shared" si="9"/>
        <v>5</v>
      </c>
      <c r="I55" s="111"/>
      <c r="J55" s="111"/>
      <c r="K55" s="111"/>
      <c r="L55" s="111"/>
      <c r="M55" s="111"/>
      <c r="N55" s="2477"/>
      <c r="O55" s="2439"/>
      <c r="P55" s="2831" t="s">
        <v>29</v>
      </c>
      <c r="Q55" s="2831"/>
      <c r="R55" s="106"/>
      <c r="S55" s="2831" t="s">
        <v>846</v>
      </c>
      <c r="T55" s="2831"/>
      <c r="Z55" s="1727"/>
      <c r="AA55" s="1741"/>
    </row>
    <row r="56" spans="1:27" s="113" customFormat="1" ht="17.25" customHeight="1">
      <c r="A56" s="1245"/>
      <c r="B56" s="1245"/>
      <c r="C56" s="1245"/>
      <c r="D56" s="2428"/>
      <c r="E56" s="2428"/>
      <c r="F56" s="2428"/>
      <c r="G56" s="2428"/>
      <c r="H56" s="2428"/>
      <c r="I56" s="2428"/>
      <c r="J56" s="2428"/>
      <c r="K56" s="2428"/>
      <c r="L56" s="2428"/>
      <c r="M56" s="2428"/>
      <c r="N56" s="2428"/>
      <c r="O56" s="2439"/>
      <c r="P56" s="42"/>
      <c r="Q56" s="42"/>
      <c r="S56" s="42"/>
      <c r="T56" s="42"/>
      <c r="Z56" s="1727"/>
      <c r="AA56" s="1741"/>
    </row>
    <row r="57" spans="1:27" s="106" customFormat="1" ht="9.75" customHeight="1">
      <c r="A57" s="2410"/>
      <c r="B57" s="2410"/>
      <c r="C57" s="2410"/>
      <c r="D57" s="2410"/>
      <c r="E57" s="2410"/>
      <c r="F57" s="2410"/>
      <c r="G57" s="2410"/>
      <c r="H57" s="2410"/>
      <c r="I57" s="2410"/>
      <c r="J57" s="2410"/>
      <c r="K57" s="2410"/>
      <c r="L57" s="2410"/>
      <c r="M57" s="2410"/>
      <c r="N57" s="2410"/>
      <c r="O57" s="2410"/>
      <c r="P57" s="95"/>
      <c r="Q57" s="95"/>
      <c r="S57" s="95"/>
      <c r="T57" s="95"/>
      <c r="Z57" s="1724"/>
      <c r="AA57" s="1738"/>
    </row>
    <row r="58" spans="1:27" s="106" customFormat="1" ht="18">
      <c r="A58" s="2412"/>
      <c r="B58" s="2711" t="s">
        <v>1727</v>
      </c>
      <c r="C58" s="114" t="s">
        <v>70</v>
      </c>
      <c r="D58" s="2410"/>
      <c r="E58" s="2410"/>
      <c r="F58" s="2410"/>
      <c r="G58" s="2410"/>
      <c r="H58" s="2410"/>
      <c r="I58" s="2410"/>
      <c r="J58" s="2410"/>
      <c r="K58" s="2410"/>
      <c r="L58" s="2410"/>
      <c r="M58" s="2410"/>
      <c r="N58" s="2410"/>
      <c r="O58" s="2410"/>
      <c r="P58" s="99"/>
      <c r="Q58" s="2476" t="s">
        <v>133</v>
      </c>
      <c r="S58" s="99"/>
      <c r="T58" s="2476" t="s">
        <v>783</v>
      </c>
      <c r="Z58" s="1724"/>
      <c r="AA58" s="1738"/>
    </row>
    <row r="59" spans="1:27" s="86" customFormat="1" ht="15">
      <c r="A59" s="2408"/>
      <c r="B59" s="359" t="s">
        <v>1728</v>
      </c>
      <c r="C59" s="288"/>
      <c r="D59" s="367">
        <f>D22</f>
        <v>29392.009716255387</v>
      </c>
      <c r="E59" s="368">
        <f t="shared" ref="E59:H59" si="10">E22</f>
        <v>22044.009716255387</v>
      </c>
      <c r="F59" s="369">
        <f t="shared" si="10"/>
        <v>14696.009716255387</v>
      </c>
      <c r="G59" s="368">
        <f t="shared" si="10"/>
        <v>7348.0097162553866</v>
      </c>
      <c r="H59" s="369">
        <f t="shared" si="10"/>
        <v>9.7162553865928203E-3</v>
      </c>
      <c r="I59" s="330"/>
      <c r="J59" s="330"/>
      <c r="K59" s="330"/>
      <c r="L59" s="330"/>
      <c r="M59" s="330"/>
      <c r="N59" s="370"/>
      <c r="O59" s="2408"/>
      <c r="Q59" s="359" t="s">
        <v>30</v>
      </c>
      <c r="T59" s="359" t="s">
        <v>784</v>
      </c>
      <c r="Z59" s="1718"/>
      <c r="AA59" s="1732"/>
    </row>
    <row r="60" spans="1:27" s="86" customFormat="1" ht="15">
      <c r="A60" s="2408"/>
      <c r="B60" s="360" t="s">
        <v>1721</v>
      </c>
      <c r="C60" s="290"/>
      <c r="D60" s="371">
        <f>D47</f>
        <v>-8828</v>
      </c>
      <c r="E60" s="126">
        <f>E47</f>
        <v>-29183</v>
      </c>
      <c r="F60" s="126">
        <f t="shared" ref="F60:H60" si="11">F47</f>
        <v>-55909</v>
      </c>
      <c r="G60" s="126">
        <f t="shared" si="11"/>
        <v>-66762</v>
      </c>
      <c r="H60" s="126">
        <f t="shared" si="11"/>
        <v>-66762</v>
      </c>
      <c r="I60" s="126"/>
      <c r="J60" s="126"/>
      <c r="K60" s="126"/>
      <c r="L60" s="126"/>
      <c r="M60" s="126"/>
      <c r="N60" s="333"/>
      <c r="O60" s="2408"/>
      <c r="Q60" s="360" t="s">
        <v>28</v>
      </c>
      <c r="T60" s="360" t="s">
        <v>785</v>
      </c>
      <c r="Z60" s="1718"/>
      <c r="AA60" s="1732"/>
    </row>
    <row r="61" spans="1:27" s="106" customFormat="1" ht="18">
      <c r="A61" s="2410"/>
      <c r="B61" s="361" t="s">
        <v>1729</v>
      </c>
      <c r="C61" s="362"/>
      <c r="D61" s="372">
        <f>SUM(D59:D60)</f>
        <v>20564.009716255387</v>
      </c>
      <c r="E61" s="116">
        <f>SUM(E59:E60)</f>
        <v>-7138.9902837446134</v>
      </c>
      <c r="F61" s="115">
        <f t="shared" ref="F61:H61" si="12">SUM(F59:F60)</f>
        <v>-41212.990283744613</v>
      </c>
      <c r="G61" s="116">
        <f t="shared" si="12"/>
        <v>-59413.990283744613</v>
      </c>
      <c r="H61" s="115">
        <f t="shared" si="12"/>
        <v>-66761.990283744613</v>
      </c>
      <c r="I61" s="116"/>
      <c r="J61" s="116"/>
      <c r="K61" s="116"/>
      <c r="L61" s="116"/>
      <c r="M61" s="116"/>
      <c r="N61" s="373"/>
      <c r="O61" s="2410"/>
      <c r="P61" s="95"/>
      <c r="Q61" s="361" t="s">
        <v>31</v>
      </c>
      <c r="S61" s="95"/>
      <c r="T61" s="361" t="s">
        <v>845</v>
      </c>
      <c r="Z61" s="1724"/>
      <c r="AA61" s="1738"/>
    </row>
    <row r="62" spans="1:27" s="117" customFormat="1" ht="18.75">
      <c r="A62" s="2422"/>
      <c r="B62" s="363" t="s">
        <v>1730</v>
      </c>
      <c r="C62" s="364"/>
      <c r="D62" s="374">
        <f>IF(D61&lt;&gt;0,(D27)/D61,"")</f>
        <v>7.3570201370049437</v>
      </c>
      <c r="E62" s="128">
        <f>IF(E61&lt;&gt;0,(E27)/E61,"")</f>
        <v>-69.846773532595876</v>
      </c>
      <c r="F62" s="127">
        <f>IF(F61&lt;&gt;0,(F27)/F61,"")</f>
        <v>-23.179636784879122</v>
      </c>
      <c r="G62" s="128">
        <f>IF(G61&lt;&gt;0,(G27)/G61,"")</f>
        <v>-19.200059923415843</v>
      </c>
      <c r="H62" s="127">
        <f>IF(H61&lt;&gt;0,(H27)/H61,"")</f>
        <v>-17.086850899573864</v>
      </c>
      <c r="I62" s="128"/>
      <c r="J62" s="128"/>
      <c r="K62" s="128"/>
      <c r="L62" s="128"/>
      <c r="M62" s="128"/>
      <c r="N62" s="375"/>
      <c r="O62" s="2422"/>
      <c r="Q62" s="363" t="s">
        <v>113</v>
      </c>
      <c r="T62" s="363" t="s">
        <v>858</v>
      </c>
      <c r="Z62" s="1728"/>
      <c r="AA62" s="1742"/>
    </row>
    <row r="63" spans="1:27" s="106" customFormat="1" ht="18">
      <c r="A63" s="2410"/>
      <c r="B63" s="365" t="s">
        <v>158</v>
      </c>
      <c r="C63" s="366"/>
      <c r="D63" s="376">
        <f>IF(D61&lt;&gt;0,D34/D61,"")</f>
        <v>-4.7008680530078673</v>
      </c>
      <c r="E63" s="376">
        <f>IF(E61&lt;&gt;0,E34/E61,"")</f>
        <v>4.3452107910863216</v>
      </c>
      <c r="F63" s="376">
        <f>IF(F61&lt;&gt;0,F34/F61,"")</f>
        <v>-1.7193054133367121</v>
      </c>
      <c r="G63" s="376">
        <f>IF(G61&lt;&gt;0,G34/G61,"")</f>
        <v>-2.0839727155509267</v>
      </c>
      <c r="H63" s="376">
        <f>IF(H61&lt;&gt;0,H34/H61,"")</f>
        <v>-1.8546052049541573</v>
      </c>
      <c r="I63" s="376"/>
      <c r="J63" s="376"/>
      <c r="K63" s="376"/>
      <c r="L63" s="376"/>
      <c r="M63" s="376"/>
      <c r="N63" s="377"/>
      <c r="O63" s="2410"/>
      <c r="P63" s="95"/>
      <c r="Q63" s="365" t="s">
        <v>158</v>
      </c>
      <c r="S63" s="95"/>
      <c r="T63" s="365" t="s">
        <v>158</v>
      </c>
      <c r="Z63" s="1724"/>
      <c r="AA63" s="1738"/>
    </row>
    <row r="64" spans="1:27" s="5" customFormat="1" ht="18" customHeight="1">
      <c r="A64" s="623"/>
      <c r="B64" s="2423"/>
      <c r="C64" s="2424"/>
      <c r="D64" s="2424"/>
      <c r="E64" s="2424"/>
      <c r="F64" s="2424"/>
      <c r="G64" s="2424"/>
      <c r="H64" s="2424"/>
      <c r="I64" s="2424"/>
      <c r="J64" s="2424"/>
      <c r="K64" s="2424"/>
      <c r="L64" s="2424"/>
      <c r="M64" s="2424"/>
      <c r="N64" s="2424"/>
      <c r="O64" s="623"/>
      <c r="Q64" s="155" t="s">
        <v>551</v>
      </c>
      <c r="T64" s="155" t="s">
        <v>551</v>
      </c>
      <c r="Z64" s="1716"/>
      <c r="AA64" s="1730"/>
    </row>
    <row r="65" spans="1:27" ht="14.25" customHeight="1">
      <c r="A65" s="2832"/>
      <c r="B65" s="2832"/>
      <c r="C65" s="623"/>
      <c r="D65" s="623"/>
      <c r="E65" s="2425"/>
      <c r="F65" s="2425"/>
      <c r="G65" s="623"/>
      <c r="H65" s="623"/>
      <c r="I65" s="623"/>
      <c r="J65" s="623"/>
      <c r="K65" s="623"/>
      <c r="L65" s="623"/>
      <c r="M65" s="623"/>
      <c r="N65" s="623"/>
      <c r="O65" s="623"/>
      <c r="P65" s="2833"/>
      <c r="Q65" s="2833"/>
      <c r="S65" s="2833"/>
      <c r="T65" s="2833"/>
      <c r="Z65" s="1716"/>
      <c r="AA65" s="1730"/>
    </row>
    <row r="66" spans="1:27" s="112" customFormat="1" ht="17.25" customHeight="1">
      <c r="A66" s="2834"/>
      <c r="B66" s="2834"/>
      <c r="C66" s="2834"/>
      <c r="D66" s="111">
        <f>D7</f>
        <v>2016</v>
      </c>
      <c r="E66" s="111">
        <f t="shared" ref="E66:H67" si="13">D66+1</f>
        <v>2017</v>
      </c>
      <c r="F66" s="111">
        <f t="shared" si="13"/>
        <v>2018</v>
      </c>
      <c r="G66" s="111">
        <f t="shared" si="13"/>
        <v>2019</v>
      </c>
      <c r="H66" s="111">
        <f t="shared" si="13"/>
        <v>2020</v>
      </c>
      <c r="I66" s="111"/>
      <c r="J66" s="111"/>
      <c r="K66" s="111"/>
      <c r="L66" s="111"/>
      <c r="M66" s="111"/>
      <c r="N66" s="2477"/>
      <c r="O66" s="2439"/>
      <c r="Z66" s="1727"/>
      <c r="AA66" s="1741"/>
    </row>
    <row r="67" spans="1:27" s="112" customFormat="1" ht="17.25" customHeight="1">
      <c r="A67" s="2831" t="s">
        <v>1740</v>
      </c>
      <c r="B67" s="2831"/>
      <c r="C67" s="2835"/>
      <c r="D67" s="1910">
        <v>0</v>
      </c>
      <c r="E67" s="111">
        <f t="shared" si="13"/>
        <v>1</v>
      </c>
      <c r="F67" s="111">
        <f t="shared" si="13"/>
        <v>2</v>
      </c>
      <c r="G67" s="111">
        <f t="shared" si="13"/>
        <v>3</v>
      </c>
      <c r="H67" s="111">
        <f t="shared" si="13"/>
        <v>4</v>
      </c>
      <c r="I67" s="111"/>
      <c r="J67" s="111"/>
      <c r="K67" s="111"/>
      <c r="L67" s="111"/>
      <c r="M67" s="111"/>
      <c r="N67" s="2477"/>
      <c r="O67" s="2439"/>
      <c r="Z67" s="1718" t="s">
        <v>999</v>
      </c>
      <c r="AA67" s="1732" t="s">
        <v>998</v>
      </c>
    </row>
    <row r="68" spans="1:27" s="6" customFormat="1" ht="12.75" customHeight="1">
      <c r="A68" s="2404"/>
      <c r="B68" s="2404"/>
      <c r="C68" s="2436"/>
      <c r="D68" s="2436"/>
      <c r="E68" s="2436"/>
      <c r="F68" s="2436"/>
      <c r="G68" s="2436"/>
      <c r="H68" s="2436"/>
      <c r="I68" s="2436"/>
      <c r="J68" s="2436"/>
      <c r="K68" s="2436"/>
      <c r="L68" s="2436"/>
      <c r="M68" s="2436"/>
      <c r="N68" s="2436"/>
      <c r="O68" s="2404"/>
      <c r="Z68" s="1723"/>
      <c r="AA68" s="1737"/>
    </row>
    <row r="69" spans="1:27" s="86" customFormat="1" ht="18" customHeight="1">
      <c r="A69" s="2406"/>
      <c r="B69" s="359" t="s">
        <v>1738</v>
      </c>
      <c r="C69" s="378"/>
      <c r="D69" s="379">
        <f>D13</f>
        <v>36740.009716255387</v>
      </c>
      <c r="E69" s="380">
        <f>E13</f>
        <v>0</v>
      </c>
      <c r="F69" s="380">
        <f t="shared" ref="F69:H69" si="14">F13</f>
        <v>0</v>
      </c>
      <c r="G69" s="380">
        <f t="shared" si="14"/>
        <v>0</v>
      </c>
      <c r="H69" s="380">
        <f t="shared" si="14"/>
        <v>0</v>
      </c>
      <c r="I69" s="380"/>
      <c r="J69" s="380"/>
      <c r="K69" s="380"/>
      <c r="L69" s="380"/>
      <c r="M69" s="380"/>
      <c r="N69" s="381"/>
      <c r="O69" s="2408"/>
      <c r="P69" s="90"/>
      <c r="Q69" s="359" t="s">
        <v>33</v>
      </c>
      <c r="S69" s="90"/>
      <c r="T69" s="359" t="s">
        <v>232</v>
      </c>
      <c r="Z69" s="1718"/>
      <c r="AA69" s="1732"/>
    </row>
    <row r="70" spans="1:27" s="86" customFormat="1" ht="18" customHeight="1">
      <c r="A70" s="2406"/>
      <c r="B70" s="360" t="s">
        <v>1739</v>
      </c>
      <c r="C70" s="118"/>
      <c r="D70" s="129">
        <f>D47-C60</f>
        <v>-8828</v>
      </c>
      <c r="E70" s="130">
        <f>E47-D47</f>
        <v>-20355</v>
      </c>
      <c r="F70" s="130">
        <f t="shared" ref="F70:H70" si="15">F47-E47</f>
        <v>-26726</v>
      </c>
      <c r="G70" s="130">
        <f t="shared" si="15"/>
        <v>-10853</v>
      </c>
      <c r="H70" s="130">
        <f t="shared" si="15"/>
        <v>0</v>
      </c>
      <c r="I70" s="130"/>
      <c r="J70" s="130"/>
      <c r="K70" s="130"/>
      <c r="L70" s="130"/>
      <c r="M70" s="130"/>
      <c r="N70" s="382"/>
      <c r="O70" s="2408"/>
      <c r="P70" s="90"/>
      <c r="Q70" s="360" t="s">
        <v>34</v>
      </c>
      <c r="S70" s="90"/>
      <c r="T70" s="360" t="s">
        <v>786</v>
      </c>
      <c r="Z70" s="1718"/>
      <c r="AA70" s="1732"/>
    </row>
    <row r="71" spans="1:27" s="85" customFormat="1" ht="18" customHeight="1">
      <c r="A71" s="2406"/>
      <c r="B71" s="383" t="s">
        <v>1735</v>
      </c>
      <c r="C71" s="384"/>
      <c r="D71" s="385">
        <f>SUM(D69:D70)</f>
        <v>27912.009716255387</v>
      </c>
      <c r="E71" s="386">
        <f t="shared" ref="E71:H71" si="16">SUM(E69:E70)</f>
        <v>-20355</v>
      </c>
      <c r="F71" s="386">
        <f t="shared" si="16"/>
        <v>-26726</v>
      </c>
      <c r="G71" s="386">
        <f t="shared" si="16"/>
        <v>-10853</v>
      </c>
      <c r="H71" s="386">
        <f t="shared" si="16"/>
        <v>0</v>
      </c>
      <c r="I71" s="386"/>
      <c r="J71" s="386"/>
      <c r="K71" s="386"/>
      <c r="L71" s="386"/>
      <c r="M71" s="386"/>
      <c r="N71" s="387"/>
      <c r="O71" s="2408"/>
      <c r="P71" s="87"/>
      <c r="Q71" s="383" t="s">
        <v>35</v>
      </c>
      <c r="S71" s="87"/>
      <c r="T71" s="383" t="s">
        <v>787</v>
      </c>
      <c r="Z71" s="1718"/>
      <c r="AA71" s="1732"/>
    </row>
    <row r="72" spans="1:27" s="6" customFormat="1" ht="18" customHeight="1">
      <c r="A72" s="2404"/>
      <c r="B72" s="2404"/>
      <c r="C72" s="2436"/>
      <c r="D72" s="2436"/>
      <c r="E72" s="2436"/>
      <c r="F72" s="2436"/>
      <c r="G72" s="2436"/>
      <c r="H72" s="2436"/>
      <c r="I72" s="2436"/>
      <c r="J72" s="2436"/>
      <c r="K72" s="2436"/>
      <c r="L72" s="2436"/>
      <c r="M72" s="2436"/>
      <c r="N72" s="2436"/>
      <c r="O72" s="2404"/>
      <c r="Z72" s="1723"/>
      <c r="AA72" s="1737"/>
    </row>
    <row r="73" spans="1:27" s="86" customFormat="1" ht="18" customHeight="1">
      <c r="A73" s="2406"/>
      <c r="B73" s="359" t="s">
        <v>1812</v>
      </c>
      <c r="C73" s="378"/>
      <c r="D73" s="379">
        <f>D37+D19</f>
        <v>-55486.652605977411</v>
      </c>
      <c r="E73" s="379">
        <f t="shared" ref="E73:H73" si="17">E37+E19</f>
        <v>-12815.271451951874</v>
      </c>
      <c r="F73" s="379">
        <f t="shared" si="17"/>
        <v>53405.516241513025</v>
      </c>
      <c r="G73" s="379">
        <f t="shared" si="17"/>
        <v>87829.137537665563</v>
      </c>
      <c r="H73" s="379">
        <f t="shared" si="17"/>
        <v>87829.137537665563</v>
      </c>
      <c r="I73" s="379"/>
      <c r="J73" s="379"/>
      <c r="K73" s="379"/>
      <c r="L73" s="379"/>
      <c r="M73" s="379"/>
      <c r="N73" s="379"/>
      <c r="O73" s="2408"/>
      <c r="P73" s="90"/>
      <c r="Q73" s="359" t="s">
        <v>172</v>
      </c>
      <c r="S73" s="90"/>
      <c r="T73" s="359" t="s">
        <v>172</v>
      </c>
      <c r="Z73" s="1718"/>
      <c r="AA73" s="1732"/>
    </row>
    <row r="74" spans="1:27" s="86" customFormat="1" ht="18" hidden="1" customHeight="1">
      <c r="A74" s="2406"/>
      <c r="B74" s="360" t="s">
        <v>1736</v>
      </c>
      <c r="C74" s="118"/>
      <c r="D74" s="143"/>
      <c r="E74" s="143"/>
      <c r="F74" s="143"/>
      <c r="G74" s="143"/>
      <c r="H74" s="143"/>
      <c r="I74" s="143"/>
      <c r="J74" s="143"/>
      <c r="K74" s="143"/>
      <c r="L74" s="143"/>
      <c r="M74" s="143"/>
      <c r="N74" s="388"/>
      <c r="O74" s="2408"/>
      <c r="P74" s="90"/>
      <c r="Q74" s="360" t="s">
        <v>170</v>
      </c>
      <c r="S74" s="90"/>
      <c r="T74" s="360" t="s">
        <v>170</v>
      </c>
      <c r="Z74" s="1718"/>
      <c r="AA74" s="1732"/>
    </row>
    <row r="75" spans="1:27" s="86" customFormat="1" ht="18" hidden="1" customHeight="1">
      <c r="A75" s="2406"/>
      <c r="B75" s="360" t="s">
        <v>171</v>
      </c>
      <c r="C75" s="118"/>
      <c r="D75" s="143"/>
      <c r="E75" s="144"/>
      <c r="F75" s="144"/>
      <c r="G75" s="144"/>
      <c r="H75" s="144"/>
      <c r="I75" s="144"/>
      <c r="J75" s="144"/>
      <c r="K75" s="144"/>
      <c r="L75" s="144"/>
      <c r="M75" s="144"/>
      <c r="N75" s="389"/>
      <c r="O75" s="2408"/>
      <c r="P75" s="90"/>
      <c r="Q75" s="360" t="s">
        <v>171</v>
      </c>
      <c r="S75" s="90"/>
      <c r="T75" s="360" t="s">
        <v>171</v>
      </c>
      <c r="Z75" s="1718"/>
      <c r="AA75" s="1732"/>
    </row>
    <row r="76" spans="1:27" s="85" customFormat="1" ht="18" customHeight="1">
      <c r="A76" s="2406"/>
      <c r="B76" s="383" t="s">
        <v>1737</v>
      </c>
      <c r="C76" s="384"/>
      <c r="D76" s="390">
        <f>SUM(D73:D75)</f>
        <v>-55486.652605977411</v>
      </c>
      <c r="E76" s="391">
        <f t="shared" ref="E76:H76" si="18">SUM(E73:E75)</f>
        <v>-12815.271451951874</v>
      </c>
      <c r="F76" s="391">
        <f t="shared" si="18"/>
        <v>53405.516241513025</v>
      </c>
      <c r="G76" s="391">
        <f t="shared" si="18"/>
        <v>87829.137537665563</v>
      </c>
      <c r="H76" s="391">
        <f t="shared" si="18"/>
        <v>87829.137537665563</v>
      </c>
      <c r="I76" s="391"/>
      <c r="J76" s="391"/>
      <c r="K76" s="391"/>
      <c r="L76" s="391"/>
      <c r="M76" s="391"/>
      <c r="N76" s="392"/>
      <c r="O76" s="2408"/>
      <c r="P76" s="87"/>
      <c r="Q76" s="383" t="s">
        <v>36</v>
      </c>
      <c r="S76" s="87"/>
      <c r="T76" s="383" t="s">
        <v>844</v>
      </c>
      <c r="Z76" s="1718"/>
      <c r="AA76" s="1732"/>
    </row>
    <row r="77" spans="1:27" ht="7.5" customHeight="1">
      <c r="A77" s="2404"/>
      <c r="B77" s="2404"/>
      <c r="C77" s="2436"/>
      <c r="D77" s="2436"/>
      <c r="E77" s="2436"/>
      <c r="F77" s="2436"/>
      <c r="G77" s="2436"/>
      <c r="H77" s="2436"/>
      <c r="I77" s="2436"/>
      <c r="J77" s="2436"/>
      <c r="K77" s="2436"/>
      <c r="L77" s="2436"/>
      <c r="M77" s="2436"/>
      <c r="N77" s="2436"/>
      <c r="O77" s="623"/>
      <c r="P77" s="6"/>
      <c r="Q77" s="6"/>
      <c r="S77" s="6"/>
      <c r="T77" s="6"/>
      <c r="Z77" s="1716"/>
      <c r="AA77" s="1730"/>
    </row>
    <row r="78" spans="1:27" s="86" customFormat="1" ht="18" customHeight="1">
      <c r="A78" s="2406"/>
      <c r="B78" s="393" t="s">
        <v>175</v>
      </c>
      <c r="C78" s="394"/>
      <c r="D78" s="395">
        <f>D76-D71</f>
        <v>-83398.662322232791</v>
      </c>
      <c r="E78" s="396">
        <f>E76-E71</f>
        <v>7539.728548048126</v>
      </c>
      <c r="F78" s="396">
        <f t="shared" ref="F78:H78" si="19">F76-F71</f>
        <v>80131.516241513018</v>
      </c>
      <c r="G78" s="396">
        <f t="shared" si="19"/>
        <v>98682.137537665563</v>
      </c>
      <c r="H78" s="396">
        <f t="shared" si="19"/>
        <v>87829.137537665563</v>
      </c>
      <c r="I78" s="396"/>
      <c r="J78" s="396"/>
      <c r="K78" s="396"/>
      <c r="L78" s="396"/>
      <c r="M78" s="396"/>
      <c r="N78" s="397"/>
      <c r="O78" s="2408"/>
      <c r="P78" s="87"/>
      <c r="Q78" s="393" t="s">
        <v>175</v>
      </c>
      <c r="S78" s="87"/>
      <c r="T78" s="393" t="s">
        <v>175</v>
      </c>
      <c r="Z78" s="1718"/>
      <c r="AA78" s="1732"/>
    </row>
    <row r="79" spans="1:27" s="5" customFormat="1" ht="18" customHeight="1">
      <c r="A79" s="2404"/>
      <c r="B79" s="2435"/>
      <c r="C79" s="2424"/>
      <c r="D79" s="2424"/>
      <c r="E79" s="2424"/>
      <c r="F79" s="2424"/>
      <c r="G79" s="2424"/>
      <c r="H79" s="2424"/>
      <c r="I79" s="2424"/>
      <c r="J79" s="2424"/>
      <c r="K79" s="2424"/>
      <c r="L79" s="2424"/>
      <c r="M79" s="2424"/>
      <c r="N79" s="2424"/>
      <c r="O79" s="623"/>
      <c r="P79" s="6"/>
      <c r="Q79" s="43"/>
      <c r="S79" s="6"/>
      <c r="T79" s="43"/>
      <c r="Z79" s="1716"/>
      <c r="AA79" s="1730"/>
    </row>
    <row r="80" spans="1:27" ht="12.75" customHeight="1">
      <c r="A80" s="2404"/>
      <c r="B80" s="2404"/>
      <c r="C80" s="2436"/>
      <c r="D80" s="2436"/>
      <c r="E80" s="2436"/>
      <c r="F80" s="2436"/>
      <c r="G80" s="2436"/>
      <c r="H80" s="2436"/>
      <c r="I80" s="2436"/>
      <c r="J80" s="2436"/>
      <c r="K80" s="2436"/>
      <c r="L80" s="2436"/>
      <c r="M80" s="2436"/>
      <c r="N80" s="2436"/>
      <c r="O80" s="623"/>
      <c r="P80" s="6"/>
      <c r="Q80" s="6"/>
      <c r="S80" s="6"/>
      <c r="T80" s="6"/>
      <c r="Z80" s="1716"/>
      <c r="AA80" s="1730"/>
    </row>
    <row r="81" spans="1:27" s="86" customFormat="1" ht="21.95" customHeight="1">
      <c r="A81" s="2406"/>
      <c r="B81" s="414" t="s">
        <v>1732</v>
      </c>
      <c r="C81" s="1911">
        <f>G93</f>
        <v>0.13719599999999998</v>
      </c>
      <c r="D81" s="398">
        <f>ROUND(D78/POWER((1+$C$81),D67),0)</f>
        <v>-83399</v>
      </c>
      <c r="E81" s="399">
        <f>ROUND(E78/POWER((1+$C$81),E67),0)</f>
        <v>6630</v>
      </c>
      <c r="F81" s="399">
        <f t="shared" ref="F81:H81" si="20">ROUND(F78/POWER((1+$C$81),F67),0)</f>
        <v>61963</v>
      </c>
      <c r="G81" s="399">
        <f t="shared" si="20"/>
        <v>67102</v>
      </c>
      <c r="H81" s="399">
        <f t="shared" si="20"/>
        <v>52517</v>
      </c>
      <c r="I81" s="399"/>
      <c r="J81" s="399"/>
      <c r="K81" s="399"/>
      <c r="L81" s="399"/>
      <c r="M81" s="399"/>
      <c r="N81" s="400"/>
      <c r="O81" s="2408"/>
      <c r="P81" s="90"/>
      <c r="Q81" s="414" t="s">
        <v>205</v>
      </c>
      <c r="S81" s="90"/>
      <c r="T81" s="414" t="s">
        <v>205</v>
      </c>
      <c r="Z81" s="1724" t="s">
        <v>978</v>
      </c>
      <c r="AA81" s="1738" t="s">
        <v>979</v>
      </c>
    </row>
    <row r="82" spans="1:27" s="89" customFormat="1" ht="21.95" customHeight="1">
      <c r="A82" s="2429"/>
      <c r="B82" s="406" t="s">
        <v>62</v>
      </c>
      <c r="C82" s="407"/>
      <c r="D82" s="408">
        <f>D81</f>
        <v>-83399</v>
      </c>
      <c r="E82" s="409">
        <f>D82+E81</f>
        <v>-76769</v>
      </c>
      <c r="F82" s="409">
        <f t="shared" ref="F82:H82" si="21">E82+F81</f>
        <v>-14806</v>
      </c>
      <c r="G82" s="409">
        <f t="shared" si="21"/>
        <v>52296</v>
      </c>
      <c r="H82" s="409">
        <f t="shared" si="21"/>
        <v>104813</v>
      </c>
      <c r="I82" s="409"/>
      <c r="J82" s="409"/>
      <c r="K82" s="409"/>
      <c r="L82" s="409"/>
      <c r="M82" s="409"/>
      <c r="N82" s="410"/>
      <c r="O82" s="2440"/>
      <c r="P82" s="88"/>
      <c r="Q82" s="406" t="s">
        <v>62</v>
      </c>
      <c r="S82" s="88"/>
      <c r="T82" s="406" t="s">
        <v>62</v>
      </c>
      <c r="Z82" s="1729"/>
      <c r="AA82" s="1743"/>
    </row>
    <row r="83" spans="1:27" s="86" customFormat="1" ht="21.95" customHeight="1">
      <c r="A83" s="2406"/>
      <c r="B83" s="359" t="s">
        <v>1731</v>
      </c>
      <c r="C83" s="402"/>
      <c r="D83" s="403">
        <f>IF(AND((C82&lt;=0),(D82&gt;0)),IF($D$67=0,D67+1+(0-D82)/D81,D67+(0-D82)/D81),0)</f>
        <v>0</v>
      </c>
      <c r="E83" s="404">
        <f t="shared" ref="E83:H83" si="22">IF(AND((D82&lt;=0),(E82&gt;0)),IF($D$67=0,E67+1+(0-E82)/E81,E67+(0-E82)/E81),0)</f>
        <v>0</v>
      </c>
      <c r="F83" s="404">
        <f t="shared" si="22"/>
        <v>0</v>
      </c>
      <c r="G83" s="404">
        <f>IF(AND((F82&lt;=0),(G82&gt;0)),IF($D$67=0,G67+1+(0-G82)/G81,G67+(0-G82)/G81),0)</f>
        <v>3.2206491609788084</v>
      </c>
      <c r="H83" s="404">
        <f t="shared" si="22"/>
        <v>0</v>
      </c>
      <c r="I83" s="404"/>
      <c r="J83" s="404"/>
      <c r="K83" s="404"/>
      <c r="L83" s="404"/>
      <c r="M83" s="404"/>
      <c r="N83" s="405"/>
      <c r="O83" s="2408"/>
      <c r="P83" s="90"/>
      <c r="Q83" s="401" t="s">
        <v>37</v>
      </c>
      <c r="S83" s="90"/>
      <c r="T83" s="401" t="s">
        <v>674</v>
      </c>
      <c r="Z83" s="1718"/>
      <c r="AA83" s="1732"/>
    </row>
    <row r="84" spans="1:27">
      <c r="A84" s="623"/>
      <c r="B84" s="623"/>
      <c r="C84" s="623"/>
      <c r="D84" s="623"/>
      <c r="E84" s="623"/>
      <c r="F84" s="623"/>
      <c r="G84" s="623"/>
      <c r="H84" s="623"/>
      <c r="I84" s="623"/>
      <c r="J84" s="623"/>
      <c r="K84" s="623"/>
      <c r="L84" s="623"/>
      <c r="M84" s="623"/>
      <c r="N84" s="623"/>
      <c r="O84" s="623"/>
    </row>
    <row r="85" spans="1:27" s="93" customFormat="1" ht="15">
      <c r="A85" s="2430"/>
      <c r="B85" s="2431"/>
      <c r="C85" s="2432"/>
      <c r="D85" s="2433"/>
      <c r="E85" s="2434"/>
      <c r="F85" s="2434"/>
      <c r="G85" s="2434"/>
      <c r="H85" s="2772">
        <f>H82/(200000*'Tipo de cambio'!D9)</f>
        <v>5.8883707865168541E-2</v>
      </c>
      <c r="I85" s="2408" t="s">
        <v>1748</v>
      </c>
      <c r="J85" s="2434"/>
      <c r="K85" s="2434"/>
      <c r="L85" s="2434"/>
      <c r="M85" s="2434"/>
      <c r="N85" s="2434"/>
      <c r="O85" s="2434"/>
      <c r="P85" s="91"/>
      <c r="Q85" s="92"/>
      <c r="S85" s="91"/>
      <c r="T85" s="92"/>
    </row>
    <row r="86" spans="1:27">
      <c r="A86" s="623"/>
      <c r="B86" s="623"/>
      <c r="C86" s="623"/>
      <c r="D86" s="623"/>
      <c r="E86" s="623"/>
      <c r="F86" s="623"/>
      <c r="G86" s="2744" t="s">
        <v>1807</v>
      </c>
      <c r="H86" s="2745">
        <f>H85+C81</f>
        <v>0.19607970786516854</v>
      </c>
      <c r="I86" s="623"/>
      <c r="J86" s="623"/>
      <c r="K86" s="623"/>
      <c r="L86" s="623"/>
      <c r="M86" s="623"/>
      <c r="N86" s="623"/>
    </row>
    <row r="87" spans="1:27" s="112" customFormat="1" ht="27" customHeight="1">
      <c r="A87" s="2834" t="s">
        <v>1733</v>
      </c>
      <c r="B87" s="2834"/>
      <c r="C87" s="2834"/>
      <c r="D87" s="623"/>
      <c r="E87" s="623"/>
      <c r="F87" s="2744" t="s">
        <v>1741</v>
      </c>
      <c r="G87" s="2745">
        <v>2.5499999999999998E-2</v>
      </c>
      <c r="H87" s="623"/>
      <c r="I87" s="623"/>
      <c r="J87" s="623"/>
      <c r="L87" s="1234" t="s">
        <v>1743</v>
      </c>
      <c r="M87" s="1234"/>
      <c r="N87" s="1234"/>
      <c r="O87" s="1234"/>
    </row>
    <row r="88" spans="1:27">
      <c r="A88" s="623"/>
      <c r="B88" s="623"/>
      <c r="C88" s="623"/>
      <c r="D88" s="623"/>
      <c r="E88" s="623"/>
      <c r="F88" s="2766" t="s">
        <v>1803</v>
      </c>
      <c r="G88" s="2767">
        <v>6.1699999999999998E-2</v>
      </c>
      <c r="H88" s="2744"/>
      <c r="I88" s="623"/>
      <c r="J88" s="623"/>
      <c r="K88" s="2744" t="s">
        <v>1744</v>
      </c>
      <c r="L88" s="2747">
        <v>0.8</v>
      </c>
      <c r="M88" s="2748"/>
      <c r="N88" s="2749"/>
      <c r="O88" s="2750"/>
    </row>
    <row r="89" spans="1:27" s="86" customFormat="1" ht="18" customHeight="1">
      <c r="A89" s="2406"/>
      <c r="B89" s="393" t="s">
        <v>1734</v>
      </c>
      <c r="C89" s="394"/>
      <c r="D89" s="411">
        <f>IF(SUM(D78:N78=0),"-",IRR(D78:N78))</f>
        <v>0.52544572539495804</v>
      </c>
      <c r="E89" s="623"/>
      <c r="F89" s="2744" t="s">
        <v>1742</v>
      </c>
      <c r="G89" s="2769">
        <f>L89</f>
        <v>1.1599999999999999</v>
      </c>
      <c r="H89" s="623"/>
      <c r="I89" s="623"/>
      <c r="J89" s="623"/>
      <c r="K89" s="2770" t="s">
        <v>1745</v>
      </c>
      <c r="L89" s="2771">
        <v>1.1599999999999999</v>
      </c>
      <c r="M89" s="2748"/>
      <c r="N89" s="623"/>
      <c r="P89" s="87"/>
      <c r="Q89" s="393" t="s">
        <v>192</v>
      </c>
      <c r="S89" s="87"/>
      <c r="T89" s="393" t="s">
        <v>192</v>
      </c>
    </row>
    <row r="90" spans="1:27">
      <c r="A90" s="623"/>
      <c r="B90" s="623"/>
      <c r="C90" s="623"/>
      <c r="D90" s="623"/>
      <c r="E90" s="623"/>
      <c r="F90" s="2744" t="s">
        <v>1804</v>
      </c>
      <c r="G90" s="2745">
        <v>6.8599999999999994E-2</v>
      </c>
      <c r="H90" s="623"/>
      <c r="I90" s="623"/>
      <c r="J90" s="623"/>
      <c r="K90" s="2744" t="s">
        <v>1746</v>
      </c>
      <c r="L90" s="2747">
        <v>1.18</v>
      </c>
      <c r="M90" s="2748"/>
      <c r="N90" s="623"/>
    </row>
    <row r="91" spans="1:27">
      <c r="A91" s="623"/>
      <c r="B91" s="623"/>
      <c r="C91" s="623"/>
      <c r="D91" s="623"/>
      <c r="E91" s="623"/>
      <c r="F91" s="623"/>
      <c r="G91" s="623"/>
      <c r="H91" s="623"/>
      <c r="I91" s="623"/>
      <c r="J91" s="623"/>
      <c r="K91" s="2744" t="s">
        <v>1747</v>
      </c>
      <c r="L91" s="2751">
        <f>L89</f>
        <v>1.1599999999999999</v>
      </c>
      <c r="M91" s="2748"/>
      <c r="N91" s="623"/>
    </row>
    <row r="92" spans="1:27">
      <c r="A92" s="623"/>
      <c r="B92" s="623"/>
      <c r="C92" s="623"/>
      <c r="D92" s="623"/>
      <c r="E92" s="623"/>
      <c r="F92" s="623"/>
      <c r="G92" s="623"/>
      <c r="H92" s="623"/>
      <c r="I92" s="623"/>
      <c r="J92" s="623"/>
      <c r="K92" s="623"/>
      <c r="L92" s="2747"/>
      <c r="M92" s="623"/>
      <c r="N92" s="623"/>
    </row>
    <row r="93" spans="1:27">
      <c r="A93" s="623"/>
      <c r="B93" s="623"/>
      <c r="C93" s="623"/>
      <c r="D93" s="623"/>
      <c r="E93" s="623"/>
      <c r="F93" s="2744" t="s">
        <v>1805</v>
      </c>
      <c r="G93" s="2746">
        <f>G87+G88+G89*(G90-G87)</f>
        <v>0.13719599999999998</v>
      </c>
      <c r="H93" s="623"/>
      <c r="I93" s="623"/>
      <c r="J93" s="623"/>
      <c r="K93" s="2744"/>
      <c r="L93" s="623"/>
      <c r="M93" s="623"/>
      <c r="N93" s="623"/>
    </row>
    <row r="94" spans="1:27">
      <c r="A94" s="623"/>
      <c r="B94" s="623"/>
      <c r="C94" s="623"/>
      <c r="D94" s="623"/>
      <c r="E94" s="623"/>
      <c r="F94" s="623"/>
      <c r="G94" s="623"/>
      <c r="H94" s="623"/>
      <c r="I94" s="623"/>
      <c r="J94" s="623"/>
      <c r="K94" s="623"/>
      <c r="L94" s="623"/>
      <c r="M94" s="623"/>
      <c r="N94" s="623"/>
    </row>
    <row r="95" spans="1:27">
      <c r="A95" s="623"/>
      <c r="B95" s="623"/>
      <c r="C95" s="623"/>
      <c r="D95" s="623"/>
      <c r="E95" s="623"/>
      <c r="F95" s="623"/>
      <c r="G95" s="623"/>
      <c r="H95" s="623"/>
      <c r="I95" s="623"/>
      <c r="J95" s="623"/>
      <c r="K95" s="2744"/>
      <c r="L95" s="2746"/>
      <c r="M95" s="623"/>
      <c r="N95" s="623"/>
    </row>
    <row r="96" spans="1:27">
      <c r="A96" s="623"/>
      <c r="B96" s="623"/>
      <c r="C96" s="623"/>
      <c r="D96" s="623"/>
      <c r="E96" s="623"/>
      <c r="F96" s="623"/>
      <c r="G96" s="623"/>
      <c r="H96" s="623"/>
      <c r="I96" s="623"/>
      <c r="J96" s="623"/>
      <c r="K96" s="623"/>
      <c r="L96" s="623"/>
      <c r="M96" s="623"/>
      <c r="N96" s="623"/>
    </row>
    <row r="97" spans="6:14" ht="15">
      <c r="F97" s="2766"/>
      <c r="N97" s="67"/>
    </row>
    <row r="125" spans="1:19">
      <c r="A125" s="13"/>
      <c r="P125" s="13"/>
      <c r="S125" s="13"/>
    </row>
    <row r="126" spans="1:19">
      <c r="A126" s="13"/>
      <c r="P126" s="13"/>
      <c r="S126" s="13"/>
    </row>
    <row r="127" spans="1:19">
      <c r="A127" s="13"/>
      <c r="P127" s="13"/>
      <c r="S127" s="13"/>
    </row>
  </sheetData>
  <mergeCells count="21">
    <mergeCell ref="A66:C66"/>
    <mergeCell ref="A67:C67"/>
    <mergeCell ref="A87:C87"/>
    <mergeCell ref="A55:C55"/>
    <mergeCell ref="P55:Q55"/>
    <mergeCell ref="S55:T55"/>
    <mergeCell ref="A65:B65"/>
    <mergeCell ref="P65:Q65"/>
    <mergeCell ref="S65:T65"/>
    <mergeCell ref="A25:B25"/>
    <mergeCell ref="P25:Q25"/>
    <mergeCell ref="S25:T25"/>
    <mergeCell ref="A44:B44"/>
    <mergeCell ref="P44:Q44"/>
    <mergeCell ref="S44:T44"/>
    <mergeCell ref="A9:B9"/>
    <mergeCell ref="P9:Q9"/>
    <mergeCell ref="S9:T9"/>
    <mergeCell ref="A16:B16"/>
    <mergeCell ref="P16:Q16"/>
    <mergeCell ref="S16:T16"/>
  </mergeCells>
  <pageMargins left="0.23622047244094491" right="0.15748031496062992" top="0.23622047244094491" bottom="0.23622047244094491" header="0.19685039370078741" footer="0.19685039370078741"/>
  <pageSetup paperSize="9" scale="35" orientation="portrait" cellComments="asDisplayed"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tabColor indexed="51"/>
  </sheetPr>
  <dimension ref="B1:H34"/>
  <sheetViews>
    <sheetView showGridLines="0" workbookViewId="0">
      <selection activeCell="G5" sqref="G5"/>
    </sheetView>
  </sheetViews>
  <sheetFormatPr baseColWidth="10" defaultColWidth="11.42578125" defaultRowHeight="12.75"/>
  <cols>
    <col min="1" max="1" width="3.140625" style="2488" customWidth="1"/>
    <col min="2" max="2" width="43" style="2488" customWidth="1"/>
    <col min="3" max="3" width="13.42578125" style="2488" customWidth="1"/>
    <col min="4" max="6" width="16.85546875" style="2488" customWidth="1"/>
    <col min="7" max="256" width="11.42578125" style="2488"/>
    <col min="257" max="257" width="3.140625" style="2488" customWidth="1"/>
    <col min="258" max="258" width="43" style="2488" customWidth="1"/>
    <col min="259" max="259" width="13.42578125" style="2488" customWidth="1"/>
    <col min="260" max="262" width="16.85546875" style="2488" customWidth="1"/>
    <col min="263" max="512" width="11.42578125" style="2488"/>
    <col min="513" max="513" width="3.140625" style="2488" customWidth="1"/>
    <col min="514" max="514" width="43" style="2488" customWidth="1"/>
    <col min="515" max="515" width="13.42578125" style="2488" customWidth="1"/>
    <col min="516" max="518" width="16.85546875" style="2488" customWidth="1"/>
    <col min="519" max="768" width="11.42578125" style="2488"/>
    <col min="769" max="769" width="3.140625" style="2488" customWidth="1"/>
    <col min="770" max="770" width="43" style="2488" customWidth="1"/>
    <col min="771" max="771" width="13.42578125" style="2488" customWidth="1"/>
    <col min="772" max="774" width="16.85546875" style="2488" customWidth="1"/>
    <col min="775" max="1024" width="11.42578125" style="2488"/>
    <col min="1025" max="1025" width="3.140625" style="2488" customWidth="1"/>
    <col min="1026" max="1026" width="43" style="2488" customWidth="1"/>
    <col min="1027" max="1027" width="13.42578125" style="2488" customWidth="1"/>
    <col min="1028" max="1030" width="16.85546875" style="2488" customWidth="1"/>
    <col min="1031" max="1280" width="11.42578125" style="2488"/>
    <col min="1281" max="1281" width="3.140625" style="2488" customWidth="1"/>
    <col min="1282" max="1282" width="43" style="2488" customWidth="1"/>
    <col min="1283" max="1283" width="13.42578125" style="2488" customWidth="1"/>
    <col min="1284" max="1286" width="16.85546875" style="2488" customWidth="1"/>
    <col min="1287" max="1536" width="11.42578125" style="2488"/>
    <col min="1537" max="1537" width="3.140625" style="2488" customWidth="1"/>
    <col min="1538" max="1538" width="43" style="2488" customWidth="1"/>
    <col min="1539" max="1539" width="13.42578125" style="2488" customWidth="1"/>
    <col min="1540" max="1542" width="16.85546875" style="2488" customWidth="1"/>
    <col min="1543" max="1792" width="11.42578125" style="2488"/>
    <col min="1793" max="1793" width="3.140625" style="2488" customWidth="1"/>
    <col min="1794" max="1794" width="43" style="2488" customWidth="1"/>
    <col min="1795" max="1795" width="13.42578125" style="2488" customWidth="1"/>
    <col min="1796" max="1798" width="16.85546875" style="2488" customWidth="1"/>
    <col min="1799" max="2048" width="11.42578125" style="2488"/>
    <col min="2049" max="2049" width="3.140625" style="2488" customWidth="1"/>
    <col min="2050" max="2050" width="43" style="2488" customWidth="1"/>
    <col min="2051" max="2051" width="13.42578125" style="2488" customWidth="1"/>
    <col min="2052" max="2054" width="16.85546875" style="2488" customWidth="1"/>
    <col min="2055" max="2304" width="11.42578125" style="2488"/>
    <col min="2305" max="2305" width="3.140625" style="2488" customWidth="1"/>
    <col min="2306" max="2306" width="43" style="2488" customWidth="1"/>
    <col min="2307" max="2307" width="13.42578125" style="2488" customWidth="1"/>
    <col min="2308" max="2310" width="16.85546875" style="2488" customWidth="1"/>
    <col min="2311" max="2560" width="11.42578125" style="2488"/>
    <col min="2561" max="2561" width="3.140625" style="2488" customWidth="1"/>
    <col min="2562" max="2562" width="43" style="2488" customWidth="1"/>
    <col min="2563" max="2563" width="13.42578125" style="2488" customWidth="1"/>
    <col min="2564" max="2566" width="16.85546875" style="2488" customWidth="1"/>
    <col min="2567" max="2816" width="11.42578125" style="2488"/>
    <col min="2817" max="2817" width="3.140625" style="2488" customWidth="1"/>
    <col min="2818" max="2818" width="43" style="2488" customWidth="1"/>
    <col min="2819" max="2819" width="13.42578125" style="2488" customWidth="1"/>
    <col min="2820" max="2822" width="16.85546875" style="2488" customWidth="1"/>
    <col min="2823" max="3072" width="11.42578125" style="2488"/>
    <col min="3073" max="3073" width="3.140625" style="2488" customWidth="1"/>
    <col min="3074" max="3074" width="43" style="2488" customWidth="1"/>
    <col min="3075" max="3075" width="13.42578125" style="2488" customWidth="1"/>
    <col min="3076" max="3078" width="16.85546875" style="2488" customWidth="1"/>
    <col min="3079" max="3328" width="11.42578125" style="2488"/>
    <col min="3329" max="3329" width="3.140625" style="2488" customWidth="1"/>
    <col min="3330" max="3330" width="43" style="2488" customWidth="1"/>
    <col min="3331" max="3331" width="13.42578125" style="2488" customWidth="1"/>
    <col min="3332" max="3334" width="16.85546875" style="2488" customWidth="1"/>
    <col min="3335" max="3584" width="11.42578125" style="2488"/>
    <col min="3585" max="3585" width="3.140625" style="2488" customWidth="1"/>
    <col min="3586" max="3586" width="43" style="2488" customWidth="1"/>
    <col min="3587" max="3587" width="13.42578125" style="2488" customWidth="1"/>
    <col min="3588" max="3590" width="16.85546875" style="2488" customWidth="1"/>
    <col min="3591" max="3840" width="11.42578125" style="2488"/>
    <col min="3841" max="3841" width="3.140625" style="2488" customWidth="1"/>
    <col min="3842" max="3842" width="43" style="2488" customWidth="1"/>
    <col min="3843" max="3843" width="13.42578125" style="2488" customWidth="1"/>
    <col min="3844" max="3846" width="16.85546875" style="2488" customWidth="1"/>
    <col min="3847" max="4096" width="11.42578125" style="2488"/>
    <col min="4097" max="4097" width="3.140625" style="2488" customWidth="1"/>
    <col min="4098" max="4098" width="43" style="2488" customWidth="1"/>
    <col min="4099" max="4099" width="13.42578125" style="2488" customWidth="1"/>
    <col min="4100" max="4102" width="16.85546875" style="2488" customWidth="1"/>
    <col min="4103" max="4352" width="11.42578125" style="2488"/>
    <col min="4353" max="4353" width="3.140625" style="2488" customWidth="1"/>
    <col min="4354" max="4354" width="43" style="2488" customWidth="1"/>
    <col min="4355" max="4355" width="13.42578125" style="2488" customWidth="1"/>
    <col min="4356" max="4358" width="16.85546875" style="2488" customWidth="1"/>
    <col min="4359" max="4608" width="11.42578125" style="2488"/>
    <col min="4609" max="4609" width="3.140625" style="2488" customWidth="1"/>
    <col min="4610" max="4610" width="43" style="2488" customWidth="1"/>
    <col min="4611" max="4611" width="13.42578125" style="2488" customWidth="1"/>
    <col min="4612" max="4614" width="16.85546875" style="2488" customWidth="1"/>
    <col min="4615" max="4864" width="11.42578125" style="2488"/>
    <col min="4865" max="4865" width="3.140625" style="2488" customWidth="1"/>
    <col min="4866" max="4866" width="43" style="2488" customWidth="1"/>
    <col min="4867" max="4867" width="13.42578125" style="2488" customWidth="1"/>
    <col min="4868" max="4870" width="16.85546875" style="2488" customWidth="1"/>
    <col min="4871" max="5120" width="11.42578125" style="2488"/>
    <col min="5121" max="5121" width="3.140625" style="2488" customWidth="1"/>
    <col min="5122" max="5122" width="43" style="2488" customWidth="1"/>
    <col min="5123" max="5123" width="13.42578125" style="2488" customWidth="1"/>
    <col min="5124" max="5126" width="16.85546875" style="2488" customWidth="1"/>
    <col min="5127" max="5376" width="11.42578125" style="2488"/>
    <col min="5377" max="5377" width="3.140625" style="2488" customWidth="1"/>
    <col min="5378" max="5378" width="43" style="2488" customWidth="1"/>
    <col min="5379" max="5379" width="13.42578125" style="2488" customWidth="1"/>
    <col min="5380" max="5382" width="16.85546875" style="2488" customWidth="1"/>
    <col min="5383" max="5632" width="11.42578125" style="2488"/>
    <col min="5633" max="5633" width="3.140625" style="2488" customWidth="1"/>
    <col min="5634" max="5634" width="43" style="2488" customWidth="1"/>
    <col min="5635" max="5635" width="13.42578125" style="2488" customWidth="1"/>
    <col min="5636" max="5638" width="16.85546875" style="2488" customWidth="1"/>
    <col min="5639" max="5888" width="11.42578125" style="2488"/>
    <col min="5889" max="5889" width="3.140625" style="2488" customWidth="1"/>
    <col min="5890" max="5890" width="43" style="2488" customWidth="1"/>
    <col min="5891" max="5891" width="13.42578125" style="2488" customWidth="1"/>
    <col min="5892" max="5894" width="16.85546875" style="2488" customWidth="1"/>
    <col min="5895" max="6144" width="11.42578125" style="2488"/>
    <col min="6145" max="6145" width="3.140625" style="2488" customWidth="1"/>
    <col min="6146" max="6146" width="43" style="2488" customWidth="1"/>
    <col min="6147" max="6147" width="13.42578125" style="2488" customWidth="1"/>
    <col min="6148" max="6150" width="16.85546875" style="2488" customWidth="1"/>
    <col min="6151" max="6400" width="11.42578125" style="2488"/>
    <col min="6401" max="6401" width="3.140625" style="2488" customWidth="1"/>
    <col min="6402" max="6402" width="43" style="2488" customWidth="1"/>
    <col min="6403" max="6403" width="13.42578125" style="2488" customWidth="1"/>
    <col min="6404" max="6406" width="16.85546875" style="2488" customWidth="1"/>
    <col min="6407" max="6656" width="11.42578125" style="2488"/>
    <col min="6657" max="6657" width="3.140625" style="2488" customWidth="1"/>
    <col min="6658" max="6658" width="43" style="2488" customWidth="1"/>
    <col min="6659" max="6659" width="13.42578125" style="2488" customWidth="1"/>
    <col min="6660" max="6662" width="16.85546875" style="2488" customWidth="1"/>
    <col min="6663" max="6912" width="11.42578125" style="2488"/>
    <col min="6913" max="6913" width="3.140625" style="2488" customWidth="1"/>
    <col min="6914" max="6914" width="43" style="2488" customWidth="1"/>
    <col min="6915" max="6915" width="13.42578125" style="2488" customWidth="1"/>
    <col min="6916" max="6918" width="16.85546875" style="2488" customWidth="1"/>
    <col min="6919" max="7168" width="11.42578125" style="2488"/>
    <col min="7169" max="7169" width="3.140625" style="2488" customWidth="1"/>
    <col min="7170" max="7170" width="43" style="2488" customWidth="1"/>
    <col min="7171" max="7171" width="13.42578125" style="2488" customWidth="1"/>
    <col min="7172" max="7174" width="16.85546875" style="2488" customWidth="1"/>
    <col min="7175" max="7424" width="11.42578125" style="2488"/>
    <col min="7425" max="7425" width="3.140625" style="2488" customWidth="1"/>
    <col min="7426" max="7426" width="43" style="2488" customWidth="1"/>
    <col min="7427" max="7427" width="13.42578125" style="2488" customWidth="1"/>
    <col min="7428" max="7430" width="16.85546875" style="2488" customWidth="1"/>
    <col min="7431" max="7680" width="11.42578125" style="2488"/>
    <col min="7681" max="7681" width="3.140625" style="2488" customWidth="1"/>
    <col min="7682" max="7682" width="43" style="2488" customWidth="1"/>
    <col min="7683" max="7683" width="13.42578125" style="2488" customWidth="1"/>
    <col min="7684" max="7686" width="16.85546875" style="2488" customWidth="1"/>
    <col min="7687" max="7936" width="11.42578125" style="2488"/>
    <col min="7937" max="7937" width="3.140625" style="2488" customWidth="1"/>
    <col min="7938" max="7938" width="43" style="2488" customWidth="1"/>
    <col min="7939" max="7939" width="13.42578125" style="2488" customWidth="1"/>
    <col min="7940" max="7942" width="16.85546875" style="2488" customWidth="1"/>
    <col min="7943" max="8192" width="11.42578125" style="2488"/>
    <col min="8193" max="8193" width="3.140625" style="2488" customWidth="1"/>
    <col min="8194" max="8194" width="43" style="2488" customWidth="1"/>
    <col min="8195" max="8195" width="13.42578125" style="2488" customWidth="1"/>
    <col min="8196" max="8198" width="16.85546875" style="2488" customWidth="1"/>
    <col min="8199" max="8448" width="11.42578125" style="2488"/>
    <col min="8449" max="8449" width="3.140625" style="2488" customWidth="1"/>
    <col min="8450" max="8450" width="43" style="2488" customWidth="1"/>
    <col min="8451" max="8451" width="13.42578125" style="2488" customWidth="1"/>
    <col min="8452" max="8454" width="16.85546875" style="2488" customWidth="1"/>
    <col min="8455" max="8704" width="11.42578125" style="2488"/>
    <col min="8705" max="8705" width="3.140625" style="2488" customWidth="1"/>
    <col min="8706" max="8706" width="43" style="2488" customWidth="1"/>
    <col min="8707" max="8707" width="13.42578125" style="2488" customWidth="1"/>
    <col min="8708" max="8710" width="16.85546875" style="2488" customWidth="1"/>
    <col min="8711" max="8960" width="11.42578125" style="2488"/>
    <col min="8961" max="8961" width="3.140625" style="2488" customWidth="1"/>
    <col min="8962" max="8962" width="43" style="2488" customWidth="1"/>
    <col min="8963" max="8963" width="13.42578125" style="2488" customWidth="1"/>
    <col min="8964" max="8966" width="16.85546875" style="2488" customWidth="1"/>
    <col min="8967" max="9216" width="11.42578125" style="2488"/>
    <col min="9217" max="9217" width="3.140625" style="2488" customWidth="1"/>
    <col min="9218" max="9218" width="43" style="2488" customWidth="1"/>
    <col min="9219" max="9219" width="13.42578125" style="2488" customWidth="1"/>
    <col min="9220" max="9222" width="16.85546875" style="2488" customWidth="1"/>
    <col min="9223" max="9472" width="11.42578125" style="2488"/>
    <col min="9473" max="9473" width="3.140625" style="2488" customWidth="1"/>
    <col min="9474" max="9474" width="43" style="2488" customWidth="1"/>
    <col min="9475" max="9475" width="13.42578125" style="2488" customWidth="1"/>
    <col min="9476" max="9478" width="16.85546875" style="2488" customWidth="1"/>
    <col min="9479" max="9728" width="11.42578125" style="2488"/>
    <col min="9729" max="9729" width="3.140625" style="2488" customWidth="1"/>
    <col min="9730" max="9730" width="43" style="2488" customWidth="1"/>
    <col min="9731" max="9731" width="13.42578125" style="2488" customWidth="1"/>
    <col min="9732" max="9734" width="16.85546875" style="2488" customWidth="1"/>
    <col min="9735" max="9984" width="11.42578125" style="2488"/>
    <col min="9985" max="9985" width="3.140625" style="2488" customWidth="1"/>
    <col min="9986" max="9986" width="43" style="2488" customWidth="1"/>
    <col min="9987" max="9987" width="13.42578125" style="2488" customWidth="1"/>
    <col min="9988" max="9990" width="16.85546875" style="2488" customWidth="1"/>
    <col min="9991" max="10240" width="11.42578125" style="2488"/>
    <col min="10241" max="10241" width="3.140625" style="2488" customWidth="1"/>
    <col min="10242" max="10242" width="43" style="2488" customWidth="1"/>
    <col min="10243" max="10243" width="13.42578125" style="2488" customWidth="1"/>
    <col min="10244" max="10246" width="16.85546875" style="2488" customWidth="1"/>
    <col min="10247" max="10496" width="11.42578125" style="2488"/>
    <col min="10497" max="10497" width="3.140625" style="2488" customWidth="1"/>
    <col min="10498" max="10498" width="43" style="2488" customWidth="1"/>
    <col min="10499" max="10499" width="13.42578125" style="2488" customWidth="1"/>
    <col min="10500" max="10502" width="16.85546875" style="2488" customWidth="1"/>
    <col min="10503" max="10752" width="11.42578125" style="2488"/>
    <col min="10753" max="10753" width="3.140625" style="2488" customWidth="1"/>
    <col min="10754" max="10754" width="43" style="2488" customWidth="1"/>
    <col min="10755" max="10755" width="13.42578125" style="2488" customWidth="1"/>
    <col min="10756" max="10758" width="16.85546875" style="2488" customWidth="1"/>
    <col min="10759" max="11008" width="11.42578125" style="2488"/>
    <col min="11009" max="11009" width="3.140625" style="2488" customWidth="1"/>
    <col min="11010" max="11010" width="43" style="2488" customWidth="1"/>
    <col min="11011" max="11011" width="13.42578125" style="2488" customWidth="1"/>
    <col min="11012" max="11014" width="16.85546875" style="2488" customWidth="1"/>
    <col min="11015" max="11264" width="11.42578125" style="2488"/>
    <col min="11265" max="11265" width="3.140625" style="2488" customWidth="1"/>
    <col min="11266" max="11266" width="43" style="2488" customWidth="1"/>
    <col min="11267" max="11267" width="13.42578125" style="2488" customWidth="1"/>
    <col min="11268" max="11270" width="16.85546875" style="2488" customWidth="1"/>
    <col min="11271" max="11520" width="11.42578125" style="2488"/>
    <col min="11521" max="11521" width="3.140625" style="2488" customWidth="1"/>
    <col min="11522" max="11522" width="43" style="2488" customWidth="1"/>
    <col min="11523" max="11523" width="13.42578125" style="2488" customWidth="1"/>
    <col min="11524" max="11526" width="16.85546875" style="2488" customWidth="1"/>
    <col min="11527" max="11776" width="11.42578125" style="2488"/>
    <col min="11777" max="11777" width="3.140625" style="2488" customWidth="1"/>
    <col min="11778" max="11778" width="43" style="2488" customWidth="1"/>
    <col min="11779" max="11779" width="13.42578125" style="2488" customWidth="1"/>
    <col min="11780" max="11782" width="16.85546875" style="2488" customWidth="1"/>
    <col min="11783" max="12032" width="11.42578125" style="2488"/>
    <col min="12033" max="12033" width="3.140625" style="2488" customWidth="1"/>
    <col min="12034" max="12034" width="43" style="2488" customWidth="1"/>
    <col min="12035" max="12035" width="13.42578125" style="2488" customWidth="1"/>
    <col min="12036" max="12038" width="16.85546875" style="2488" customWidth="1"/>
    <col min="12039" max="12288" width="11.42578125" style="2488"/>
    <col min="12289" max="12289" width="3.140625" style="2488" customWidth="1"/>
    <col min="12290" max="12290" width="43" style="2488" customWidth="1"/>
    <col min="12291" max="12291" width="13.42578125" style="2488" customWidth="1"/>
    <col min="12292" max="12294" width="16.85546875" style="2488" customWidth="1"/>
    <col min="12295" max="12544" width="11.42578125" style="2488"/>
    <col min="12545" max="12545" width="3.140625" style="2488" customWidth="1"/>
    <col min="12546" max="12546" width="43" style="2488" customWidth="1"/>
    <col min="12547" max="12547" width="13.42578125" style="2488" customWidth="1"/>
    <col min="12548" max="12550" width="16.85546875" style="2488" customWidth="1"/>
    <col min="12551" max="12800" width="11.42578125" style="2488"/>
    <col min="12801" max="12801" width="3.140625" style="2488" customWidth="1"/>
    <col min="12802" max="12802" width="43" style="2488" customWidth="1"/>
    <col min="12803" max="12803" width="13.42578125" style="2488" customWidth="1"/>
    <col min="12804" max="12806" width="16.85546875" style="2488" customWidth="1"/>
    <col min="12807" max="13056" width="11.42578125" style="2488"/>
    <col min="13057" max="13057" width="3.140625" style="2488" customWidth="1"/>
    <col min="13058" max="13058" width="43" style="2488" customWidth="1"/>
    <col min="13059" max="13059" width="13.42578125" style="2488" customWidth="1"/>
    <col min="13060" max="13062" width="16.85546875" style="2488" customWidth="1"/>
    <col min="13063" max="13312" width="11.42578125" style="2488"/>
    <col min="13313" max="13313" width="3.140625" style="2488" customWidth="1"/>
    <col min="13314" max="13314" width="43" style="2488" customWidth="1"/>
    <col min="13315" max="13315" width="13.42578125" style="2488" customWidth="1"/>
    <col min="13316" max="13318" width="16.85546875" style="2488" customWidth="1"/>
    <col min="13319" max="13568" width="11.42578125" style="2488"/>
    <col min="13569" max="13569" width="3.140625" style="2488" customWidth="1"/>
    <col min="13570" max="13570" width="43" style="2488" customWidth="1"/>
    <col min="13571" max="13571" width="13.42578125" style="2488" customWidth="1"/>
    <col min="13572" max="13574" width="16.85546875" style="2488" customWidth="1"/>
    <col min="13575" max="13824" width="11.42578125" style="2488"/>
    <col min="13825" max="13825" width="3.140625" style="2488" customWidth="1"/>
    <col min="13826" max="13826" width="43" style="2488" customWidth="1"/>
    <col min="13827" max="13827" width="13.42578125" style="2488" customWidth="1"/>
    <col min="13828" max="13830" width="16.85546875" style="2488" customWidth="1"/>
    <col min="13831" max="14080" width="11.42578125" style="2488"/>
    <col min="14081" max="14081" width="3.140625" style="2488" customWidth="1"/>
    <col min="14082" max="14082" width="43" style="2488" customWidth="1"/>
    <col min="14083" max="14083" width="13.42578125" style="2488" customWidth="1"/>
    <col min="14084" max="14086" width="16.85546875" style="2488" customWidth="1"/>
    <col min="14087" max="14336" width="11.42578125" style="2488"/>
    <col min="14337" max="14337" width="3.140625" style="2488" customWidth="1"/>
    <col min="14338" max="14338" width="43" style="2488" customWidth="1"/>
    <col min="14339" max="14339" width="13.42578125" style="2488" customWidth="1"/>
    <col min="14340" max="14342" width="16.85546875" style="2488" customWidth="1"/>
    <col min="14343" max="14592" width="11.42578125" style="2488"/>
    <col min="14593" max="14593" width="3.140625" style="2488" customWidth="1"/>
    <col min="14594" max="14594" width="43" style="2488" customWidth="1"/>
    <col min="14595" max="14595" width="13.42578125" style="2488" customWidth="1"/>
    <col min="14596" max="14598" width="16.85546875" style="2488" customWidth="1"/>
    <col min="14599" max="14848" width="11.42578125" style="2488"/>
    <col min="14849" max="14849" width="3.140625" style="2488" customWidth="1"/>
    <col min="14850" max="14850" width="43" style="2488" customWidth="1"/>
    <col min="14851" max="14851" width="13.42578125" style="2488" customWidth="1"/>
    <col min="14852" max="14854" width="16.85546875" style="2488" customWidth="1"/>
    <col min="14855" max="15104" width="11.42578125" style="2488"/>
    <col min="15105" max="15105" width="3.140625" style="2488" customWidth="1"/>
    <col min="15106" max="15106" width="43" style="2488" customWidth="1"/>
    <col min="15107" max="15107" width="13.42578125" style="2488" customWidth="1"/>
    <col min="15108" max="15110" width="16.85546875" style="2488" customWidth="1"/>
    <col min="15111" max="15360" width="11.42578125" style="2488"/>
    <col min="15361" max="15361" width="3.140625" style="2488" customWidth="1"/>
    <col min="15362" max="15362" width="43" style="2488" customWidth="1"/>
    <col min="15363" max="15363" width="13.42578125" style="2488" customWidth="1"/>
    <col min="15364" max="15366" width="16.85546875" style="2488" customWidth="1"/>
    <col min="15367" max="15616" width="11.42578125" style="2488"/>
    <col min="15617" max="15617" width="3.140625" style="2488" customWidth="1"/>
    <col min="15618" max="15618" width="43" style="2488" customWidth="1"/>
    <col min="15619" max="15619" width="13.42578125" style="2488" customWidth="1"/>
    <col min="15620" max="15622" width="16.85546875" style="2488" customWidth="1"/>
    <col min="15623" max="15872" width="11.42578125" style="2488"/>
    <col min="15873" max="15873" width="3.140625" style="2488" customWidth="1"/>
    <col min="15874" max="15874" width="43" style="2488" customWidth="1"/>
    <col min="15875" max="15875" width="13.42578125" style="2488" customWidth="1"/>
    <col min="15876" max="15878" width="16.85546875" style="2488" customWidth="1"/>
    <col min="15879" max="16128" width="11.42578125" style="2488"/>
    <col min="16129" max="16129" width="3.140625" style="2488" customWidth="1"/>
    <col min="16130" max="16130" width="43" style="2488" customWidth="1"/>
    <col min="16131" max="16131" width="13.42578125" style="2488" customWidth="1"/>
    <col min="16132" max="16134" width="16.85546875" style="2488" customWidth="1"/>
    <col min="16135" max="16384" width="11.42578125" style="2488"/>
  </cols>
  <sheetData>
    <row r="1" spans="2:7" ht="13.5" thickBot="1"/>
    <row r="2" spans="2:7" ht="21" thickBot="1">
      <c r="B2" s="2836" t="s">
        <v>1342</v>
      </c>
      <c r="C2" s="2837"/>
      <c r="D2" s="2837"/>
      <c r="E2" s="2837"/>
      <c r="F2" s="2838"/>
    </row>
    <row r="4" spans="2:7">
      <c r="B4" s="2488" t="s">
        <v>1614</v>
      </c>
      <c r="C4" s="2488" t="s">
        <v>1059</v>
      </c>
      <c r="E4" s="2488" t="s">
        <v>1794</v>
      </c>
      <c r="G4" s="2488" t="s">
        <v>1059</v>
      </c>
    </row>
    <row r="5" spans="2:7">
      <c r="B5" s="2488" t="s">
        <v>1615</v>
      </c>
      <c r="C5" s="2488" t="s">
        <v>1059</v>
      </c>
      <c r="E5" s="2488" t="s">
        <v>1795</v>
      </c>
    </row>
    <row r="6" spans="2:7">
      <c r="B6" s="2488" t="s">
        <v>1617</v>
      </c>
      <c r="C6" s="2488" t="s">
        <v>1059</v>
      </c>
      <c r="E6" s="2488" t="s">
        <v>1796</v>
      </c>
      <c r="G6" s="2488" t="s">
        <v>1059</v>
      </c>
    </row>
    <row r="7" spans="2:7">
      <c r="B7" s="2488" t="s">
        <v>1616</v>
      </c>
      <c r="C7" s="2488" t="s">
        <v>1059</v>
      </c>
      <c r="E7" s="2488" t="s">
        <v>1797</v>
      </c>
      <c r="G7" s="2488" t="s">
        <v>1059</v>
      </c>
    </row>
    <row r="8" spans="2:7">
      <c r="B8" s="2488" t="s">
        <v>1618</v>
      </c>
      <c r="C8" s="2488" t="s">
        <v>1059</v>
      </c>
      <c r="E8" s="2488" t="s">
        <v>1798</v>
      </c>
      <c r="G8" s="2488" t="s">
        <v>1059</v>
      </c>
    </row>
    <row r="9" spans="2:7">
      <c r="B9" s="2488" t="s">
        <v>1619</v>
      </c>
      <c r="C9" s="2488" t="s">
        <v>1059</v>
      </c>
      <c r="E9" s="2488" t="s">
        <v>1799</v>
      </c>
      <c r="G9" s="2488" t="s">
        <v>1059</v>
      </c>
    </row>
    <row r="10" spans="2:7">
      <c r="B10" s="2488" t="s">
        <v>1628</v>
      </c>
      <c r="C10" s="2488" t="s">
        <v>1059</v>
      </c>
      <c r="E10" s="2488" t="s">
        <v>1832</v>
      </c>
    </row>
    <row r="11" spans="2:7">
      <c r="B11" s="2488" t="s">
        <v>1620</v>
      </c>
      <c r="C11" s="2488" t="s">
        <v>1059</v>
      </c>
    </row>
    <row r="12" spans="2:7">
      <c r="B12" s="2488" t="s">
        <v>1621</v>
      </c>
      <c r="C12" s="2488" t="s">
        <v>1059</v>
      </c>
    </row>
    <row r="13" spans="2:7">
      <c r="B13" s="2488" t="s">
        <v>1622</v>
      </c>
      <c r="C13" s="2488" t="s">
        <v>1059</v>
      </c>
    </row>
    <row r="14" spans="2:7">
      <c r="B14" s="2488" t="s">
        <v>1623</v>
      </c>
      <c r="C14" s="2488" t="s">
        <v>1059</v>
      </c>
    </row>
    <row r="15" spans="2:7">
      <c r="B15" s="2488" t="s">
        <v>1627</v>
      </c>
      <c r="C15" s="2488" t="s">
        <v>1059</v>
      </c>
    </row>
    <row r="16" spans="2:7">
      <c r="B16" s="2488" t="s">
        <v>1624</v>
      </c>
      <c r="C16" s="2488" t="s">
        <v>1059</v>
      </c>
    </row>
    <row r="17" spans="2:8">
      <c r="B17" s="2488" t="s">
        <v>1625</v>
      </c>
      <c r="C17" s="2488" t="s">
        <v>1059</v>
      </c>
    </row>
    <row r="18" spans="2:8">
      <c r="B18" s="2488" t="s">
        <v>1626</v>
      </c>
      <c r="C18" s="2488" t="s">
        <v>1059</v>
      </c>
    </row>
    <row r="20" spans="2:8" ht="13.5" thickBot="1"/>
    <row r="21" spans="2:8">
      <c r="B21" s="2716" t="s">
        <v>1646</v>
      </c>
      <c r="C21" s="2717">
        <v>2016</v>
      </c>
      <c r="D21" s="2718">
        <v>2017</v>
      </c>
      <c r="E21" s="2719" t="s">
        <v>1652</v>
      </c>
      <c r="F21" s="2720">
        <v>2016</v>
      </c>
      <c r="G21" s="2718">
        <v>2017</v>
      </c>
      <c r="H21" s="2719" t="s">
        <v>1652</v>
      </c>
    </row>
    <row r="22" spans="2:8">
      <c r="B22" s="2714" t="s">
        <v>1647</v>
      </c>
      <c r="C22" s="2721">
        <f>-'Cuadro de Resultados'!D16-'Costo MKT y Comercialización'!I63*1000/'Tipo de cambio'!$D$9</f>
        <v>54032.083421448653</v>
      </c>
      <c r="D22" s="2722">
        <f>-'Cuadro de Resultados'!E16-'Costo MKT y Comercialización'!I63*1000/'Tipo de cambio'!$D$9</f>
        <v>179355.86834257629</v>
      </c>
      <c r="E22" s="2723">
        <f>-'Cuadro de Resultados'!F16-'Costo MKT y Comercialización'!K63*1000/'Tipo de cambio'!$D$9</f>
        <v>341179.33771284024</v>
      </c>
      <c r="F22" s="2727">
        <f>C22/C$31</f>
        <v>0.20924635951389098</v>
      </c>
      <c r="G22" s="2728">
        <f t="shared" ref="G22:H22" si="0">D22/D$31</f>
        <v>0.35246198703285092</v>
      </c>
      <c r="H22" s="2729">
        <f t="shared" si="0"/>
        <v>0.41812900604453535</v>
      </c>
    </row>
    <row r="23" spans="2:8">
      <c r="B23" s="2714" t="s">
        <v>1648</v>
      </c>
      <c r="C23" s="2721">
        <f>'Costo MKT y Comercialización'!I63*1000/'Tipo de cambio'!$D$9</f>
        <v>554.38892921348315</v>
      </c>
      <c r="D23" s="2722">
        <f>'Costo MKT y Comercialización'!J63*1000/'Tipo de cambio'!$D$9</f>
        <v>1826.172414606742</v>
      </c>
      <c r="E23" s="2723">
        <f>'Costo MKT y Comercialización'!K63*1000/'Tipo de cambio'!$D$9</f>
        <v>3498.6780662921356</v>
      </c>
      <c r="F23" s="2727">
        <f t="shared" ref="F23:F30" si="1">C23/C$31</f>
        <v>2.1469441459049214E-3</v>
      </c>
      <c r="G23" s="2728">
        <f t="shared" ref="G23:G30" si="2">D23/D$31</f>
        <v>3.5887108900583297E-3</v>
      </c>
      <c r="H23" s="2729">
        <f t="shared" ref="H23:H30" si="3">E23/E$31</f>
        <v>4.2877707429041989E-3</v>
      </c>
    </row>
    <row r="24" spans="2:8">
      <c r="B24" s="2714" t="s">
        <v>1649</v>
      </c>
      <c r="C24" s="2721">
        <f>'Costo MKT y Comercialización'!B40*1000/'Tipo de cambio'!$D$9</f>
        <v>39222.713980125001</v>
      </c>
      <c r="D24" s="2722">
        <f>'Costo MKT y Comercialización'!C40*1000/'Tipo de cambio'!$D$9</f>
        <v>130143.84921362935</v>
      </c>
      <c r="E24" s="2723">
        <f>'Costo MKT y Comercialización'!D40*1000/'Tipo de cambio'!$D$9</f>
        <v>249333.86000054359</v>
      </c>
      <c r="F24" s="2727">
        <f t="shared" si="1"/>
        <v>0.15189512583810172</v>
      </c>
      <c r="G24" s="2728">
        <f t="shared" si="2"/>
        <v>0.25575276748862602</v>
      </c>
      <c r="H24" s="2729">
        <f t="shared" si="3"/>
        <v>0.30556867761734635</v>
      </c>
    </row>
    <row r="25" spans="2:8">
      <c r="B25" s="2714" t="s">
        <v>1627</v>
      </c>
      <c r="C25" s="2721">
        <f>'Gastos Generales'!G16/'Tipo de cambio'!$D$9-'Gastos Generales'!C12*6/'Tipo de cambio'!$D$9</f>
        <v>33573.033707865172</v>
      </c>
      <c r="D25" s="2722">
        <f>'Gastos Generales'!G16/'Tipo de cambio'!$D$9</f>
        <v>47056.1797752809</v>
      </c>
      <c r="E25" s="2723">
        <f>D25</f>
        <v>47056.1797752809</v>
      </c>
      <c r="F25" s="2727">
        <f t="shared" si="1"/>
        <v>0.13001599487498694</v>
      </c>
      <c r="G25" s="2728">
        <f t="shared" si="2"/>
        <v>9.2472662194089006E-2</v>
      </c>
      <c r="H25" s="2729">
        <f t="shared" si="3"/>
        <v>5.7669241665072507E-2</v>
      </c>
    </row>
    <row r="26" spans="2:8">
      <c r="B26" s="2714" t="s">
        <v>1549</v>
      </c>
      <c r="C26" s="2721">
        <f>'Costo logístico'!L24/'Tipo de cambio'!$D$9</f>
        <v>1910.1820109147486</v>
      </c>
      <c r="D26" s="2722">
        <f>'Costo logístico'!M24/'Tipo de cambio'!$D$9</f>
        <v>5617.3262998789332</v>
      </c>
      <c r="E26" s="2723">
        <f>'Costo logístico'!N24/'Tipo de cambio'!$D$9</f>
        <v>10147.527448510684</v>
      </c>
      <c r="F26" s="2727">
        <f t="shared" si="1"/>
        <v>7.3974314237560887E-3</v>
      </c>
      <c r="G26" s="2728">
        <f t="shared" si="2"/>
        <v>1.1038913907659553E-2</v>
      </c>
      <c r="H26" s="2729">
        <f t="shared" si="3"/>
        <v>1.2436203183636488E-2</v>
      </c>
    </row>
    <row r="27" spans="2:8">
      <c r="B27" s="2714" t="s">
        <v>1552</v>
      </c>
      <c r="C27" s="2721">
        <f>'Costo logístico'!B43</f>
        <v>19800</v>
      </c>
      <c r="D27" s="2722">
        <f>'Costo logístico'!C43/'Tipo de cambio'!$D$9</f>
        <v>5662.9213483146068</v>
      </c>
      <c r="E27" s="2723">
        <f>'Costo logístico'!D43/'Tipo de cambio'!$D$9</f>
        <v>7280.8988764044943</v>
      </c>
      <c r="F27" s="2727">
        <f t="shared" si="1"/>
        <v>7.667810782085073E-2</v>
      </c>
      <c r="G27" s="2728">
        <f t="shared" si="2"/>
        <v>1.1128515221065153E-2</v>
      </c>
      <c r="H27" s="2729">
        <f t="shared" si="3"/>
        <v>8.9230345269739695E-3</v>
      </c>
    </row>
    <row r="28" spans="2:8">
      <c r="B28" s="2714" t="s">
        <v>1425</v>
      </c>
      <c r="C28" s="2721">
        <f>'Personal '!G19/'Tipo de cambio'!$D$9</f>
        <v>95730.337078651675</v>
      </c>
      <c r="D28" s="2722">
        <f>'Personal '!G29/'Tipo de cambio'!$D$9</f>
        <v>111910.11235955056</v>
      </c>
      <c r="E28" s="2723">
        <f>D28</f>
        <v>111910.11235955056</v>
      </c>
      <c r="F28" s="2727">
        <f t="shared" si="1"/>
        <v>0.37072833880016354</v>
      </c>
      <c r="G28" s="2728">
        <f t="shared" si="2"/>
        <v>0.21992065794009705</v>
      </c>
      <c r="H28" s="2729">
        <f t="shared" si="3"/>
        <v>0.13715034550719249</v>
      </c>
    </row>
    <row r="29" spans="2:8">
      <c r="B29" s="2714" t="s">
        <v>1650</v>
      </c>
      <c r="C29" s="2721">
        <f>'Costo MKT y Comercialización'!I81*1000/'Tipo de cambio'!$D$9</f>
        <v>6051.5933432022493</v>
      </c>
      <c r="D29" s="2722">
        <f>'Costo MKT y Comercialización'!J81*1000/'Tipo de cambio'!$D$9</f>
        <v>19945.417504004501</v>
      </c>
      <c r="E29" s="2723">
        <f>'Costo MKT y Comercialización'!K81*1000/'Tipo de cambio'!$D$9</f>
        <v>38212.085823838104</v>
      </c>
      <c r="F29" s="2727">
        <f t="shared" si="1"/>
        <v>2.3435592265555787E-2</v>
      </c>
      <c r="G29" s="2728">
        <f t="shared" si="2"/>
        <v>3.9195826435038481E-2</v>
      </c>
      <c r="H29" s="2729">
        <f t="shared" si="3"/>
        <v>4.6830448676987955E-2</v>
      </c>
    </row>
    <row r="30" spans="2:8">
      <c r="B30" s="2714" t="s">
        <v>1651</v>
      </c>
      <c r="C30" s="2721">
        <f>Inversión!H19/'Tipo de cambio'!$D$9</f>
        <v>7348.0019432510771</v>
      </c>
      <c r="D30" s="2722">
        <f>C30</f>
        <v>7348.0019432510771</v>
      </c>
      <c r="E30" s="2723">
        <f>D30</f>
        <v>7348.0019432510771</v>
      </c>
      <c r="F30" s="2727">
        <f t="shared" si="1"/>
        <v>2.8456105316789233E-2</v>
      </c>
      <c r="G30" s="2728">
        <f t="shared" si="2"/>
        <v>1.443995889051557E-2</v>
      </c>
      <c r="H30" s="2729">
        <f t="shared" si="3"/>
        <v>9.0052720353506251E-3</v>
      </c>
    </row>
    <row r="31" spans="2:8" ht="13.5" thickBot="1">
      <c r="B31" s="2715" t="s">
        <v>176</v>
      </c>
      <c r="C31" s="2724">
        <f>SUM(C22:C30)</f>
        <v>258222.33441467208</v>
      </c>
      <c r="D31" s="2725">
        <f t="shared" ref="D31:E31" si="4">SUM(D22:D30)</f>
        <v>508865.8492010929</v>
      </c>
      <c r="E31" s="2726">
        <f t="shared" si="4"/>
        <v>815966.68200651184</v>
      </c>
      <c r="F31" s="2730">
        <f t="shared" ref="F31" si="5">C31/C$31</f>
        <v>1</v>
      </c>
      <c r="G31" s="2731">
        <f t="shared" ref="G31" si="6">D31/D$31</f>
        <v>1</v>
      </c>
      <c r="H31" s="2732">
        <f t="shared" ref="H31" si="7">E31/E$31</f>
        <v>1</v>
      </c>
    </row>
    <row r="34" spans="2:2">
      <c r="B34" s="2734"/>
    </row>
  </sheetData>
  <mergeCells count="1">
    <mergeCell ref="B2:F2"/>
  </mergeCells>
  <pageMargins left="0.17" right="0.17" top="1" bottom="1" header="0" footer="0"/>
  <pageSetup paperSize="9" scale="90" orientation="portrait" r:id="rId1"/>
  <headerFooter alignWithMargins="0"/>
</worksheet>
</file>

<file path=xl/worksheets/sheet7.xml><?xml version="1.0" encoding="utf-8"?>
<worksheet xmlns="http://schemas.openxmlformats.org/spreadsheetml/2006/main" xmlns:r="http://schemas.openxmlformats.org/officeDocument/2006/relationships">
  <dimension ref="A1:N64"/>
  <sheetViews>
    <sheetView showGridLines="0" topLeftCell="A62" workbookViewId="0">
      <selection activeCell="J68" sqref="J68"/>
    </sheetView>
  </sheetViews>
  <sheetFormatPr baseColWidth="10" defaultRowHeight="12.75"/>
  <cols>
    <col min="1" max="1" width="23" customWidth="1"/>
    <col min="2" max="3" width="14.5703125" customWidth="1"/>
    <col min="6" max="6" width="16.42578125" customWidth="1"/>
    <col min="8" max="8" width="13.85546875" customWidth="1"/>
    <col min="12" max="12" width="14.140625" customWidth="1"/>
  </cols>
  <sheetData>
    <row r="1" spans="1:9">
      <c r="A1" s="2609" t="s">
        <v>1834</v>
      </c>
      <c r="C1" s="2776">
        <v>42122</v>
      </c>
      <c r="F1" s="2642"/>
      <c r="I1" s="2642">
        <v>4</v>
      </c>
    </row>
    <row r="2" spans="1:9">
      <c r="A2" s="2609" t="s">
        <v>1835</v>
      </c>
      <c r="C2" s="2776">
        <v>42124</v>
      </c>
      <c r="D2" s="2609" t="s">
        <v>1833</v>
      </c>
    </row>
    <row r="4" spans="1:9">
      <c r="A4" s="2642" t="s">
        <v>1905</v>
      </c>
    </row>
    <row r="6" spans="1:9">
      <c r="A6" s="2804" t="s">
        <v>1906</v>
      </c>
      <c r="B6" s="2806" t="s">
        <v>1912</v>
      </c>
      <c r="C6" s="2806" t="s">
        <v>1916</v>
      </c>
      <c r="D6" s="2806" t="s">
        <v>1918</v>
      </c>
      <c r="E6" s="2806" t="s">
        <v>1919</v>
      </c>
      <c r="F6" s="2815" t="s">
        <v>1920</v>
      </c>
      <c r="G6" s="2806" t="s">
        <v>1921</v>
      </c>
      <c r="H6" s="2806" t="s">
        <v>1922</v>
      </c>
    </row>
    <row r="7" spans="1:9">
      <c r="A7" s="2690" t="s">
        <v>1907</v>
      </c>
      <c r="B7" s="2691">
        <v>0.3</v>
      </c>
      <c r="C7" s="2670">
        <v>1</v>
      </c>
      <c r="D7" s="2670">
        <v>3</v>
      </c>
      <c r="E7" s="2670">
        <v>2</v>
      </c>
      <c r="F7" s="2670">
        <v>3</v>
      </c>
      <c r="G7" s="2670">
        <v>3</v>
      </c>
      <c r="H7" s="2670">
        <v>5</v>
      </c>
    </row>
    <row r="8" spans="1:9">
      <c r="A8" s="2690" t="s">
        <v>1908</v>
      </c>
      <c r="B8" s="2691">
        <v>0.1</v>
      </c>
      <c r="C8" s="2670">
        <v>4</v>
      </c>
      <c r="D8" s="2670">
        <v>5</v>
      </c>
      <c r="E8" s="2670">
        <v>2</v>
      </c>
      <c r="F8" s="2670">
        <v>5</v>
      </c>
      <c r="G8" s="2670">
        <v>5</v>
      </c>
      <c r="H8" s="2670">
        <v>5</v>
      </c>
    </row>
    <row r="9" spans="1:9">
      <c r="A9" s="2690" t="s">
        <v>1909</v>
      </c>
      <c r="B9" s="2691">
        <v>0.15</v>
      </c>
      <c r="C9" s="2670">
        <v>5</v>
      </c>
      <c r="D9" s="2670">
        <v>4</v>
      </c>
      <c r="E9" s="2670">
        <v>4</v>
      </c>
      <c r="F9" s="2670">
        <v>3</v>
      </c>
      <c r="G9" s="2670">
        <v>3</v>
      </c>
      <c r="H9" s="2670">
        <v>1</v>
      </c>
    </row>
    <row r="10" spans="1:9">
      <c r="A10" s="2690" t="s">
        <v>1913</v>
      </c>
      <c r="B10" s="2691">
        <v>0.05</v>
      </c>
      <c r="C10" s="2670">
        <v>5</v>
      </c>
      <c r="D10" s="2670">
        <v>3</v>
      </c>
      <c r="E10" s="2670">
        <v>4</v>
      </c>
      <c r="F10" s="2670">
        <v>4</v>
      </c>
      <c r="G10" s="2670">
        <v>2</v>
      </c>
      <c r="H10" s="2670">
        <v>1</v>
      </c>
    </row>
    <row r="11" spans="1:9">
      <c r="A11" s="2690" t="s">
        <v>1910</v>
      </c>
      <c r="B11" s="2691">
        <v>0.15</v>
      </c>
      <c r="C11" s="2670">
        <v>5</v>
      </c>
      <c r="D11" s="2670">
        <v>4</v>
      </c>
      <c r="E11" s="2670">
        <v>4</v>
      </c>
      <c r="F11" s="2670">
        <v>2</v>
      </c>
      <c r="G11" s="2670">
        <v>4</v>
      </c>
      <c r="H11" s="2670">
        <v>1</v>
      </c>
    </row>
    <row r="12" spans="1:9">
      <c r="A12" s="2690" t="s">
        <v>1915</v>
      </c>
      <c r="B12" s="2691">
        <v>0.25</v>
      </c>
      <c r="C12" s="2670">
        <v>3</v>
      </c>
      <c r="D12" s="2670">
        <v>3</v>
      </c>
      <c r="E12" s="2670">
        <v>5</v>
      </c>
      <c r="F12" s="2670">
        <v>4</v>
      </c>
      <c r="G12" s="2670">
        <v>1</v>
      </c>
      <c r="H12" s="2670">
        <v>1</v>
      </c>
    </row>
    <row r="13" spans="1:9">
      <c r="A13" s="2816" t="s">
        <v>1911</v>
      </c>
      <c r="B13" s="2817">
        <f>SUM(B7:B12)</f>
        <v>1</v>
      </c>
      <c r="C13" s="2820">
        <f t="shared" ref="C13:H13" si="0">SUMPRODUCT($B$7:$B$12,C7:C12)</f>
        <v>3.2</v>
      </c>
      <c r="D13" s="2820">
        <f t="shared" si="0"/>
        <v>3.5</v>
      </c>
      <c r="E13" s="2818">
        <f t="shared" si="0"/>
        <v>3.4499999999999997</v>
      </c>
      <c r="F13" s="2819">
        <f t="shared" si="0"/>
        <v>3.3499999999999996</v>
      </c>
      <c r="G13" s="2820">
        <f t="shared" si="0"/>
        <v>2.8</v>
      </c>
      <c r="H13" s="2820">
        <f t="shared" si="0"/>
        <v>2.5999999999999996</v>
      </c>
    </row>
    <row r="14" spans="1:9">
      <c r="A14" s="2609"/>
    </row>
    <row r="15" spans="1:9">
      <c r="A15" s="2609" t="s">
        <v>1917</v>
      </c>
    </row>
    <row r="16" spans="1:9">
      <c r="A16" s="2609" t="s">
        <v>1907</v>
      </c>
      <c r="B16">
        <v>2.2999999999999998</v>
      </c>
    </row>
    <row r="17" spans="1:14">
      <c r="A17" s="2609" t="s">
        <v>1914</v>
      </c>
      <c r="B17">
        <v>2</v>
      </c>
    </row>
    <row r="18" spans="1:14">
      <c r="A18" s="2609" t="s">
        <v>1910</v>
      </c>
      <c r="B18">
        <v>1.7</v>
      </c>
      <c r="G18" s="2642"/>
      <c r="I18" s="2642" t="s">
        <v>1925</v>
      </c>
      <c r="J18" s="2642" t="s">
        <v>1923</v>
      </c>
      <c r="K18" s="2642" t="s">
        <v>1492</v>
      </c>
      <c r="L18" s="2642" t="s">
        <v>1470</v>
      </c>
      <c r="M18" s="2642" t="s">
        <v>1469</v>
      </c>
      <c r="N18" s="2609"/>
    </row>
    <row r="19" spans="1:14">
      <c r="I19" s="2803">
        <v>1</v>
      </c>
      <c r="J19" s="2609" t="s">
        <v>1926</v>
      </c>
      <c r="K19" s="2609" t="s">
        <v>1930</v>
      </c>
      <c r="L19" s="2609" t="s">
        <v>1934</v>
      </c>
      <c r="M19" s="2609" t="s">
        <v>1938</v>
      </c>
    </row>
    <row r="20" spans="1:14">
      <c r="I20" s="2803">
        <v>2</v>
      </c>
      <c r="J20" s="2609" t="s">
        <v>1927</v>
      </c>
      <c r="K20" s="2609" t="s">
        <v>1931</v>
      </c>
      <c r="L20" s="2609" t="s">
        <v>1935</v>
      </c>
      <c r="M20" s="2609" t="s">
        <v>1939</v>
      </c>
    </row>
    <row r="21" spans="1:14">
      <c r="I21" s="2803">
        <v>3</v>
      </c>
      <c r="J21" s="2609" t="s">
        <v>1928</v>
      </c>
      <c r="K21" s="2609" t="s">
        <v>1932</v>
      </c>
      <c r="L21" s="2609" t="s">
        <v>1936</v>
      </c>
      <c r="M21" s="2609" t="s">
        <v>1940</v>
      </c>
    </row>
    <row r="22" spans="1:14">
      <c r="I22" s="2803">
        <v>4</v>
      </c>
      <c r="J22" s="2609" t="s">
        <v>1929</v>
      </c>
      <c r="K22" s="2609" t="s">
        <v>1933</v>
      </c>
      <c r="L22" s="2609" t="s">
        <v>1937</v>
      </c>
      <c r="M22" s="2609" t="s">
        <v>1941</v>
      </c>
    </row>
    <row r="23" spans="1:14">
      <c r="I23" s="2803">
        <v>5</v>
      </c>
      <c r="J23" s="2609" t="s">
        <v>1946</v>
      </c>
      <c r="K23" s="2609" t="s">
        <v>1947</v>
      </c>
      <c r="L23" s="2609" t="s">
        <v>1948</v>
      </c>
      <c r="M23" s="2609" t="s">
        <v>1949</v>
      </c>
    </row>
    <row r="25" spans="1:14">
      <c r="I25" s="2821" t="s">
        <v>1924</v>
      </c>
      <c r="J25" s="2822" t="s">
        <v>1923</v>
      </c>
      <c r="K25" s="2822" t="s">
        <v>1492</v>
      </c>
      <c r="L25" s="2822" t="s">
        <v>1470</v>
      </c>
      <c r="M25" s="2822" t="s">
        <v>1469</v>
      </c>
      <c r="N25" s="2609"/>
    </row>
    <row r="26" spans="1:14">
      <c r="H26" s="2609" t="s">
        <v>1942</v>
      </c>
      <c r="I26" s="2670">
        <v>1</v>
      </c>
      <c r="J26" s="2823" t="s">
        <v>1928</v>
      </c>
      <c r="K26" s="2823" t="s">
        <v>1932</v>
      </c>
      <c r="L26" s="2823" t="s">
        <v>1937</v>
      </c>
      <c r="M26" s="2823" t="s">
        <v>1939</v>
      </c>
      <c r="N26" s="2803"/>
    </row>
    <row r="27" spans="1:14">
      <c r="H27" s="2609" t="s">
        <v>1943</v>
      </c>
      <c r="I27" s="2670">
        <v>2</v>
      </c>
      <c r="J27" s="2823" t="s">
        <v>1928</v>
      </c>
      <c r="K27" s="2823" t="s">
        <v>1933</v>
      </c>
      <c r="L27" s="2823" t="s">
        <v>1948</v>
      </c>
      <c r="M27" s="2823" t="s">
        <v>1940</v>
      </c>
      <c r="N27" s="2803"/>
    </row>
    <row r="28" spans="1:14">
      <c r="H28" s="2609" t="s">
        <v>1945</v>
      </c>
      <c r="I28" s="2670">
        <v>3</v>
      </c>
      <c r="J28" s="2823" t="s">
        <v>1928</v>
      </c>
      <c r="K28" s="2823" t="s">
        <v>1932</v>
      </c>
      <c r="L28" s="2823" t="s">
        <v>1936</v>
      </c>
      <c r="M28" s="2823" t="s">
        <v>1940</v>
      </c>
      <c r="N28" s="2803"/>
    </row>
    <row r="29" spans="1:14">
      <c r="H29" s="2609" t="s">
        <v>1951</v>
      </c>
      <c r="I29" s="2670">
        <v>4</v>
      </c>
      <c r="J29" s="2823" t="s">
        <v>1927</v>
      </c>
      <c r="K29" s="2823" t="s">
        <v>1932</v>
      </c>
      <c r="L29" s="2823" t="s">
        <v>1936</v>
      </c>
      <c r="M29" s="2823" t="s">
        <v>1939</v>
      </c>
      <c r="N29" s="2803"/>
    </row>
    <row r="30" spans="1:14">
      <c r="H30" s="2609" t="s">
        <v>1950</v>
      </c>
      <c r="I30" s="2670">
        <v>5</v>
      </c>
      <c r="J30" s="2823" t="s">
        <v>1946</v>
      </c>
      <c r="K30" s="2823" t="s">
        <v>1933</v>
      </c>
      <c r="L30" s="2823" t="s">
        <v>1936</v>
      </c>
      <c r="M30" s="2823" t="s">
        <v>1939</v>
      </c>
      <c r="N30" s="2803"/>
    </row>
    <row r="31" spans="1:14">
      <c r="H31" s="2609" t="s">
        <v>1952</v>
      </c>
      <c r="I31" s="2670">
        <v>6</v>
      </c>
      <c r="J31" s="2823" t="s">
        <v>1927</v>
      </c>
      <c r="K31" s="2823" t="s">
        <v>1947</v>
      </c>
      <c r="L31" s="2823" t="s">
        <v>1935</v>
      </c>
      <c r="M31" s="2823" t="s">
        <v>1939</v>
      </c>
      <c r="N31" s="2803"/>
    </row>
    <row r="32" spans="1:14">
      <c r="H32" s="2609" t="s">
        <v>1953</v>
      </c>
      <c r="I32" s="2670">
        <v>7</v>
      </c>
      <c r="J32" s="2823" t="s">
        <v>1926</v>
      </c>
      <c r="K32" s="2823" t="s">
        <v>1933</v>
      </c>
      <c r="L32" s="2823" t="s">
        <v>1934</v>
      </c>
      <c r="M32" s="2823" t="s">
        <v>1939</v>
      </c>
      <c r="N32" s="2803"/>
    </row>
    <row r="33" spans="8:14">
      <c r="H33" s="2609" t="s">
        <v>1954</v>
      </c>
      <c r="I33" s="2670">
        <v>8</v>
      </c>
      <c r="J33" s="2823" t="s">
        <v>1927</v>
      </c>
      <c r="K33" s="2823" t="s">
        <v>1930</v>
      </c>
      <c r="L33" s="2823" t="s">
        <v>1935</v>
      </c>
      <c r="M33" s="2823" t="s">
        <v>1939</v>
      </c>
      <c r="N33" s="2803"/>
    </row>
    <row r="34" spans="8:14">
      <c r="H34" s="2609" t="s">
        <v>1955</v>
      </c>
      <c r="I34" s="2670">
        <v>9</v>
      </c>
      <c r="J34" s="2823" t="s">
        <v>1927</v>
      </c>
      <c r="K34" s="2823" t="s">
        <v>1932</v>
      </c>
      <c r="L34" s="2823" t="s">
        <v>1936</v>
      </c>
      <c r="M34" s="2823" t="s">
        <v>1939</v>
      </c>
      <c r="N34" s="2803"/>
    </row>
    <row r="35" spans="8:14">
      <c r="H35" s="2609" t="s">
        <v>1944</v>
      </c>
      <c r="I35" s="2670">
        <v>10</v>
      </c>
      <c r="J35" s="2823" t="s">
        <v>1928</v>
      </c>
      <c r="K35" s="2823" t="s">
        <v>1933</v>
      </c>
      <c r="L35" s="2823" t="s">
        <v>1948</v>
      </c>
      <c r="M35" s="2823" t="s">
        <v>1940</v>
      </c>
    </row>
    <row r="36" spans="8:14">
      <c r="H36" s="2609"/>
      <c r="I36" s="2803"/>
    </row>
    <row r="37" spans="8:14">
      <c r="H37" s="2609"/>
      <c r="I37" s="2803"/>
    </row>
    <row r="38" spans="8:14">
      <c r="H38" s="2609"/>
      <c r="I38" s="2821" t="s">
        <v>1956</v>
      </c>
      <c r="J38" s="2822" t="s">
        <v>1923</v>
      </c>
      <c r="K38" s="2822" t="s">
        <v>1492</v>
      </c>
      <c r="L38" s="2822" t="s">
        <v>1470</v>
      </c>
      <c r="M38" s="2822" t="s">
        <v>1469</v>
      </c>
    </row>
    <row r="39" spans="8:14">
      <c r="I39" s="2657">
        <v>1</v>
      </c>
      <c r="J39" s="2609" t="s">
        <v>1926</v>
      </c>
      <c r="K39" s="2609" t="s">
        <v>1930</v>
      </c>
      <c r="L39" s="2609" t="s">
        <v>1934</v>
      </c>
      <c r="M39" s="2609" t="s">
        <v>1938</v>
      </c>
    </row>
    <row r="40" spans="8:14">
      <c r="I40" s="2657">
        <v>0.9</v>
      </c>
      <c r="J40" s="2609" t="s">
        <v>1927</v>
      </c>
      <c r="K40" s="2609" t="s">
        <v>1931</v>
      </c>
      <c r="L40" s="2609" t="s">
        <v>1935</v>
      </c>
      <c r="M40" s="2609" t="s">
        <v>1939</v>
      </c>
    </row>
    <row r="41" spans="8:14">
      <c r="I41" s="2657">
        <v>0.5</v>
      </c>
      <c r="J41" s="2609" t="s">
        <v>1928</v>
      </c>
      <c r="K41" s="2609" t="s">
        <v>1932</v>
      </c>
      <c r="L41" s="2609" t="s">
        <v>1936</v>
      </c>
      <c r="M41" s="2609" t="s">
        <v>1940</v>
      </c>
    </row>
    <row r="42" spans="8:14">
      <c r="I42" s="2657">
        <v>0.1</v>
      </c>
      <c r="J42" s="2609" t="s">
        <v>1929</v>
      </c>
      <c r="K42" s="2609" t="s">
        <v>1933</v>
      </c>
      <c r="L42" s="2609" t="s">
        <v>1937</v>
      </c>
      <c r="M42" s="2609" t="s">
        <v>1941</v>
      </c>
    </row>
    <row r="43" spans="8:14">
      <c r="I43" s="2824">
        <v>0.1</v>
      </c>
      <c r="J43" s="2609" t="s">
        <v>1946</v>
      </c>
      <c r="K43" s="2609" t="s">
        <v>1947</v>
      </c>
      <c r="L43" s="2609" t="s">
        <v>1948</v>
      </c>
      <c r="M43" s="2609" t="s">
        <v>1949</v>
      </c>
    </row>
    <row r="45" spans="8:14">
      <c r="I45" s="2821" t="s">
        <v>1957</v>
      </c>
      <c r="J45" s="2822" t="s">
        <v>1492</v>
      </c>
    </row>
    <row r="46" spans="8:14">
      <c r="I46" s="2657">
        <v>1</v>
      </c>
      <c r="J46" s="2609" t="s">
        <v>1930</v>
      </c>
    </row>
    <row r="47" spans="8:14">
      <c r="I47" s="2657">
        <v>0.8</v>
      </c>
      <c r="J47" s="2609" t="s">
        <v>1931</v>
      </c>
    </row>
    <row r="48" spans="8:14">
      <c r="I48" s="2657">
        <v>0.8</v>
      </c>
      <c r="J48" s="2609" t="s">
        <v>1932</v>
      </c>
    </row>
    <row r="49" spans="9:10">
      <c r="I49" s="2657">
        <v>0.5</v>
      </c>
      <c r="J49" s="2609" t="s">
        <v>1933</v>
      </c>
    </row>
    <row r="50" spans="9:10">
      <c r="I50" s="2824">
        <v>0.1</v>
      </c>
      <c r="J50" s="2609" t="s">
        <v>1947</v>
      </c>
    </row>
    <row r="52" spans="9:10">
      <c r="I52" s="2821" t="s">
        <v>1958</v>
      </c>
      <c r="J52" s="2822" t="s">
        <v>1470</v>
      </c>
    </row>
    <row r="53" spans="9:10">
      <c r="I53" s="2657">
        <v>1</v>
      </c>
      <c r="J53" s="2609" t="s">
        <v>1934</v>
      </c>
    </row>
    <row r="54" spans="9:10">
      <c r="I54" s="2657">
        <v>0.9</v>
      </c>
      <c r="J54" s="2609" t="s">
        <v>1935</v>
      </c>
    </row>
    <row r="55" spans="9:10">
      <c r="I55" s="2657">
        <v>0.7</v>
      </c>
      <c r="J55" s="2609" t="s">
        <v>1936</v>
      </c>
    </row>
    <row r="56" spans="9:10">
      <c r="I56" s="2657">
        <v>0.3</v>
      </c>
      <c r="J56" s="2609" t="s">
        <v>1937</v>
      </c>
    </row>
    <row r="57" spans="9:10">
      <c r="I57" s="2824">
        <v>0.2</v>
      </c>
      <c r="J57" s="2609" t="s">
        <v>1948</v>
      </c>
    </row>
    <row r="59" spans="9:10">
      <c r="I59" s="2821" t="s">
        <v>1959</v>
      </c>
      <c r="J59" s="2822" t="s">
        <v>1469</v>
      </c>
    </row>
    <row r="60" spans="9:10">
      <c r="I60" s="2657">
        <v>1</v>
      </c>
      <c r="J60" s="2609" t="s">
        <v>1938</v>
      </c>
    </row>
    <row r="61" spans="9:10">
      <c r="I61" s="2657">
        <v>1</v>
      </c>
      <c r="J61" s="2609" t="s">
        <v>1939</v>
      </c>
    </row>
    <row r="62" spans="9:10">
      <c r="I62" s="2657">
        <v>0.3</v>
      </c>
      <c r="J62" s="2609" t="s">
        <v>1940</v>
      </c>
    </row>
    <row r="63" spans="9:10">
      <c r="I63" s="2657">
        <v>0</v>
      </c>
      <c r="J63" s="2609" t="s">
        <v>1941</v>
      </c>
    </row>
    <row r="64" spans="9:10">
      <c r="I64" s="2824">
        <v>0</v>
      </c>
      <c r="J64" s="2609" t="s">
        <v>1949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V27"/>
  <sheetViews>
    <sheetView showGridLines="0" workbookViewId="0"/>
  </sheetViews>
  <sheetFormatPr baseColWidth="10" defaultRowHeight="12.75"/>
  <cols>
    <col min="12" max="12" width="10.5703125" customWidth="1"/>
    <col min="16" max="16" width="13.140625" customWidth="1"/>
    <col min="17" max="17" width="10.42578125" customWidth="1"/>
    <col min="18" max="18" width="11.28515625" customWidth="1"/>
    <col min="19" max="19" width="18.140625" customWidth="1"/>
    <col min="21" max="21" width="9.42578125" customWidth="1"/>
  </cols>
  <sheetData>
    <row r="1" spans="1:22">
      <c r="C1" s="2840" t="s">
        <v>1876</v>
      </c>
      <c r="D1" s="2840" t="s">
        <v>1877</v>
      </c>
      <c r="E1" s="2840" t="s">
        <v>1878</v>
      </c>
      <c r="F1" s="2840" t="s">
        <v>1879</v>
      </c>
      <c r="G1" s="2840" t="s">
        <v>1880</v>
      </c>
      <c r="H1" s="2840" t="s">
        <v>1881</v>
      </c>
      <c r="Q1" s="2839" t="s">
        <v>1883</v>
      </c>
      <c r="R1" s="2839"/>
      <c r="S1" s="2839" t="s">
        <v>1884</v>
      </c>
      <c r="T1" s="2839"/>
      <c r="U1" s="2839" t="s">
        <v>1882</v>
      </c>
      <c r="V1" s="2839"/>
    </row>
    <row r="2" spans="1:22">
      <c r="C2" s="2841"/>
      <c r="D2" s="2841"/>
      <c r="E2" s="2841"/>
      <c r="F2" s="2841"/>
      <c r="G2" s="2841"/>
      <c r="H2" s="2841"/>
      <c r="O2" s="2609"/>
      <c r="P2" s="2804" t="s">
        <v>1903</v>
      </c>
      <c r="Q2" s="2804" t="s">
        <v>1894</v>
      </c>
      <c r="R2" s="2804" t="s">
        <v>1897</v>
      </c>
      <c r="S2" s="2804" t="s">
        <v>1894</v>
      </c>
      <c r="T2" s="2804" t="s">
        <v>1897</v>
      </c>
      <c r="U2" s="2804" t="s">
        <v>1894</v>
      </c>
      <c r="V2" s="2804" t="s">
        <v>1897</v>
      </c>
    </row>
    <row r="3" spans="1:22" ht="26.25" customHeight="1">
      <c r="A3" s="2842" t="s">
        <v>1851</v>
      </c>
      <c r="B3" s="2842"/>
      <c r="C3" s="2794">
        <v>3147638</v>
      </c>
      <c r="D3" s="2794">
        <v>9910282</v>
      </c>
      <c r="E3" s="2794">
        <v>4826994</v>
      </c>
      <c r="F3" s="2794">
        <v>5083288</v>
      </c>
      <c r="G3" s="2795">
        <v>95</v>
      </c>
      <c r="H3" s="2793"/>
      <c r="J3" s="2812" t="s">
        <v>1904</v>
      </c>
      <c r="K3" s="2812" t="s">
        <v>1885</v>
      </c>
      <c r="L3" s="2811" t="s">
        <v>1886</v>
      </c>
      <c r="M3" s="2812" t="s">
        <v>1901</v>
      </c>
      <c r="N3" s="2810" t="s">
        <v>1891</v>
      </c>
      <c r="O3" s="2609"/>
      <c r="P3" s="2690" t="s">
        <v>1890</v>
      </c>
      <c r="Q3" s="2802">
        <v>0.06</v>
      </c>
      <c r="R3" s="2802">
        <v>0.19</v>
      </c>
      <c r="S3" s="2802">
        <v>0.2</v>
      </c>
      <c r="T3" s="2802">
        <v>0.4</v>
      </c>
      <c r="U3" s="2802">
        <v>0</v>
      </c>
      <c r="V3" s="2802">
        <v>0.36</v>
      </c>
    </row>
    <row r="4" spans="1:22">
      <c r="A4" s="2796"/>
      <c r="B4" s="2796" t="s">
        <v>1882</v>
      </c>
      <c r="C4" s="2797" t="s">
        <v>1852</v>
      </c>
      <c r="D4" s="2798">
        <v>163993</v>
      </c>
      <c r="E4" s="2799">
        <v>555731</v>
      </c>
      <c r="F4" s="2799">
        <v>272411</v>
      </c>
      <c r="G4" s="2799">
        <v>283320</v>
      </c>
      <c r="H4" s="2800">
        <v>96.1</v>
      </c>
      <c r="J4" s="2690" t="s">
        <v>1433</v>
      </c>
      <c r="K4" s="2808">
        <f>SUM(K5:K7)</f>
        <v>3147638</v>
      </c>
      <c r="L4" s="2809"/>
      <c r="M4" s="2756"/>
      <c r="N4" s="2813"/>
      <c r="O4" s="2609"/>
      <c r="P4" s="2690" t="s">
        <v>1892</v>
      </c>
      <c r="Q4" s="2802">
        <v>0.55000000000000004</v>
      </c>
      <c r="R4" s="2802">
        <v>0.62</v>
      </c>
      <c r="S4" s="2802">
        <v>0.8</v>
      </c>
      <c r="T4" s="2802">
        <v>0.6</v>
      </c>
      <c r="U4" s="2802">
        <v>0.64</v>
      </c>
      <c r="V4" s="2802">
        <v>0.64</v>
      </c>
    </row>
    <row r="5" spans="1:22">
      <c r="A5" s="2796"/>
      <c r="B5" s="2796" t="s">
        <v>1882</v>
      </c>
      <c r="C5" s="2801" t="s">
        <v>1853</v>
      </c>
      <c r="D5" s="2798">
        <v>128224</v>
      </c>
      <c r="E5" s="2799">
        <v>340985</v>
      </c>
      <c r="F5" s="2799">
        <v>162114</v>
      </c>
      <c r="G5" s="2799">
        <v>178871</v>
      </c>
      <c r="H5" s="2800">
        <v>90.6</v>
      </c>
      <c r="J5" s="2690" t="s">
        <v>1883</v>
      </c>
      <c r="K5" s="2808">
        <f t="shared" ref="K5:K7" si="0">SUMIF($B$4:$B$27,J5,$D$4:$D$27)</f>
        <v>661328</v>
      </c>
      <c r="L5" s="2807">
        <f>S16</f>
        <v>0.10328049999999998</v>
      </c>
      <c r="M5" s="2808">
        <f>K5*11.5%*L5</f>
        <v>7854.7629479599991</v>
      </c>
      <c r="N5" s="2814">
        <f>M5/K5</f>
        <v>1.1877257499999998E-2</v>
      </c>
      <c r="O5" s="2609"/>
      <c r="P5" s="2690" t="s">
        <v>1893</v>
      </c>
      <c r="Q5" s="2802">
        <v>0.22</v>
      </c>
      <c r="R5" s="2802">
        <v>0.19</v>
      </c>
      <c r="S5" s="2802">
        <v>0</v>
      </c>
      <c r="T5" s="2802">
        <v>0</v>
      </c>
      <c r="U5" s="2802">
        <v>0.36</v>
      </c>
      <c r="V5" s="2802">
        <v>0</v>
      </c>
    </row>
    <row r="6" spans="1:22">
      <c r="A6" s="2796"/>
      <c r="B6" s="2796" t="s">
        <v>1882</v>
      </c>
      <c r="C6" s="2801" t="s">
        <v>1854</v>
      </c>
      <c r="D6" s="2798">
        <v>98319</v>
      </c>
      <c r="E6" s="2799">
        <v>320224</v>
      </c>
      <c r="F6" s="2799">
        <v>157382</v>
      </c>
      <c r="G6" s="2799">
        <v>162842</v>
      </c>
      <c r="H6" s="2800">
        <v>96.6</v>
      </c>
      <c r="J6" s="2690" t="s">
        <v>1884</v>
      </c>
      <c r="K6" s="2808">
        <f t="shared" si="0"/>
        <v>1283579</v>
      </c>
      <c r="L6" s="2807">
        <f>S17</f>
        <v>0.18773000000000001</v>
      </c>
      <c r="M6" s="2808">
        <f t="shared" ref="M6:M7" si="1">K6*11.5%*L6</f>
        <v>27711.122852050004</v>
      </c>
      <c r="N6" s="2814">
        <f t="shared" ref="N6:N7" si="2">M6/K6</f>
        <v>2.1588950000000003E-2</v>
      </c>
      <c r="O6" s="2609"/>
      <c r="P6" s="2690" t="s">
        <v>472</v>
      </c>
      <c r="Q6" s="2802">
        <v>0.17</v>
      </c>
      <c r="R6" s="2802">
        <v>0</v>
      </c>
      <c r="S6" s="2802">
        <v>0</v>
      </c>
      <c r="T6" s="2802">
        <v>0</v>
      </c>
      <c r="U6" s="2802">
        <v>0</v>
      </c>
      <c r="V6" s="2802">
        <v>0</v>
      </c>
    </row>
    <row r="7" spans="1:22">
      <c r="A7" s="2796"/>
      <c r="B7" s="2796" t="s">
        <v>1882</v>
      </c>
      <c r="C7" s="2801" t="s">
        <v>1855</v>
      </c>
      <c r="D7" s="2798">
        <v>91748</v>
      </c>
      <c r="E7" s="2799">
        <v>298814</v>
      </c>
      <c r="F7" s="2799">
        <v>147494</v>
      </c>
      <c r="G7" s="2799">
        <v>151320</v>
      </c>
      <c r="H7" s="2800">
        <v>97.5</v>
      </c>
      <c r="J7" s="2690" t="s">
        <v>1882</v>
      </c>
      <c r="K7" s="2808">
        <f t="shared" si="0"/>
        <v>1202731</v>
      </c>
      <c r="L7" s="2807">
        <f>S18</f>
        <v>0.10051399999999998</v>
      </c>
      <c r="M7" s="2808">
        <f t="shared" si="1"/>
        <v>13902.499929409998</v>
      </c>
      <c r="N7" s="2814">
        <f t="shared" si="2"/>
        <v>1.1559109999999999E-2</v>
      </c>
      <c r="Q7" s="2691">
        <f>SUM(Q3:Q6)</f>
        <v>1</v>
      </c>
      <c r="R7" s="2691">
        <f>SUM(R3:R6)</f>
        <v>1</v>
      </c>
      <c r="S7" s="2691">
        <f t="shared" ref="S7:V7" si="3">SUM(S3:S6)</f>
        <v>1</v>
      </c>
      <c r="T7" s="2691">
        <f t="shared" si="3"/>
        <v>1</v>
      </c>
      <c r="U7" s="2691">
        <f t="shared" si="3"/>
        <v>1</v>
      </c>
      <c r="V7" s="2691">
        <f t="shared" si="3"/>
        <v>1</v>
      </c>
    </row>
    <row r="8" spans="1:22">
      <c r="A8" s="2796"/>
      <c r="B8" s="2796" t="s">
        <v>1882</v>
      </c>
      <c r="C8" s="2801" t="s">
        <v>1856</v>
      </c>
      <c r="D8" s="2798">
        <v>51561</v>
      </c>
      <c r="E8" s="2799">
        <v>160219</v>
      </c>
      <c r="F8" s="2799">
        <v>79650</v>
      </c>
      <c r="G8" s="2799">
        <v>80569</v>
      </c>
      <c r="H8" s="2800">
        <v>98.9</v>
      </c>
      <c r="O8" s="2609"/>
    </row>
    <row r="9" spans="1:22">
      <c r="A9" s="2796"/>
      <c r="B9" s="2796" t="s">
        <v>1882</v>
      </c>
      <c r="C9" s="2801" t="s">
        <v>1857</v>
      </c>
      <c r="D9" s="2798">
        <v>117402</v>
      </c>
      <c r="E9" s="2799">
        <v>423992</v>
      </c>
      <c r="F9" s="2799">
        <v>213749</v>
      </c>
      <c r="G9" s="2799">
        <v>210243</v>
      </c>
      <c r="H9" s="2800">
        <v>101.7</v>
      </c>
      <c r="J9" s="2609"/>
      <c r="O9" s="2609"/>
      <c r="P9" s="2804" t="s">
        <v>1887</v>
      </c>
      <c r="Q9" s="2805" t="s">
        <v>1895</v>
      </c>
      <c r="R9" s="2804" t="s">
        <v>1888</v>
      </c>
      <c r="S9" s="2804" t="s">
        <v>1896</v>
      </c>
    </row>
    <row r="10" spans="1:22">
      <c r="A10" s="2796"/>
      <c r="B10" s="2796" t="s">
        <v>1884</v>
      </c>
      <c r="C10" s="2801" t="s">
        <v>1858</v>
      </c>
      <c r="D10" s="2798">
        <v>146796</v>
      </c>
      <c r="E10" s="2799">
        <v>422830</v>
      </c>
      <c r="F10" s="2799">
        <v>203828</v>
      </c>
      <c r="G10" s="2799">
        <v>219002</v>
      </c>
      <c r="H10" s="2800">
        <v>93.1</v>
      </c>
      <c r="O10" s="2609"/>
      <c r="P10" s="2690" t="s">
        <v>1890</v>
      </c>
      <c r="Q10" s="2691">
        <f>1-53%</f>
        <v>0.47</v>
      </c>
      <c r="R10" s="2691">
        <v>0.85</v>
      </c>
      <c r="S10" s="2691">
        <f>Q10*R10</f>
        <v>0.39949999999999997</v>
      </c>
      <c r="T10" s="2609" t="s">
        <v>1899</v>
      </c>
    </row>
    <row r="11" spans="1:22">
      <c r="A11" s="2796"/>
      <c r="B11" s="2796" t="s">
        <v>1884</v>
      </c>
      <c r="C11" s="2801" t="s">
        <v>1859</v>
      </c>
      <c r="D11" s="2798">
        <v>57452</v>
      </c>
      <c r="E11" s="2799">
        <v>176505</v>
      </c>
      <c r="F11" s="2799">
        <v>85325</v>
      </c>
      <c r="G11" s="2799">
        <v>91180</v>
      </c>
      <c r="H11" s="2800">
        <v>93.6</v>
      </c>
      <c r="O11" s="2609"/>
      <c r="P11" s="2690" t="s">
        <v>1892</v>
      </c>
      <c r="Q11" s="2691">
        <f>1-53%-15%</f>
        <v>0.31999999999999995</v>
      </c>
      <c r="R11" s="2691">
        <v>0.4</v>
      </c>
      <c r="S11" s="2691">
        <f t="shared" ref="S11:S13" si="4">Q11*R11</f>
        <v>0.12799999999999997</v>
      </c>
      <c r="T11" s="2609" t="s">
        <v>1902</v>
      </c>
    </row>
    <row r="12" spans="1:22">
      <c r="A12" s="2796"/>
      <c r="B12" s="2796" t="s">
        <v>1884</v>
      </c>
      <c r="C12" s="2801" t="s">
        <v>1860</v>
      </c>
      <c r="D12" s="2798">
        <v>56303</v>
      </c>
      <c r="E12" s="2799">
        <v>168419</v>
      </c>
      <c r="F12" s="2799">
        <v>81671</v>
      </c>
      <c r="G12" s="2799">
        <v>86748</v>
      </c>
      <c r="H12" s="2800">
        <v>94.1</v>
      </c>
      <c r="O12" s="2609"/>
      <c r="P12" s="2690" t="s">
        <v>1893</v>
      </c>
      <c r="Q12" s="2691">
        <f>1-53%-15%-19%</f>
        <v>0.12999999999999995</v>
      </c>
      <c r="R12" s="2691">
        <v>0.1</v>
      </c>
      <c r="S12" s="2691">
        <f t="shared" si="4"/>
        <v>1.2999999999999996E-2</v>
      </c>
      <c r="T12" s="2609" t="s">
        <v>1900</v>
      </c>
    </row>
    <row r="13" spans="1:22">
      <c r="A13" s="2796"/>
      <c r="B13" s="2796" t="s">
        <v>1883</v>
      </c>
      <c r="C13" s="2801" t="s">
        <v>1861</v>
      </c>
      <c r="D13" s="2798">
        <v>73913</v>
      </c>
      <c r="E13" s="2799">
        <v>263094</v>
      </c>
      <c r="F13" s="2799">
        <v>130462</v>
      </c>
      <c r="G13" s="2799">
        <v>132632</v>
      </c>
      <c r="H13" s="2800">
        <v>98.4</v>
      </c>
      <c r="P13" s="2690" t="s">
        <v>472</v>
      </c>
      <c r="Q13" s="2691">
        <v>0</v>
      </c>
      <c r="R13" s="2691">
        <v>0</v>
      </c>
      <c r="S13" s="2691">
        <f t="shared" si="4"/>
        <v>0</v>
      </c>
    </row>
    <row r="14" spans="1:22">
      <c r="A14" s="2796"/>
      <c r="B14" s="2796" t="s">
        <v>1884</v>
      </c>
      <c r="C14" s="2801" t="s">
        <v>1862</v>
      </c>
      <c r="D14" s="2798">
        <v>483397</v>
      </c>
      <c r="E14" s="2799">
        <v>1772130</v>
      </c>
      <c r="F14" s="2799">
        <v>859694</v>
      </c>
      <c r="G14" s="2799">
        <v>912436</v>
      </c>
      <c r="H14" s="2800">
        <v>94.2</v>
      </c>
      <c r="P14" s="2609"/>
    </row>
    <row r="15" spans="1:22">
      <c r="A15" s="2796"/>
      <c r="B15" s="2796" t="s">
        <v>1882</v>
      </c>
      <c r="C15" s="2801" t="s">
        <v>1863</v>
      </c>
      <c r="D15" s="2798">
        <v>163135</v>
      </c>
      <c r="E15" s="2799">
        <v>453500</v>
      </c>
      <c r="F15" s="2799">
        <v>217037</v>
      </c>
      <c r="G15" s="2799">
        <v>236463</v>
      </c>
      <c r="H15" s="2800">
        <v>91.8</v>
      </c>
      <c r="P15" s="2804" t="s">
        <v>1891</v>
      </c>
      <c r="Q15" s="2804" t="s">
        <v>1894</v>
      </c>
      <c r="R15" s="2804" t="s">
        <v>1897</v>
      </c>
      <c r="S15" s="2804" t="s">
        <v>1898</v>
      </c>
    </row>
    <row r="16" spans="1:22">
      <c r="A16" s="2796"/>
      <c r="B16" s="2796" t="s">
        <v>1882</v>
      </c>
      <c r="C16" s="2797" t="s">
        <v>1864</v>
      </c>
      <c r="D16" s="2798">
        <v>200962</v>
      </c>
      <c r="E16" s="2799">
        <v>613192</v>
      </c>
      <c r="F16" s="2799">
        <v>297702</v>
      </c>
      <c r="G16" s="2799">
        <v>315490</v>
      </c>
      <c r="H16" s="2800">
        <v>94.4</v>
      </c>
      <c r="P16" s="2690" t="s">
        <v>1883</v>
      </c>
      <c r="Q16" s="2691">
        <f>SUMPRODUCT(Q3:Q6,$S$10:$S$13)</f>
        <v>9.7229999999999983E-2</v>
      </c>
      <c r="R16" s="2691">
        <f>SUMPRODUCT(R3:R6,$S$10:$S$13)</f>
        <v>0.15773499999999999</v>
      </c>
      <c r="S16" s="2807">
        <f>Q16*90%+R16*10%</f>
        <v>0.10328049999999998</v>
      </c>
    </row>
    <row r="17" spans="1:19">
      <c r="A17" s="2796"/>
      <c r="B17" s="2796" t="s">
        <v>1883</v>
      </c>
      <c r="C17" s="2801" t="s">
        <v>1865</v>
      </c>
      <c r="D17" s="2798">
        <v>89899</v>
      </c>
      <c r="E17" s="2799">
        <v>321833</v>
      </c>
      <c r="F17" s="2799">
        <v>159779</v>
      </c>
      <c r="G17" s="2799">
        <v>162054</v>
      </c>
      <c r="H17" s="2800">
        <v>98.6</v>
      </c>
      <c r="P17" s="2690" t="s">
        <v>1884</v>
      </c>
      <c r="Q17" s="2691">
        <f>SUMPRODUCT(S3:S6,$S$10:$S$13)</f>
        <v>0.18229999999999999</v>
      </c>
      <c r="R17" s="2691">
        <f>SUMPRODUCT(T3:T6,$S$10:$S$13)</f>
        <v>0.23659999999999998</v>
      </c>
      <c r="S17" s="2807">
        <f t="shared" ref="S17:S18" si="5">Q17*90%+R17*10%</f>
        <v>0.18773000000000001</v>
      </c>
    </row>
    <row r="18" spans="1:19">
      <c r="A18" s="2796"/>
      <c r="B18" s="2796" t="s">
        <v>1884</v>
      </c>
      <c r="C18" s="2801" t="s">
        <v>1866</v>
      </c>
      <c r="D18" s="2798">
        <v>152205</v>
      </c>
      <c r="E18" s="2799">
        <v>524207</v>
      </c>
      <c r="F18" s="2799">
        <v>258601</v>
      </c>
      <c r="G18" s="2799">
        <v>265606</v>
      </c>
      <c r="H18" s="2800">
        <v>97.4</v>
      </c>
      <c r="J18" s="2609" t="s">
        <v>1889</v>
      </c>
      <c r="P18" s="2690" t="s">
        <v>1882</v>
      </c>
      <c r="Q18" s="2691">
        <f>SUMPRODUCT(U3:U6,$S$10:$S$13)</f>
        <v>8.6599999999999983E-2</v>
      </c>
      <c r="R18" s="2691">
        <f>SUMPRODUCT(V3:V6,$S$10:$S$13)</f>
        <v>0.22573999999999994</v>
      </c>
      <c r="S18" s="2807">
        <f t="shared" si="5"/>
        <v>0.10051399999999998</v>
      </c>
    </row>
    <row r="19" spans="1:19">
      <c r="A19" s="2796"/>
      <c r="B19" s="2796" t="s">
        <v>1884</v>
      </c>
      <c r="C19" s="2801" t="s">
        <v>1867</v>
      </c>
      <c r="D19" s="2798">
        <v>137369</v>
      </c>
      <c r="E19" s="2799">
        <v>462242</v>
      </c>
      <c r="F19" s="2799">
        <v>229790</v>
      </c>
      <c r="G19" s="2799">
        <v>232452</v>
      </c>
      <c r="H19" s="2800">
        <v>98.9</v>
      </c>
    </row>
    <row r="20" spans="1:19">
      <c r="A20" s="2796"/>
      <c r="B20" s="2796" t="s">
        <v>1884</v>
      </c>
      <c r="C20" s="2801" t="s">
        <v>1868</v>
      </c>
      <c r="D20" s="2798">
        <v>122340</v>
      </c>
      <c r="E20" s="2799">
        <v>319934</v>
      </c>
      <c r="F20" s="2799">
        <v>152782</v>
      </c>
      <c r="G20" s="2799">
        <v>167152</v>
      </c>
      <c r="H20" s="2800">
        <v>91.4</v>
      </c>
      <c r="P20" s="2609"/>
    </row>
    <row r="21" spans="1:19">
      <c r="A21" s="2796"/>
      <c r="B21" s="2796" t="s">
        <v>1882</v>
      </c>
      <c r="C21" s="2801" t="s">
        <v>1869</v>
      </c>
      <c r="D21" s="2798">
        <v>187387</v>
      </c>
      <c r="E21" s="2799">
        <v>580829</v>
      </c>
      <c r="F21" s="2799">
        <v>282097</v>
      </c>
      <c r="G21" s="2799">
        <v>298732</v>
      </c>
      <c r="H21" s="2800">
        <v>94.4</v>
      </c>
      <c r="P21" s="2609"/>
      <c r="Q21" s="2803"/>
      <c r="R21" s="2803"/>
      <c r="S21" s="2803"/>
    </row>
    <row r="22" spans="1:19">
      <c r="A22" s="2796"/>
      <c r="B22" s="2796" t="s">
        <v>1883</v>
      </c>
      <c r="C22" s="2797" t="s">
        <v>1870</v>
      </c>
      <c r="D22" s="2798">
        <v>55061</v>
      </c>
      <c r="E22" s="2799">
        <v>163462</v>
      </c>
      <c r="F22" s="2799">
        <v>79058</v>
      </c>
      <c r="G22" s="2799">
        <v>84404</v>
      </c>
      <c r="H22" s="2800">
        <v>93.7</v>
      </c>
      <c r="P22" s="2609"/>
    </row>
    <row r="23" spans="1:19">
      <c r="A23" s="2796"/>
      <c r="B23" s="2796" t="s">
        <v>1883</v>
      </c>
      <c r="C23" s="2801" t="s">
        <v>1871</v>
      </c>
      <c r="D23" s="2798">
        <v>115437</v>
      </c>
      <c r="E23" s="2799">
        <v>291608</v>
      </c>
      <c r="F23" s="2799">
        <v>138680</v>
      </c>
      <c r="G23" s="2799">
        <v>152928</v>
      </c>
      <c r="H23" s="2800">
        <v>90.7</v>
      </c>
    </row>
    <row r="24" spans="1:19">
      <c r="A24" s="2796"/>
      <c r="B24" s="2796" t="s">
        <v>1883</v>
      </c>
      <c r="C24" s="2801" t="s">
        <v>1872</v>
      </c>
      <c r="D24" s="2798">
        <v>87744</v>
      </c>
      <c r="E24" s="2799">
        <v>281120</v>
      </c>
      <c r="F24" s="2799">
        <v>138476</v>
      </c>
      <c r="G24" s="2799">
        <v>142644</v>
      </c>
      <c r="H24" s="2800">
        <v>97.1</v>
      </c>
    </row>
    <row r="25" spans="1:19">
      <c r="A25" s="2796"/>
      <c r="B25" s="2796" t="s">
        <v>1883</v>
      </c>
      <c r="C25" s="2801" t="s">
        <v>1873</v>
      </c>
      <c r="D25" s="2798">
        <v>122062</v>
      </c>
      <c r="E25" s="2799">
        <v>380709</v>
      </c>
      <c r="F25" s="2799">
        <v>187653</v>
      </c>
      <c r="G25" s="2799">
        <v>193056</v>
      </c>
      <c r="H25" s="2800">
        <v>97.2</v>
      </c>
    </row>
    <row r="26" spans="1:19">
      <c r="A26" s="2796"/>
      <c r="B26" s="2796" t="s">
        <v>1884</v>
      </c>
      <c r="C26" s="2797" t="s">
        <v>1874</v>
      </c>
      <c r="D26" s="2798">
        <v>127717</v>
      </c>
      <c r="E26" s="2799">
        <v>343774</v>
      </c>
      <c r="F26" s="2799">
        <v>164337</v>
      </c>
      <c r="G26" s="2799">
        <v>179437</v>
      </c>
      <c r="H26" s="2800">
        <v>91.6</v>
      </c>
    </row>
    <row r="27" spans="1:19">
      <c r="A27" s="2796"/>
      <c r="B27" s="2796" t="s">
        <v>1883</v>
      </c>
      <c r="C27" s="2801" t="s">
        <v>1875</v>
      </c>
      <c r="D27" s="2798">
        <v>117212</v>
      </c>
      <c r="E27" s="2799">
        <v>270929</v>
      </c>
      <c r="F27" s="2799">
        <v>127222</v>
      </c>
      <c r="G27" s="2799">
        <v>143707</v>
      </c>
      <c r="H27" s="2800">
        <v>88</v>
      </c>
    </row>
  </sheetData>
  <mergeCells count="10">
    <mergeCell ref="Q1:R1"/>
    <mergeCell ref="S1:T1"/>
    <mergeCell ref="U1:V1"/>
    <mergeCell ref="H1:H2"/>
    <mergeCell ref="A3:B3"/>
    <mergeCell ref="C1:C2"/>
    <mergeCell ref="D1:D2"/>
    <mergeCell ref="E1:E2"/>
    <mergeCell ref="F1:F2"/>
    <mergeCell ref="G1:G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M152"/>
  <sheetViews>
    <sheetView showGridLines="0" tabSelected="1" topLeftCell="A74" workbookViewId="0">
      <selection activeCell="M89" sqref="M89"/>
    </sheetView>
  </sheetViews>
  <sheetFormatPr baseColWidth="10" defaultColWidth="9.140625" defaultRowHeight="15"/>
  <cols>
    <col min="1" max="1" width="20.85546875" style="2587" customWidth="1"/>
    <col min="2" max="2" width="21" style="2587" bestFit="1" customWidth="1"/>
    <col min="3" max="3" width="8.85546875" style="2587" customWidth="1"/>
    <col min="4" max="4" width="16.140625" style="2587" customWidth="1"/>
    <col min="5" max="5" width="15" style="2587" bestFit="1" customWidth="1"/>
    <col min="6" max="6" width="14.140625" style="2587" bestFit="1" customWidth="1"/>
    <col min="7" max="7" width="13.5703125" style="2587" bestFit="1" customWidth="1"/>
    <col min="8" max="8" width="15.28515625" style="2587" customWidth="1"/>
    <col min="9" max="9" width="9.140625" style="2587"/>
    <col min="10" max="10" width="19.42578125" style="2587" customWidth="1"/>
    <col min="11" max="11" width="9.140625" style="2587"/>
    <col min="12" max="12" width="15.7109375" style="2587" bestFit="1" customWidth="1"/>
    <col min="13" max="16384" width="9.140625" style="2587"/>
  </cols>
  <sheetData>
    <row r="1" spans="1:11">
      <c r="A1" s="2664"/>
      <c r="B1" s="2664" t="s">
        <v>1560</v>
      </c>
      <c r="C1" s="2664" t="s">
        <v>1560</v>
      </c>
      <c r="D1" s="2671" t="s">
        <v>1561</v>
      </c>
      <c r="E1" s="2671" t="s">
        <v>1561</v>
      </c>
      <c r="F1" s="2671" t="s">
        <v>1569</v>
      </c>
      <c r="G1"/>
      <c r="H1"/>
    </row>
    <row r="2" spans="1:11">
      <c r="A2" s="2671" t="s">
        <v>1570</v>
      </c>
      <c r="B2" s="2664" t="s">
        <v>1558</v>
      </c>
      <c r="C2" s="2664" t="s">
        <v>1457</v>
      </c>
      <c r="D2" s="2671" t="s">
        <v>1533</v>
      </c>
      <c r="E2" s="2671" t="s">
        <v>1533</v>
      </c>
      <c r="F2" s="2671" t="s">
        <v>1533</v>
      </c>
      <c r="G2"/>
      <c r="H2"/>
    </row>
    <row r="3" spans="1:11">
      <c r="A3" s="2670">
        <v>2015</v>
      </c>
      <c r="B3" s="2665">
        <f>B4*(1+2.8%)</f>
        <v>665849.7864000001</v>
      </c>
      <c r="C3" s="2672">
        <v>9.4499999999999993</v>
      </c>
      <c r="D3" s="2666">
        <f>E3*B3*C3</f>
        <v>12584.56096296</v>
      </c>
      <c r="E3" s="2673">
        <v>2E-3</v>
      </c>
      <c r="F3" s="2667">
        <f t="shared" ref="F3:F12" si="0">D3/C3</f>
        <v>1331.6995728000002</v>
      </c>
      <c r="G3"/>
      <c r="H3"/>
    </row>
    <row r="4" spans="1:11">
      <c r="A4" s="2670">
        <v>2014</v>
      </c>
      <c r="B4" s="2665">
        <f>B5*(1+6.2%)</f>
        <v>647713.80000000005</v>
      </c>
      <c r="C4" s="2672">
        <v>6.33</v>
      </c>
      <c r="D4" s="2666">
        <f>E4*B4*C4</f>
        <v>8200.0567080000019</v>
      </c>
      <c r="E4" s="2673">
        <v>2E-3</v>
      </c>
      <c r="F4" s="2667">
        <f t="shared" si="0"/>
        <v>1295.4276000000002</v>
      </c>
      <c r="G4"/>
      <c r="H4"/>
    </row>
    <row r="5" spans="1:11">
      <c r="A5" s="2670">
        <v>2013</v>
      </c>
      <c r="B5" s="2668">
        <v>609900</v>
      </c>
      <c r="C5" s="2672">
        <v>5.46</v>
      </c>
      <c r="D5" s="2666">
        <f>D6*1.1662</f>
        <v>6913.7105767329595</v>
      </c>
      <c r="E5" s="2674">
        <f>D5/(C5*B5)</f>
        <v>2.0761556949926217E-3</v>
      </c>
      <c r="F5" s="2667">
        <f t="shared" si="0"/>
        <v>1266.247358376</v>
      </c>
      <c r="G5" s="2609" t="s">
        <v>1568</v>
      </c>
      <c r="H5"/>
    </row>
    <row r="6" spans="1:11">
      <c r="A6" s="2670">
        <v>2012</v>
      </c>
      <c r="B6" s="2668">
        <v>603200</v>
      </c>
      <c r="C6" s="2672">
        <v>4.54</v>
      </c>
      <c r="D6" s="2666">
        <f>D7*1.2932</f>
        <v>5928.4090008000003</v>
      </c>
      <c r="E6" s="2674">
        <f>D6/(C6*B6)</f>
        <v>2.1648159159957468E-3</v>
      </c>
      <c r="F6" s="2667">
        <f t="shared" si="0"/>
        <v>1305.8169605286344</v>
      </c>
      <c r="G6" s="2609" t="s">
        <v>1567</v>
      </c>
      <c r="H6"/>
    </row>
    <row r="7" spans="1:11">
      <c r="A7" s="2670">
        <v>2011</v>
      </c>
      <c r="B7" s="2668">
        <v>557700</v>
      </c>
      <c r="C7" s="2672">
        <v>4.1100000000000003</v>
      </c>
      <c r="D7" s="2666">
        <f>E7*B7*C7</f>
        <v>4584.2940000000008</v>
      </c>
      <c r="E7" s="2673">
        <v>2E-3</v>
      </c>
      <c r="F7" s="2667">
        <f t="shared" si="0"/>
        <v>1115.4000000000001</v>
      </c>
      <c r="G7"/>
      <c r="H7"/>
    </row>
    <row r="8" spans="1:11">
      <c r="A8" s="2670">
        <v>2010</v>
      </c>
      <c r="B8" s="2668">
        <v>462700</v>
      </c>
      <c r="C8" s="2672">
        <v>3.9</v>
      </c>
      <c r="D8" s="2669">
        <v>3700</v>
      </c>
      <c r="E8" s="2675">
        <f>D8/(B8*C8)</f>
        <v>2.0503953938144559E-3</v>
      </c>
      <c r="F8" s="2668">
        <f t="shared" si="0"/>
        <v>948.71794871794873</v>
      </c>
      <c r="G8" s="2609"/>
      <c r="H8"/>
    </row>
    <row r="9" spans="1:11">
      <c r="A9" s="2670">
        <v>2009</v>
      </c>
      <c r="B9" s="2668">
        <v>378500</v>
      </c>
      <c r="C9" s="2672">
        <v>3.71</v>
      </c>
      <c r="D9" s="2669">
        <v>3077</v>
      </c>
      <c r="E9" s="2675">
        <f>D9/(B9*C9)</f>
        <v>2.1912286761119042E-3</v>
      </c>
      <c r="F9" s="2668">
        <f t="shared" si="0"/>
        <v>829.38005390835576</v>
      </c>
      <c r="G9" s="2609" t="s">
        <v>1559</v>
      </c>
      <c r="H9"/>
    </row>
    <row r="10" spans="1:11">
      <c r="A10" s="2670">
        <v>2008</v>
      </c>
      <c r="B10" s="2668">
        <v>406000</v>
      </c>
      <c r="C10" s="2672">
        <v>3.14</v>
      </c>
      <c r="D10" s="2669">
        <v>3124</v>
      </c>
      <c r="E10" s="2675">
        <f>D10/(B10*C10)</f>
        <v>2.4505035926076996E-3</v>
      </c>
      <c r="F10" s="2668">
        <f t="shared" si="0"/>
        <v>994.90445859872602</v>
      </c>
      <c r="G10" s="2609" t="s">
        <v>1562</v>
      </c>
      <c r="H10"/>
    </row>
    <row r="11" spans="1:11">
      <c r="A11" s="2670">
        <v>2007</v>
      </c>
      <c r="B11" s="2668">
        <v>329800</v>
      </c>
      <c r="C11" s="2672">
        <v>3.1</v>
      </c>
      <c r="D11" s="2669">
        <v>2252</v>
      </c>
      <c r="E11" s="2675">
        <f>D11/(B11*C11)</f>
        <v>2.2027034957647841E-3</v>
      </c>
      <c r="F11" s="2668">
        <f t="shared" si="0"/>
        <v>726.45161290322574</v>
      </c>
      <c r="G11"/>
      <c r="H11"/>
    </row>
    <row r="12" spans="1:11">
      <c r="A12" s="2670">
        <v>2006</v>
      </c>
      <c r="B12" s="2668">
        <v>264500</v>
      </c>
      <c r="C12" s="2672">
        <v>3.05</v>
      </c>
      <c r="D12" s="2669">
        <v>1829</v>
      </c>
      <c r="E12" s="2675">
        <f>D12/(B12*C12)</f>
        <v>2.2671914221079055E-3</v>
      </c>
      <c r="F12" s="2668">
        <f t="shared" si="0"/>
        <v>599.67213114754099</v>
      </c>
      <c r="G12"/>
      <c r="H12"/>
    </row>
    <row r="13" spans="1:11">
      <c r="A13" s="2683"/>
      <c r="B13" s="2684"/>
      <c r="C13" s="2685"/>
      <c r="D13" s="2686"/>
      <c r="E13" s="2687"/>
      <c r="F13" s="2684"/>
      <c r="H13"/>
      <c r="I13"/>
      <c r="J13"/>
      <c r="K13"/>
    </row>
    <row r="14" spans="1:11">
      <c r="A14" s="2683"/>
      <c r="B14" s="2684"/>
      <c r="C14" s="2685"/>
      <c r="D14" s="2686"/>
      <c r="E14" s="2687"/>
      <c r="F14" s="2684"/>
      <c r="H14"/>
      <c r="I14"/>
      <c r="J14"/>
      <c r="K14"/>
    </row>
    <row r="15" spans="1:11">
      <c r="A15" s="2683"/>
      <c r="B15" s="2684"/>
      <c r="C15" s="2685"/>
      <c r="D15" s="2686"/>
      <c r="E15" s="2687"/>
      <c r="F15" s="2684"/>
      <c r="H15"/>
      <c r="I15"/>
      <c r="J15"/>
    </row>
    <row r="16" spans="1:11">
      <c r="A16" s="2683"/>
      <c r="B16" s="2684"/>
      <c r="C16" s="2685"/>
      <c r="D16" s="2686"/>
      <c r="E16" s="2687"/>
      <c r="F16" s="2684"/>
      <c r="H16"/>
      <c r="I16"/>
      <c r="J16"/>
      <c r="K16"/>
    </row>
    <row r="17" spans="1:8">
      <c r="A17" s="2683"/>
      <c r="B17" s="2684"/>
      <c r="C17" s="2685"/>
      <c r="D17" s="2686"/>
      <c r="E17" s="2687"/>
      <c r="F17" s="2684"/>
      <c r="G17"/>
      <c r="H17"/>
    </row>
    <row r="18" spans="1:8">
      <c r="A18" s="2683"/>
      <c r="B18" s="2684"/>
      <c r="C18" s="2685"/>
      <c r="D18" s="2686"/>
      <c r="E18" s="2687"/>
      <c r="F18" s="2684"/>
      <c r="G18"/>
      <c r="H18"/>
    </row>
    <row r="19" spans="1:8">
      <c r="A19" s="2683"/>
      <c r="B19" s="2684"/>
      <c r="C19" s="2685"/>
      <c r="D19" s="2686"/>
      <c r="E19" s="2687"/>
      <c r="F19" s="2684"/>
      <c r="G19"/>
      <c r="H19"/>
    </row>
    <row r="20" spans="1:8">
      <c r="A20" s="2683"/>
      <c r="B20" s="2684"/>
      <c r="C20" s="2685"/>
      <c r="D20" s="2686"/>
      <c r="E20" s="2687"/>
      <c r="F20" s="2684"/>
      <c r="G20"/>
      <c r="H20"/>
    </row>
    <row r="21" spans="1:8">
      <c r="A21" s="2683"/>
      <c r="B21" s="2684"/>
      <c r="C21" s="2685"/>
      <c r="D21" s="2686"/>
      <c r="E21" s="2687"/>
      <c r="F21" s="2684"/>
      <c r="G21"/>
      <c r="H21"/>
    </row>
    <row r="22" spans="1:8">
      <c r="A22" s="2683"/>
      <c r="B22" s="2684"/>
      <c r="C22" s="2685"/>
      <c r="D22" s="2686"/>
      <c r="E22" s="2687"/>
      <c r="F22" s="2684"/>
      <c r="G22"/>
      <c r="H22"/>
    </row>
    <row r="23" spans="1:8">
      <c r="A23" s="2683"/>
      <c r="B23" s="2684"/>
      <c r="C23" s="2685"/>
      <c r="D23" s="2686"/>
      <c r="E23" s="2687"/>
      <c r="F23" s="2684"/>
      <c r="G23"/>
      <c r="H23"/>
    </row>
    <row r="24" spans="1:8">
      <c r="A24" s="2683"/>
      <c r="B24" s="2684"/>
      <c r="C24" s="2685"/>
      <c r="D24" s="2686"/>
      <c r="E24" s="2687"/>
      <c r="F24" s="2684"/>
      <c r="G24"/>
      <c r="H24"/>
    </row>
    <row r="25" spans="1:8">
      <c r="A25" s="2683"/>
      <c r="B25" s="2684"/>
      <c r="C25" s="2685"/>
      <c r="D25" s="2686"/>
      <c r="E25" s="2687"/>
      <c r="F25" s="2684"/>
      <c r="G25"/>
      <c r="H25"/>
    </row>
    <row r="26" spans="1:8">
      <c r="A26" s="2683"/>
      <c r="B26" s="2684"/>
      <c r="C26" s="2685"/>
      <c r="D26" s="2686"/>
      <c r="E26" s="2687"/>
      <c r="F26" s="2684"/>
      <c r="G26"/>
      <c r="H26"/>
    </row>
    <row r="27" spans="1:8">
      <c r="A27" s="2683"/>
      <c r="B27" s="2684"/>
      <c r="C27" s="2685"/>
      <c r="D27" s="2686"/>
      <c r="E27" s="2687"/>
      <c r="F27" s="2684"/>
      <c r="G27"/>
      <c r="H27"/>
    </row>
    <row r="28" spans="1:8">
      <c r="A28" s="2683"/>
      <c r="B28" s="2684"/>
      <c r="C28" s="2685"/>
      <c r="D28" s="2686"/>
      <c r="E28" s="2687"/>
      <c r="F28" s="2684"/>
      <c r="G28"/>
      <c r="H28"/>
    </row>
    <row r="35" spans="1:8">
      <c r="A35" s="2676" t="s">
        <v>1426</v>
      </c>
      <c r="B35" s="2677">
        <f>'Mercado potencial'!F3*1000000</f>
        <v>1331699572.8000002</v>
      </c>
      <c r="D35" s="2609" t="s">
        <v>1563</v>
      </c>
    </row>
    <row r="36" spans="1:8" ht="30">
      <c r="A36" s="2678" t="s">
        <v>1427</v>
      </c>
      <c r="B36" s="2681">
        <v>0.1</v>
      </c>
      <c r="D36" s="2609" t="s">
        <v>1564</v>
      </c>
    </row>
    <row r="37" spans="1:8">
      <c r="A37" s="2844" t="s">
        <v>1428</v>
      </c>
      <c r="B37" s="2677">
        <f>B35/(1-B36)</f>
        <v>1479666192.0000002</v>
      </c>
      <c r="D37" s="2609" t="s">
        <v>1565</v>
      </c>
      <c r="H37" s="2657">
        <f>8/133</f>
        <v>6.0150375939849621E-2</v>
      </c>
    </row>
    <row r="38" spans="1:8">
      <c r="A38" s="2845"/>
      <c r="B38" s="2679">
        <f>B37/12</f>
        <v>123305516.00000001</v>
      </c>
      <c r="D38" s="2609" t="s">
        <v>1566</v>
      </c>
    </row>
    <row r="39" spans="1:8">
      <c r="A39" s="2846" t="s">
        <v>1429</v>
      </c>
      <c r="B39" s="2679">
        <f>B38*10%</f>
        <v>12330551.600000001</v>
      </c>
      <c r="E39" s="2682"/>
    </row>
    <row r="40" spans="1:8">
      <c r="A40" s="2847"/>
      <c r="B40" s="2680">
        <f>B39*'Tipo de cambio'!D9/1000</f>
        <v>109741.90924000002</v>
      </c>
    </row>
    <row r="41" spans="1:8">
      <c r="B41" s="2588"/>
    </row>
    <row r="43" spans="1:8">
      <c r="C43" s="2589"/>
      <c r="D43" s="2589"/>
      <c r="E43" s="2590" t="s">
        <v>1430</v>
      </c>
      <c r="F43" s="2590" t="s">
        <v>1431</v>
      </c>
      <c r="G43" s="2590" t="s">
        <v>1432</v>
      </c>
      <c r="H43" s="2590" t="s">
        <v>1433</v>
      </c>
    </row>
    <row r="44" spans="1:8">
      <c r="C44" s="2589"/>
      <c r="D44" s="2589"/>
      <c r="E44" s="2591">
        <v>0.39</v>
      </c>
      <c r="F44" s="2591">
        <v>0.34</v>
      </c>
      <c r="G44" s="2591">
        <v>0.27</v>
      </c>
      <c r="H44" s="2591">
        <f>SUM(E44:G44)</f>
        <v>1</v>
      </c>
    </row>
    <row r="45" spans="1:8" ht="20.100000000000001" customHeight="1">
      <c r="C45" s="2589"/>
      <c r="D45" s="2592" t="s">
        <v>1434</v>
      </c>
      <c r="E45" s="2593">
        <f>$B$40*E44</f>
        <v>42799.34460360001</v>
      </c>
      <c r="F45" s="2593">
        <f t="shared" ref="F45:G45" si="1">$B$40*F44</f>
        <v>37312.249141600012</v>
      </c>
      <c r="G45" s="2593">
        <f t="shared" si="1"/>
        <v>29630.315494800008</v>
      </c>
      <c r="H45" s="2593">
        <f>SUM(E45:G45)</f>
        <v>109741.90924000004</v>
      </c>
    </row>
    <row r="46" spans="1:8" ht="20.100000000000001" customHeight="1">
      <c r="C46" s="2843" t="s">
        <v>1435</v>
      </c>
      <c r="D46" s="2594" t="s">
        <v>1436</v>
      </c>
      <c r="E46" s="2595">
        <f>E45/400</f>
        <v>106.99836150900002</v>
      </c>
      <c r="F46" s="2595" t="s">
        <v>20</v>
      </c>
      <c r="G46" s="2595" t="s">
        <v>20</v>
      </c>
      <c r="H46" s="2595">
        <f t="shared" ref="H46:H51" si="2">SUM(E46:G46)</f>
        <v>106.99836150900002</v>
      </c>
    </row>
    <row r="47" spans="1:8" ht="20.100000000000001" customHeight="1">
      <c r="C47" s="2843"/>
      <c r="D47" s="2594" t="s">
        <v>1437</v>
      </c>
      <c r="E47" s="2595">
        <f>E45/200</f>
        <v>213.99672301800004</v>
      </c>
      <c r="F47" s="2595" t="s">
        <v>20</v>
      </c>
      <c r="G47" s="2595" t="s">
        <v>20</v>
      </c>
      <c r="H47" s="2595">
        <f t="shared" si="2"/>
        <v>213.99672301800004</v>
      </c>
    </row>
    <row r="48" spans="1:8" ht="20.100000000000001" customHeight="1">
      <c r="C48" s="2843"/>
      <c r="D48" s="2594" t="s">
        <v>1438</v>
      </c>
      <c r="E48" s="2595">
        <f>E45/175</f>
        <v>244.56768344914292</v>
      </c>
      <c r="F48" s="2595">
        <f>F45/400</f>
        <v>93.280622854000029</v>
      </c>
      <c r="G48" s="2595" t="s">
        <v>20</v>
      </c>
      <c r="H48" s="2595">
        <f t="shared" si="2"/>
        <v>337.84830630314298</v>
      </c>
    </row>
    <row r="49" spans="3:13" ht="20.100000000000001" customHeight="1">
      <c r="C49" s="2843"/>
      <c r="D49" s="2594" t="s">
        <v>1439</v>
      </c>
      <c r="E49" s="2595">
        <f>E45/150</f>
        <v>285.32896402400007</v>
      </c>
      <c r="F49" s="2595">
        <f>F45/200</f>
        <v>186.56124570800006</v>
      </c>
      <c r="G49" s="2595">
        <f>G45/400</f>
        <v>74.075788737000025</v>
      </c>
      <c r="H49" s="2595">
        <f t="shared" si="2"/>
        <v>545.96599846900017</v>
      </c>
    </row>
    <row r="50" spans="3:13" ht="20.100000000000001" customHeight="1">
      <c r="C50" s="2843"/>
      <c r="D50" s="2594" t="s">
        <v>1440</v>
      </c>
      <c r="E50" s="2595">
        <f>E45/125</f>
        <v>342.3947568288001</v>
      </c>
      <c r="F50" s="2595">
        <f>F45/175</f>
        <v>213.21285223771434</v>
      </c>
      <c r="G50" s="2595">
        <f>G45/200</f>
        <v>148.15157747400005</v>
      </c>
      <c r="H50" s="2595">
        <f t="shared" si="2"/>
        <v>703.75918654051452</v>
      </c>
    </row>
    <row r="51" spans="3:13" ht="20.100000000000001" customHeight="1">
      <c r="C51" s="2843"/>
      <c r="D51" s="2594" t="s">
        <v>1441</v>
      </c>
      <c r="E51" s="2595">
        <f>E45/100</f>
        <v>427.99344603600008</v>
      </c>
      <c r="F51" s="2595">
        <f>F45/150</f>
        <v>248.74832761066673</v>
      </c>
      <c r="G51" s="2595">
        <f>G45/175</f>
        <v>169.31608854171432</v>
      </c>
      <c r="H51" s="2595">
        <f t="shared" si="2"/>
        <v>846.05786218838114</v>
      </c>
      <c r="J51" s="3173" t="s">
        <v>1961</v>
      </c>
      <c r="L51" s="3174">
        <f>'Insumos y MP'!I14/'Costeo Productos'!B2*1.15/'Tipo de cambio'!D9</f>
        <v>1201.6877966340203</v>
      </c>
    </row>
    <row r="53" spans="3:13" ht="26.25">
      <c r="D53" s="2596" t="s">
        <v>1442</v>
      </c>
      <c r="E53" s="2597">
        <v>2016</v>
      </c>
      <c r="F53" s="2597">
        <v>2017</v>
      </c>
      <c r="G53" s="2597">
        <v>2018</v>
      </c>
      <c r="I53" s="2587" t="s">
        <v>1381</v>
      </c>
      <c r="J53" s="2587" t="s">
        <v>1443</v>
      </c>
      <c r="K53" s="3173" t="s">
        <v>1960</v>
      </c>
      <c r="L53" s="3173" t="s">
        <v>1962</v>
      </c>
      <c r="M53" s="3173" t="s">
        <v>1963</v>
      </c>
    </row>
    <row r="54" spans="3:13">
      <c r="C54" s="2587">
        <v>1</v>
      </c>
      <c r="D54" s="2598" t="s">
        <v>1444</v>
      </c>
      <c r="E54" s="2599">
        <f>2/'Tipo de cambio'!D9</f>
        <v>0.2247191011235955</v>
      </c>
      <c r="F54" s="2599">
        <f>$E$65+($E$49-$E$47)/12*C54/'Tipo de cambio'!$D$9+2/'Tipo de cambio'!D9</f>
        <v>24.937199599456939</v>
      </c>
      <c r="G54" s="2600">
        <f>$F$65+($E$51-$E$49+$F$51-$F$49+$G$51-$G$49)/12*C54/'Tipo de cambio'!$D$9</f>
        <v>64.154343121230184</v>
      </c>
      <c r="I54" s="2601">
        <v>42370</v>
      </c>
      <c r="J54" s="2602">
        <f>E54/($H$45/'Tipo de cambio'!$D$9)</f>
        <v>1.8224578138385588E-5</v>
      </c>
      <c r="K54" s="3175">
        <f>E54*1000/$L$51</f>
        <v>0.18700289855072461</v>
      </c>
      <c r="L54" s="3176">
        <f>K54/('Costeo Productos'!$H$23+'Costeo Productos'!$H$21*4)/20</f>
        <v>4.4279822009885519E-2</v>
      </c>
    </row>
    <row r="55" spans="3:13">
      <c r="C55" s="2587">
        <v>2</v>
      </c>
      <c r="D55" s="2598" t="s">
        <v>1445</v>
      </c>
      <c r="E55" s="2599">
        <f>7/'Tipo de cambio'!D9</f>
        <v>0.78651685393258419</v>
      </c>
      <c r="F55" s="2599">
        <f>$E$65+($E$49-$E$47)/12*C55/'Tipo de cambio'!$D$9+7/'Tipo de cambio'!D9</f>
        <v>26.166902230599259</v>
      </c>
      <c r="G55" s="2600">
        <f>$F$65+($E$51-$E$49+$F$51-$F$49+$G$51-$G$49)/12*C55/'Tipo de cambio'!$D$9</f>
        <v>66.964192032460346</v>
      </c>
      <c r="I55" s="2601">
        <v>42401</v>
      </c>
      <c r="J55" s="2602">
        <f>E55/($H$45/'Tipo de cambio'!$D$9)</f>
        <v>6.3786023484349545E-5</v>
      </c>
      <c r="K55" s="3175">
        <f>E55*1000/$L$51</f>
        <v>0.65451014492753623</v>
      </c>
      <c r="L55" s="3176">
        <f>K55/('Costeo Productos'!$H$23+'Costeo Productos'!$H$21*4)/20</f>
        <v>0.15497937703459935</v>
      </c>
    </row>
    <row r="56" spans="3:13">
      <c r="C56" s="2587">
        <v>3</v>
      </c>
      <c r="D56" s="2598" t="s">
        <v>1446</v>
      </c>
      <c r="E56" s="2599">
        <f>$E$47/12*C56/'Tipo de cambio'!$D$9</f>
        <v>6.0111439050000017</v>
      </c>
      <c r="F56" s="2599">
        <f>$E$65+($E$49-$E$47)/12*C56/'Tipo de cambio'!$D$9+$F$49/'Tipo de cambio'!$D$9/12*C56</f>
        <v>31.288774685000011</v>
      </c>
      <c r="G56" s="2600">
        <f>$F$65+($E$51-$E$49+$F$51-$F$49+$G$51-$G$49)/12*C56/'Tipo de cambio'!$D$9</f>
        <v>69.774040943690494</v>
      </c>
      <c r="I56" s="2601">
        <v>42430</v>
      </c>
      <c r="J56" s="2602">
        <f>E56/($H$45/'Tipo de cambio'!$D$9)</f>
        <v>4.8749999999999998E-4</v>
      </c>
      <c r="K56" s="3175">
        <f>E56*1000/$L$51</f>
        <v>5.0022509355903226</v>
      </c>
      <c r="L56" s="3176">
        <f>K56/('Costeo Productos'!$H$23+'Costeo Productos'!$H$21*4)/20</f>
        <v>1.1844671007419769</v>
      </c>
    </row>
    <row r="57" spans="3:13">
      <c r="C57" s="2587">
        <v>4</v>
      </c>
      <c r="D57" s="2598" t="s">
        <v>1447</v>
      </c>
      <c r="E57" s="2599">
        <f>$E$47/12*C57/'Tipo de cambio'!$D$9</f>
        <v>8.0148585400000023</v>
      </c>
      <c r="F57" s="2599">
        <f>$E$65+($E$49-$E$47)/12*C57/'Tipo de cambio'!$D$9+$F$49/'Tipo de cambio'!$D$9/12*C57</f>
        <v>33.703507706666677</v>
      </c>
      <c r="G57" s="2600">
        <f>$F$65+($E$51-$E$49+$F$51-$F$49+$G$51-$G$49)/12*C57/'Tipo de cambio'!$D$9</f>
        <v>72.583889854920656</v>
      </c>
      <c r="I57" s="2601">
        <v>42461</v>
      </c>
      <c r="J57" s="2602">
        <f>E57/($H$45/'Tipo de cambio'!$D$9)</f>
        <v>6.4999999999999997E-4</v>
      </c>
      <c r="K57" s="3175">
        <f>E57*1000/$L$51</f>
        <v>6.6696679141204305</v>
      </c>
      <c r="L57" s="3176">
        <f>K57/('Costeo Productos'!$H$23+'Costeo Productos'!$H$21*4)/20</f>
        <v>1.5792894676559692</v>
      </c>
    </row>
    <row r="58" spans="3:13">
      <c r="C58" s="2587">
        <v>5</v>
      </c>
      <c r="D58" s="2598" t="s">
        <v>1448</v>
      </c>
      <c r="E58" s="2599">
        <f>$E$47/12*C58/'Tipo de cambio'!$D$9</f>
        <v>10.018573175000002</v>
      </c>
      <c r="F58" s="2599">
        <f>$E$65+($E$49-$E$47)/12*C58/'Tipo de cambio'!$D$9+$F$49/'Tipo de cambio'!$D$9/12*C58</f>
        <v>36.118240728333348</v>
      </c>
      <c r="G58" s="2600">
        <f>$F$65+($E$51-$E$49+$F$51-$F$49+$G$51-$G$49)/12*C58/'Tipo de cambio'!$D$9</f>
        <v>75.393738766150818</v>
      </c>
      <c r="I58" s="2601">
        <v>42491</v>
      </c>
      <c r="J58" s="2602">
        <f>E58/($H$45/'Tipo de cambio'!$D$9)</f>
        <v>8.1249999999999985E-4</v>
      </c>
      <c r="K58" s="3175">
        <f>E58*1000/$L$51</f>
        <v>8.3370848926505374</v>
      </c>
      <c r="L58" s="3176">
        <f>K58/('Costeo Productos'!$H$23+'Costeo Productos'!$H$21*4)/20</f>
        <v>1.9741118345699615</v>
      </c>
    </row>
    <row r="59" spans="3:13">
      <c r="C59" s="2587">
        <v>6</v>
      </c>
      <c r="D59" s="2598" t="s">
        <v>1449</v>
      </c>
      <c r="E59" s="2599">
        <f>$E$47/12*C59/'Tipo de cambio'!$D$9</f>
        <v>12.022287810000003</v>
      </c>
      <c r="F59" s="2599">
        <f>$E$65+($E$49-$E$47)/12*C59/'Tipo de cambio'!$D$9+$F$49/'Tipo de cambio'!$D$9/12*C59</f>
        <v>38.532973750000011</v>
      </c>
      <c r="G59" s="2600">
        <f>$F$65+($E$51-$E$49+$F$51-$F$49+$G$51-$G$49)/12*C59/'Tipo de cambio'!$D$9</f>
        <v>78.203587677380966</v>
      </c>
      <c r="I59" s="2601">
        <v>42522</v>
      </c>
      <c r="J59" s="2602">
        <f>E59/($H$45/'Tipo de cambio'!$D$9)</f>
        <v>9.7499999999999996E-4</v>
      </c>
      <c r="K59" s="3175">
        <f>E59*1000/$L$51</f>
        <v>10.004501871180645</v>
      </c>
      <c r="L59" s="3176">
        <f>K59/('Costeo Productos'!$H$23+'Costeo Productos'!$H$21*4)/20</f>
        <v>2.3689342014839538</v>
      </c>
    </row>
    <row r="60" spans="3:13">
      <c r="C60" s="2587">
        <v>7</v>
      </c>
      <c r="D60" s="2598" t="s">
        <v>1450</v>
      </c>
      <c r="E60" s="2599">
        <f>$E$47/12*C60/'Tipo de cambio'!$D$9</f>
        <v>14.026002445000003</v>
      </c>
      <c r="F60" s="2599">
        <f>$E$65+($E$49-$E$47)/12*C60/'Tipo de cambio'!$D$9+$F$49/'Tipo de cambio'!$D$9/12*C60+2/'Tipo de cambio'!$D$9</f>
        <v>41.172425872790278</v>
      </c>
      <c r="G60" s="2600">
        <f>$F$65+($E$51-$E$49+$F$51-$F$49+$G$51-$G$49)/12*C60/'Tipo de cambio'!$D$9</f>
        <v>81.013436588611142</v>
      </c>
      <c r="I60" s="2601">
        <v>42552</v>
      </c>
      <c r="J60" s="2602">
        <f>E60/($H$45/'Tipo de cambio'!$D$9)</f>
        <v>1.1374999999999998E-3</v>
      </c>
      <c r="K60" s="3175">
        <f>E60*1000/$L$51</f>
        <v>11.671918849710753</v>
      </c>
      <c r="L60" s="3176">
        <f>K60/('Costeo Productos'!$H$23+'Costeo Productos'!$H$21*4)/20</f>
        <v>2.7637565683979459</v>
      </c>
    </row>
    <row r="61" spans="3:13">
      <c r="C61" s="2587">
        <v>8</v>
      </c>
      <c r="D61" s="2598" t="s">
        <v>1451</v>
      </c>
      <c r="E61" s="2599">
        <f>$E$47/12*C61/'Tipo de cambio'!$D$9</f>
        <v>16.029717080000005</v>
      </c>
      <c r="F61" s="2599">
        <f>$E$65+($E$49-$E$47)/12*C61/'Tipo de cambio'!$D$9+$F$49/'Tipo de cambio'!$D$9/12*C61+7/'Tipo de cambio'!$D$9</f>
        <v>44.148956647265926</v>
      </c>
      <c r="G61" s="2600">
        <f>$F$65+($E$51-$E$49+$F$51-$F$49+$G$51-$G$49)/12*C61/'Tipo de cambio'!$D$9</f>
        <v>83.82328549984129</v>
      </c>
      <c r="I61" s="2601">
        <v>42583</v>
      </c>
      <c r="J61" s="2602">
        <f>E61/($H$45/'Tipo de cambio'!$D$9)</f>
        <v>1.2999999999999999E-3</v>
      </c>
      <c r="K61" s="3175">
        <f>E61*1000/$L$51</f>
        <v>13.339335828240861</v>
      </c>
      <c r="L61" s="3176">
        <f>K61/('Costeo Productos'!$H$23+'Costeo Productos'!$H$21*4)/20</f>
        <v>3.1585789353119385</v>
      </c>
    </row>
    <row r="62" spans="3:13">
      <c r="C62" s="2587">
        <v>9</v>
      </c>
      <c r="D62" s="2598" t="s">
        <v>1452</v>
      </c>
      <c r="E62" s="2599">
        <f>$E$47/12*C62/'Tipo de cambio'!$D$9</f>
        <v>18.033431715000003</v>
      </c>
      <c r="F62" s="2599">
        <f>$E$65+($E$49-$E$47)/12*C62/'Tipo de cambio'!$D$9+$F$49/'Tipo de cambio'!$D$9/12*C62+$G$49/'Tipo de cambio'!$D$9*(C62-6)/6</f>
        <v>49.938733980000016</v>
      </c>
      <c r="G62" s="2600">
        <f>$F$65+($E$51-$E$49+$F$51-$F$49+$G$51-$G$49)/12*C62/'Tipo de cambio'!$D$9</f>
        <v>86.633134411071453</v>
      </c>
      <c r="I62" s="2601">
        <v>42614</v>
      </c>
      <c r="J62" s="2602">
        <f>E62/($H$45/'Tipo de cambio'!$D$9)</f>
        <v>1.4624999999999996E-3</v>
      </c>
      <c r="K62" s="3175">
        <f>E62*1000/$L$51</f>
        <v>15.006752806770967</v>
      </c>
      <c r="L62" s="3176">
        <f>K62/('Costeo Productos'!$H$23+'Costeo Productos'!$H$21*4)/20</f>
        <v>3.5534013022259301</v>
      </c>
    </row>
    <row r="63" spans="3:13">
      <c r="C63" s="2587">
        <v>10</v>
      </c>
      <c r="D63" s="2598" t="s">
        <v>1453</v>
      </c>
      <c r="E63" s="2599">
        <f>$E$47/12*C63/'Tipo de cambio'!$D$9</f>
        <v>20.037146350000004</v>
      </c>
      <c r="F63" s="2599">
        <f>$E$65+($E$49-$E$47)/12*C63/'Tipo de cambio'!$D$9+$F$49/'Tipo de cambio'!$D$9/12*C63+$G$49/'Tipo de cambio'!$D$9*(C63-6)/6</f>
        <v>53.740654056666678</v>
      </c>
      <c r="G63" s="2600">
        <f>$F$65+($E$51-$E$49+$F$51-$F$49+$G$51-$G$49)/12*C63/'Tipo de cambio'!$D$9</f>
        <v>89.442983322301615</v>
      </c>
      <c r="I63" s="2601">
        <v>42644</v>
      </c>
      <c r="J63" s="2602">
        <f>E63/($H$45/'Tipo de cambio'!$D$9)</f>
        <v>1.6249999999999997E-3</v>
      </c>
      <c r="K63" s="3175">
        <f>E63*1000/$L$51</f>
        <v>16.674169785301075</v>
      </c>
      <c r="L63" s="3176">
        <f>K63/('Costeo Productos'!$H$23+'Costeo Productos'!$H$21*4)/20</f>
        <v>3.9482236691399231</v>
      </c>
    </row>
    <row r="64" spans="3:13">
      <c r="C64" s="2587">
        <v>11</v>
      </c>
      <c r="D64" s="2598" t="s">
        <v>1454</v>
      </c>
      <c r="E64" s="2599">
        <f>$E$47/12*C64/'Tipo de cambio'!$D$9</f>
        <v>22.040860985000002</v>
      </c>
      <c r="F64" s="2599">
        <f>$E$65+($E$49-$E$47)/12*C64/'Tipo de cambio'!$D$9+$F$49/'Tipo de cambio'!$D$9/12*C64+$G$49/'Tipo de cambio'!$D$9*(C64-6)/6</f>
        <v>57.542574133333346</v>
      </c>
      <c r="G64" s="2600">
        <f>$F$65+($E$51-$E$49+$F$51-$F$49+$G$51-$G$49)/12*C64/'Tipo de cambio'!$D$9</f>
        <v>92.252832233531763</v>
      </c>
      <c r="I64" s="2601">
        <v>42675</v>
      </c>
      <c r="J64" s="2602">
        <f>E64/($H$45/'Tipo de cambio'!$D$9)</f>
        <v>1.7874999999999996E-3</v>
      </c>
      <c r="K64" s="3175">
        <f>E64*1000/$L$51</f>
        <v>18.341586763831181</v>
      </c>
      <c r="L64" s="3176">
        <f>K64/('Costeo Productos'!$H$23+'Costeo Productos'!$H$21*4)/20</f>
        <v>4.3430460360539147</v>
      </c>
    </row>
    <row r="65" spans="3:12">
      <c r="C65" s="2587">
        <v>12</v>
      </c>
      <c r="D65" s="2598" t="s">
        <v>1455</v>
      </c>
      <c r="E65" s="2599">
        <f>$E$47/12*C65/'Tipo de cambio'!$D$9</f>
        <v>24.044575620000007</v>
      </c>
      <c r="F65" s="2599">
        <f>$E$65+($E$49-$E$47)/12*C65/'Tipo de cambio'!$D$9+$F$49/'Tipo de cambio'!$D$9/12*C65+$G$49/'Tipo de cambio'!$D$9*(C65-6)/6</f>
        <v>61.344494210000022</v>
      </c>
      <c r="G65" s="2600">
        <f>$F$65+($E$51-$E$49+$F$51-$F$49+$G$51-$G$49)/12*C65/'Tipo de cambio'!$D$9</f>
        <v>95.062681144761925</v>
      </c>
      <c r="I65" s="2601">
        <v>42705</v>
      </c>
      <c r="J65" s="2602">
        <f>E65/($H$45/'Tipo de cambio'!$D$9)</f>
        <v>1.9499999999999999E-3</v>
      </c>
      <c r="K65" s="3175">
        <f>E65*1000/$L$51</f>
        <v>20.009003742361291</v>
      </c>
      <c r="L65" s="3176">
        <f>K65/('Costeo Productos'!$H$23+'Costeo Productos'!$H$21*4)/20</f>
        <v>4.7378684029679077</v>
      </c>
    </row>
    <row r="66" spans="3:12">
      <c r="D66" s="2603" t="s">
        <v>1456</v>
      </c>
      <c r="E66" s="2604">
        <f>SUM(E54:E65)</f>
        <v>151.28983358005621</v>
      </c>
      <c r="F66" s="2604">
        <f>SUM(F54:F65)</f>
        <v>498.63543760011248</v>
      </c>
      <c r="G66" s="2604">
        <f>SUM(G54:G65)</f>
        <v>955.30214559595265</v>
      </c>
      <c r="I66" s="2601">
        <v>42736</v>
      </c>
      <c r="J66" s="2602">
        <f>F54/($H$45/'Tipo de cambio'!$D$9)</f>
        <v>2.0223912448050522E-3</v>
      </c>
      <c r="K66" s="3175">
        <f>F54*1000/$L$51</f>
        <v>20.751812300422056</v>
      </c>
      <c r="L66" s="3176">
        <f>K66/('Costeo Productos'!$H$23+'Costeo Productos'!$H$21*4)/20</f>
        <v>4.9137556806157914</v>
      </c>
    </row>
    <row r="67" spans="3:12">
      <c r="I67" s="2601">
        <v>42767</v>
      </c>
      <c r="J67" s="2602">
        <f>F55/($H$45/'Tipo de cambio'!$D$9)</f>
        <v>2.122119356817683E-3</v>
      </c>
      <c r="K67" s="3175">
        <f t="shared" ref="K67:K78" si="3">F55*1000/$L$51</f>
        <v>21.7751252063089</v>
      </c>
      <c r="L67" s="3176">
        <f>K67/('Costeo Productos'!$H$23+'Costeo Productos'!$H$21*4)/20</f>
        <v>5.1560626912785015</v>
      </c>
    </row>
    <row r="68" spans="3:12">
      <c r="I68" s="2601">
        <v>42795</v>
      </c>
      <c r="J68" s="2602">
        <f>F56/($H$45/'Tipo de cambio'!$D$9)</f>
        <v>2.5374999999999998E-3</v>
      </c>
      <c r="K68" s="3175">
        <f t="shared" si="3"/>
        <v>26.037357433970143</v>
      </c>
      <c r="L68" s="3176">
        <f>K68/('Costeo Productos'!$H$23+'Costeo Productos'!$H$21*4)/20</f>
        <v>6.1653031141184957</v>
      </c>
    </row>
    <row r="69" spans="3:12">
      <c r="I69" s="2601">
        <v>42826</v>
      </c>
      <c r="J69" s="2602">
        <f>F57/($H$45/'Tipo de cambio'!$D$9)</f>
        <v>2.7333333333333333E-3</v>
      </c>
      <c r="K69" s="3175">
        <f t="shared" si="3"/>
        <v>28.046808664506429</v>
      </c>
      <c r="L69" s="3176">
        <f>K69/('Costeo Productos'!$H$23+'Costeo Productos'!$H$21*4)/20</f>
        <v>6.6411146845020257</v>
      </c>
    </row>
    <row r="70" spans="3:12">
      <c r="I70" s="2601">
        <v>42856</v>
      </c>
      <c r="J70" s="2602">
        <f>F58/($H$45/'Tipo de cambio'!$D$9)</f>
        <v>2.9291666666666667E-3</v>
      </c>
      <c r="K70" s="3175">
        <f t="shared" si="3"/>
        <v>30.056259895042711</v>
      </c>
      <c r="L70" s="3176">
        <f>K70/('Costeo Productos'!$H$23+'Costeo Productos'!$H$21*4)/20</f>
        <v>7.1169262548855539</v>
      </c>
    </row>
    <row r="71" spans="3:12" ht="26.25">
      <c r="D71" s="2596" t="s">
        <v>1442</v>
      </c>
      <c r="E71" s="2597">
        <v>2016</v>
      </c>
      <c r="F71" s="2597">
        <v>2017</v>
      </c>
      <c r="G71" s="2597">
        <v>2018</v>
      </c>
      <c r="I71" s="2601">
        <v>42887</v>
      </c>
      <c r="J71" s="2602">
        <f>F59/($H$45/'Tipo de cambio'!$D$9)</f>
        <v>3.1249999999999997E-3</v>
      </c>
      <c r="K71" s="3175">
        <f t="shared" si="3"/>
        <v>32.065711125578993</v>
      </c>
      <c r="L71" s="3176">
        <f>K71/('Costeo Productos'!$H$23+'Costeo Productos'!$H$21*4)/20</f>
        <v>7.5927378252690829</v>
      </c>
    </row>
    <row r="72" spans="3:12">
      <c r="C72" s="2587">
        <v>1</v>
      </c>
      <c r="D72" s="2598" t="s">
        <v>1444</v>
      </c>
      <c r="E72" s="2607">
        <f>E54*'Tipo de cambio'!$D$9</f>
        <v>2</v>
      </c>
      <c r="F72" s="2607">
        <f>F54*'Tipo de cambio'!$D$9</f>
        <v>221.94107643516676</v>
      </c>
      <c r="G72" s="2607">
        <f>G54*'Tipo de cambio'!$D$9</f>
        <v>570.97365377894869</v>
      </c>
      <c r="I72" s="2601">
        <v>42917</v>
      </c>
      <c r="J72" s="2602">
        <f>F60/($H$45/'Tipo de cambio'!$D$9)</f>
        <v>3.3390579114717192E-3</v>
      </c>
      <c r="K72" s="3175">
        <f t="shared" si="3"/>
        <v>34.262165254666002</v>
      </c>
      <c r="L72" s="3176">
        <f>K72/('Costeo Productos'!$H$23+'Costeo Productos'!$H$21*4)/20</f>
        <v>8.1128292176624974</v>
      </c>
    </row>
    <row r="73" spans="3:12">
      <c r="C73" s="2587">
        <v>2</v>
      </c>
      <c r="D73" s="2598" t="s">
        <v>1445</v>
      </c>
      <c r="E73" s="2607">
        <f>E55*'Tipo de cambio'!$D$9</f>
        <v>7</v>
      </c>
      <c r="F73" s="2607">
        <f>F55*'Tipo de cambio'!$D$9</f>
        <v>232.8854298523334</v>
      </c>
      <c r="G73" s="2607">
        <f>G55*'Tipo de cambio'!$D$9</f>
        <v>595.98130908889709</v>
      </c>
      <c r="I73" s="2601">
        <v>42948</v>
      </c>
      <c r="J73" s="2602">
        <f>F61/($H$45/'Tipo de cambio'!$D$9)</f>
        <v>3.5804526901510158E-3</v>
      </c>
      <c r="K73" s="3175">
        <f t="shared" si="3"/>
        <v>36.739123731579092</v>
      </c>
      <c r="L73" s="3176">
        <f>K73/('Costeo Productos'!$H$23+'Costeo Productos'!$H$21*4)/20</f>
        <v>8.699340343070741</v>
      </c>
    </row>
    <row r="74" spans="3:12">
      <c r="C74" s="2587">
        <v>3</v>
      </c>
      <c r="D74" s="2598" t="s">
        <v>1446</v>
      </c>
      <c r="E74" s="2607">
        <f>E56*'Tipo de cambio'!$D$9</f>
        <v>53.499180754500017</v>
      </c>
      <c r="F74" s="2607">
        <f>F56*'Tipo de cambio'!$D$9</f>
        <v>278.4700946965001</v>
      </c>
      <c r="G74" s="2607">
        <f>G56*'Tipo de cambio'!$D$9</f>
        <v>620.98896439884538</v>
      </c>
      <c r="I74" s="2601">
        <v>42979</v>
      </c>
      <c r="J74" s="2602">
        <f>F62/($H$45/'Tipo de cambio'!$D$9)</f>
        <v>4.0499999999999998E-3</v>
      </c>
      <c r="K74" s="3175">
        <f t="shared" si="3"/>
        <v>41.557161618750378</v>
      </c>
      <c r="L74" s="3176">
        <f>K74/('Costeo Productos'!$H$23+'Costeo Productos'!$H$21*4)/20</f>
        <v>9.8401882215487326</v>
      </c>
    </row>
    <row r="75" spans="3:12">
      <c r="C75" s="2587">
        <v>4</v>
      </c>
      <c r="D75" s="2598" t="s">
        <v>1447</v>
      </c>
      <c r="E75" s="2607">
        <f>E57*'Tipo de cambio'!$D$9</f>
        <v>71.332241006000018</v>
      </c>
      <c r="F75" s="2607">
        <f>F57*'Tipo de cambio'!$D$9</f>
        <v>299.96121858933344</v>
      </c>
      <c r="G75" s="2607">
        <f>G57*'Tipo de cambio'!$D$9</f>
        <v>645.9966197087939</v>
      </c>
      <c r="I75" s="2601">
        <v>43009</v>
      </c>
      <c r="J75" s="2602">
        <f>F63/($H$45/'Tipo de cambio'!$D$9)</f>
        <v>4.358333333333333E-3</v>
      </c>
      <c r="K75" s="3175">
        <f t="shared" si="3"/>
        <v>44.720978449807504</v>
      </c>
      <c r="L75" s="3176">
        <f>K75/('Costeo Productos'!$H$23+'Costeo Productos'!$H$21*4)/20</f>
        <v>10.589338353641947</v>
      </c>
    </row>
    <row r="76" spans="3:12">
      <c r="C76" s="2587">
        <v>5</v>
      </c>
      <c r="D76" s="2598" t="s">
        <v>1448</v>
      </c>
      <c r="E76" s="2607">
        <f>E58*'Tipo de cambio'!$D$9</f>
        <v>89.165301257500019</v>
      </c>
      <c r="F76" s="2607">
        <f>F58*'Tipo de cambio'!$D$9</f>
        <v>321.45234248216678</v>
      </c>
      <c r="G76" s="2607">
        <f>G58*'Tipo de cambio'!$D$9</f>
        <v>671.00427501874231</v>
      </c>
      <c r="I76" s="2601">
        <v>43040</v>
      </c>
      <c r="J76" s="2602">
        <f>F64/($H$45/'Tipo de cambio'!$D$9)</f>
        <v>4.6666666666666662E-3</v>
      </c>
      <c r="K76" s="3175">
        <f t="shared" si="3"/>
        <v>47.884795280864623</v>
      </c>
      <c r="L76" s="3176">
        <f>K76/('Costeo Productos'!$H$23+'Costeo Productos'!$H$21*4)/20</f>
        <v>11.338488485735162</v>
      </c>
    </row>
    <row r="77" spans="3:12">
      <c r="C77" s="2587">
        <v>6</v>
      </c>
      <c r="D77" s="2598" t="s">
        <v>1449</v>
      </c>
      <c r="E77" s="2607">
        <f>E59*'Tipo de cambio'!$D$9</f>
        <v>106.99836150900003</v>
      </c>
      <c r="F77" s="2607">
        <f>F59*'Tipo de cambio'!$D$9</f>
        <v>342.94346637500013</v>
      </c>
      <c r="G77" s="2607">
        <f>G59*'Tipo de cambio'!$D$9</f>
        <v>696.0119303286906</v>
      </c>
      <c r="I77" s="2601">
        <v>43070</v>
      </c>
      <c r="J77" s="2602">
        <f>F65/($H$45/'Tipo de cambio'!$D$9)</f>
        <v>4.9750000000000003E-3</v>
      </c>
      <c r="K77" s="3175">
        <f t="shared" si="3"/>
        <v>51.048612111921756</v>
      </c>
      <c r="L77" s="3176">
        <f>K77/('Costeo Productos'!$H$23+'Costeo Productos'!$H$21*4)/20</f>
        <v>12.087638617828379</v>
      </c>
    </row>
    <row r="78" spans="3:12">
      <c r="C78" s="2587">
        <v>7</v>
      </c>
      <c r="D78" s="2598" t="s">
        <v>1450</v>
      </c>
      <c r="E78" s="2607">
        <f>E60*'Tipo de cambio'!$D$9</f>
        <v>124.83142176050004</v>
      </c>
      <c r="F78" s="2607">
        <f>F60*'Tipo de cambio'!$D$9</f>
        <v>366.43459026783347</v>
      </c>
      <c r="G78" s="2607">
        <f>G60*'Tipo de cambio'!$D$9</f>
        <v>721.01958563863923</v>
      </c>
      <c r="I78" s="2601">
        <v>43101</v>
      </c>
      <c r="J78" s="2602">
        <f>G54/($H$45/'Tipo de cambio'!$D$9)</f>
        <v>5.2028769841269843E-3</v>
      </c>
      <c r="K78" s="3175">
        <f>G54*1000/$L$51</f>
        <v>53.386864126380651</v>
      </c>
      <c r="L78" s="3176">
        <f>K78/('Costeo Productos'!$H$23+'Costeo Productos'!$H$21*4)/20</f>
        <v>12.641305880832924</v>
      </c>
    </row>
    <row r="79" spans="3:12">
      <c r="C79" s="2587">
        <v>8</v>
      </c>
      <c r="D79" s="2598" t="s">
        <v>1451</v>
      </c>
      <c r="E79" s="2607">
        <f>E61*'Tipo de cambio'!$D$9</f>
        <v>142.66448201200004</v>
      </c>
      <c r="F79" s="2607">
        <f>F61*'Tipo de cambio'!$D$9</f>
        <v>392.92571416066676</v>
      </c>
      <c r="G79" s="2607">
        <f>G61*'Tipo de cambio'!$D$9</f>
        <v>746.02724094858752</v>
      </c>
      <c r="I79" s="2601">
        <v>43132</v>
      </c>
      <c r="J79" s="2602">
        <f>G55/($H$45/'Tipo de cambio'!$D$9)</f>
        <v>5.4307539682539683E-3</v>
      </c>
      <c r="K79" s="3175">
        <f t="shared" ref="K79:K89" si="4">G55*1000/$L$51</f>
        <v>55.725116140839539</v>
      </c>
      <c r="L79" s="3176">
        <f>K79/('Costeo Productos'!$H$23+'Costeo Productos'!$H$21*4)/20</f>
        <v>13.194973143837467</v>
      </c>
    </row>
    <row r="80" spans="3:12">
      <c r="C80" s="2587">
        <v>9</v>
      </c>
      <c r="D80" s="2598" t="s">
        <v>1452</v>
      </c>
      <c r="E80" s="2607">
        <f>E62*'Tipo de cambio'!$D$9</f>
        <v>160.49754226350004</v>
      </c>
      <c r="F80" s="2607">
        <f>F62*'Tipo de cambio'!$D$9</f>
        <v>444.45473242200018</v>
      </c>
      <c r="G80" s="2607">
        <f>G62*'Tipo de cambio'!$D$9</f>
        <v>771.03489625853592</v>
      </c>
      <c r="I80" s="2601">
        <v>43160</v>
      </c>
      <c r="J80" s="2602">
        <f>G56/($H$45/'Tipo de cambio'!$D$9)</f>
        <v>5.6586309523809514E-3</v>
      </c>
      <c r="K80" s="3175">
        <f t="shared" si="4"/>
        <v>58.063368155298413</v>
      </c>
      <c r="L80" s="3176">
        <f>K80/('Costeo Productos'!$H$23+'Costeo Productos'!$H$21*4)/20</f>
        <v>13.748640406842005</v>
      </c>
    </row>
    <row r="81" spans="3:12">
      <c r="C81" s="2587">
        <v>10</v>
      </c>
      <c r="D81" s="2598" t="s">
        <v>1453</v>
      </c>
      <c r="E81" s="2607">
        <f>E63*'Tipo de cambio'!$D$9</f>
        <v>178.33060251500004</v>
      </c>
      <c r="F81" s="2607">
        <f>F63*'Tipo de cambio'!$D$9</f>
        <v>478.29182110433345</v>
      </c>
      <c r="G81" s="2607">
        <f>G63*'Tipo de cambio'!$D$9</f>
        <v>796.04255156848444</v>
      </c>
      <c r="I81" s="2601">
        <v>43191</v>
      </c>
      <c r="J81" s="2602">
        <f>G57/($H$45/'Tipo de cambio'!$D$9)</f>
        <v>5.8865079365079363E-3</v>
      </c>
      <c r="K81" s="3175">
        <f t="shared" si="4"/>
        <v>60.401620169757301</v>
      </c>
      <c r="L81" s="3176">
        <f>K81/('Costeo Productos'!$H$23+'Costeo Productos'!$H$21*4)/20</f>
        <v>14.302307669846547</v>
      </c>
    </row>
    <row r="82" spans="3:12">
      <c r="C82" s="2587">
        <v>11</v>
      </c>
      <c r="D82" s="2598" t="s">
        <v>1454</v>
      </c>
      <c r="E82" s="2607">
        <f>E64*'Tipo de cambio'!$D$9</f>
        <v>196.16366276650004</v>
      </c>
      <c r="F82" s="2607">
        <f>F64*'Tipo de cambio'!$D$9</f>
        <v>512.12890978666678</v>
      </c>
      <c r="G82" s="2607">
        <f>G64*'Tipo de cambio'!$D$9</f>
        <v>821.05020687843273</v>
      </c>
      <c r="I82" s="2601">
        <v>43221</v>
      </c>
      <c r="J82" s="2602">
        <f>G58/($H$45/'Tipo de cambio'!$D$9)</f>
        <v>6.1143849206349203E-3</v>
      </c>
      <c r="K82" s="3175">
        <f t="shared" si="4"/>
        <v>62.739872184216189</v>
      </c>
      <c r="L82" s="3176">
        <f>K82/('Costeo Productos'!$H$23+'Costeo Productos'!$H$21*4)/20</f>
        <v>14.855974932851092</v>
      </c>
    </row>
    <row r="83" spans="3:12">
      <c r="C83" s="2587">
        <v>12</v>
      </c>
      <c r="D83" s="2598" t="s">
        <v>1455</v>
      </c>
      <c r="E83" s="2607">
        <f>E65*'Tipo de cambio'!$D$9</f>
        <v>213.99672301800007</v>
      </c>
      <c r="F83" s="2607">
        <f>F65*'Tipo de cambio'!$D$9</f>
        <v>545.96599846900017</v>
      </c>
      <c r="G83" s="2607">
        <f>G65*'Tipo de cambio'!$D$9</f>
        <v>846.05786218838114</v>
      </c>
      <c r="I83" s="2601">
        <v>43252</v>
      </c>
      <c r="J83" s="2602">
        <f>G59/($H$45/'Tipo de cambio'!$D$9)</f>
        <v>6.3422619047619035E-3</v>
      </c>
      <c r="K83" s="3175">
        <f t="shared" si="4"/>
        <v>65.078124198675084</v>
      </c>
      <c r="L83" s="3176">
        <f>K83/('Costeo Productos'!$H$23+'Costeo Productos'!$H$21*4)/20</f>
        <v>15.409642195855636</v>
      </c>
    </row>
    <row r="84" spans="3:12">
      <c r="D84" s="2603" t="s">
        <v>1456</v>
      </c>
      <c r="E84" s="2608">
        <f>SUM(E72:E83)</f>
        <v>1346.4795188625003</v>
      </c>
      <c r="F84" s="2608">
        <f>SUM(F72:F83)</f>
        <v>4437.8553946410011</v>
      </c>
      <c r="G84" s="2608">
        <f>SUM(G72:G83)</f>
        <v>8502.1890958039785</v>
      </c>
      <c r="I84" s="2601">
        <v>43282</v>
      </c>
      <c r="J84" s="2602">
        <f>G60/($H$45/'Tipo de cambio'!$D$9)</f>
        <v>6.5701388888888893E-3</v>
      </c>
      <c r="K84" s="3175">
        <f t="shared" si="4"/>
        <v>67.416376213133972</v>
      </c>
      <c r="L84" s="3176">
        <f>K84/('Costeo Productos'!$H$23+'Costeo Productos'!$H$21*4)/20</f>
        <v>15.963309458860177</v>
      </c>
    </row>
    <row r="85" spans="3:12">
      <c r="I85" s="2601">
        <v>43313</v>
      </c>
      <c r="J85" s="2602">
        <f>G61/($H$45/'Tipo de cambio'!$D$9)</f>
        <v>6.7980158730158724E-3</v>
      </c>
      <c r="K85" s="3175">
        <f t="shared" si="4"/>
        <v>69.75462822759286</v>
      </c>
      <c r="L85" s="3176">
        <f>K85/('Costeo Productos'!$H$23+'Costeo Productos'!$H$21*4)/20</f>
        <v>16.516976721864719</v>
      </c>
    </row>
    <row r="86" spans="3:12">
      <c r="I86" s="2601">
        <v>43344</v>
      </c>
      <c r="J86" s="2602">
        <f>G62/($H$45/'Tipo de cambio'!$D$9)</f>
        <v>7.0258928571428564E-3</v>
      </c>
      <c r="K86" s="3175">
        <f t="shared" si="4"/>
        <v>72.092880242051748</v>
      </c>
      <c r="L86" s="3176">
        <f>K86/('Costeo Productos'!$H$23+'Costeo Productos'!$H$21*4)/20</f>
        <v>17.070643984869264</v>
      </c>
    </row>
    <row r="87" spans="3:12">
      <c r="I87" s="2601">
        <v>43374</v>
      </c>
      <c r="J87" s="2602">
        <f>G63/($H$45/'Tipo de cambio'!$D$9)</f>
        <v>7.2537698412698413E-3</v>
      </c>
      <c r="K87" s="3175">
        <f t="shared" si="4"/>
        <v>74.431132256510637</v>
      </c>
      <c r="L87" s="3176">
        <f>K87/('Costeo Productos'!$H$23+'Costeo Productos'!$H$21*4)/20</f>
        <v>17.624311247873806</v>
      </c>
    </row>
    <row r="88" spans="3:12">
      <c r="I88" s="2601">
        <v>43405</v>
      </c>
      <c r="J88" s="2602">
        <f>G64/($H$45/'Tipo de cambio'!$D$9)</f>
        <v>7.4816468253968245E-3</v>
      </c>
      <c r="K88" s="3175">
        <f t="shared" si="4"/>
        <v>76.76938427096951</v>
      </c>
      <c r="L88" s="3176">
        <f>K88/('Costeo Productos'!$H$23+'Costeo Productos'!$H$21*4)/20</f>
        <v>18.177978510878344</v>
      </c>
    </row>
    <row r="89" spans="3:12">
      <c r="I89" s="2601">
        <v>43435</v>
      </c>
      <c r="J89" s="2602">
        <f>G65/($H$45/'Tipo de cambio'!$D$9)</f>
        <v>7.7095238095238085E-3</v>
      </c>
      <c r="K89" s="3175">
        <f t="shared" si="4"/>
        <v>79.107636285428399</v>
      </c>
      <c r="L89" s="3176">
        <f>K89/('Costeo Productos'!$H$23+'Costeo Productos'!$H$21*4)/20</f>
        <v>18.731645773882885</v>
      </c>
    </row>
    <row r="92" spans="3:12">
      <c r="D92" s="2763" t="s">
        <v>1697</v>
      </c>
      <c r="E92" s="2763" t="s">
        <v>1702</v>
      </c>
    </row>
    <row r="93" spans="3:12">
      <c r="D93" s="2601">
        <v>42370</v>
      </c>
      <c r="E93" s="2764">
        <f>E72</f>
        <v>2</v>
      </c>
    </row>
    <row r="94" spans="3:12">
      <c r="D94" s="2601">
        <v>42401</v>
      </c>
      <c r="E94" s="2764">
        <f t="shared" ref="E94:E104" si="5">E73</f>
        <v>7</v>
      </c>
    </row>
    <row r="95" spans="3:12">
      <c r="D95" s="2601">
        <v>42430</v>
      </c>
      <c r="E95" s="2764">
        <f t="shared" si="5"/>
        <v>53.499180754500017</v>
      </c>
    </row>
    <row r="96" spans="3:12">
      <c r="D96" s="2601">
        <v>42461</v>
      </c>
      <c r="E96" s="2764">
        <f t="shared" si="5"/>
        <v>71.332241006000018</v>
      </c>
    </row>
    <row r="97" spans="4:5">
      <c r="D97" s="2601">
        <v>42491</v>
      </c>
      <c r="E97" s="2764">
        <f t="shared" si="5"/>
        <v>89.165301257500019</v>
      </c>
    </row>
    <row r="98" spans="4:5">
      <c r="D98" s="2601">
        <v>42522</v>
      </c>
      <c r="E98" s="2764">
        <f t="shared" si="5"/>
        <v>106.99836150900003</v>
      </c>
    </row>
    <row r="99" spans="4:5">
      <c r="D99" s="2601">
        <v>42552</v>
      </c>
      <c r="E99" s="2764">
        <f t="shared" si="5"/>
        <v>124.83142176050004</v>
      </c>
    </row>
    <row r="100" spans="4:5">
      <c r="D100" s="2601">
        <v>42583</v>
      </c>
      <c r="E100" s="2764">
        <f t="shared" si="5"/>
        <v>142.66448201200004</v>
      </c>
    </row>
    <row r="101" spans="4:5">
      <c r="D101" s="2601">
        <v>42614</v>
      </c>
      <c r="E101" s="2764">
        <f t="shared" si="5"/>
        <v>160.49754226350004</v>
      </c>
    </row>
    <row r="102" spans="4:5">
      <c r="D102" s="2601">
        <v>42644</v>
      </c>
      <c r="E102" s="2764">
        <f t="shared" si="5"/>
        <v>178.33060251500004</v>
      </c>
    </row>
    <row r="103" spans="4:5">
      <c r="D103" s="2601">
        <v>42675</v>
      </c>
      <c r="E103" s="2764">
        <f t="shared" si="5"/>
        <v>196.16366276650004</v>
      </c>
    </row>
    <row r="104" spans="4:5">
      <c r="D104" s="2601">
        <v>42705</v>
      </c>
      <c r="E104" s="2764">
        <f t="shared" si="5"/>
        <v>213.99672301800007</v>
      </c>
    </row>
    <row r="105" spans="4:5">
      <c r="D105" s="2601">
        <v>42736</v>
      </c>
      <c r="E105" s="2764">
        <f>F72</f>
        <v>221.94107643516676</v>
      </c>
    </row>
    <row r="106" spans="4:5">
      <c r="D106" s="2601">
        <v>42767</v>
      </c>
      <c r="E106" s="2764">
        <f t="shared" ref="E106:E116" si="6">F73</f>
        <v>232.8854298523334</v>
      </c>
    </row>
    <row r="107" spans="4:5">
      <c r="D107" s="2601">
        <v>42795</v>
      </c>
      <c r="E107" s="2764">
        <f t="shared" si="6"/>
        <v>278.4700946965001</v>
      </c>
    </row>
    <row r="108" spans="4:5">
      <c r="D108" s="2601">
        <v>42826</v>
      </c>
      <c r="E108" s="2764">
        <f t="shared" si="6"/>
        <v>299.96121858933344</v>
      </c>
    </row>
    <row r="109" spans="4:5">
      <c r="D109" s="2601">
        <v>42856</v>
      </c>
      <c r="E109" s="2764">
        <f t="shared" si="6"/>
        <v>321.45234248216678</v>
      </c>
    </row>
    <row r="110" spans="4:5">
      <c r="D110" s="2601">
        <v>42887</v>
      </c>
      <c r="E110" s="2764">
        <f t="shared" si="6"/>
        <v>342.94346637500013</v>
      </c>
    </row>
    <row r="111" spans="4:5">
      <c r="D111" s="2601">
        <v>42917</v>
      </c>
      <c r="E111" s="2764">
        <f t="shared" si="6"/>
        <v>366.43459026783347</v>
      </c>
    </row>
    <row r="112" spans="4:5">
      <c r="D112" s="2601">
        <v>42948</v>
      </c>
      <c r="E112" s="2764">
        <f t="shared" si="6"/>
        <v>392.92571416066676</v>
      </c>
    </row>
    <row r="113" spans="4:5">
      <c r="D113" s="2601">
        <v>42979</v>
      </c>
      <c r="E113" s="2764">
        <f t="shared" si="6"/>
        <v>444.45473242200018</v>
      </c>
    </row>
    <row r="114" spans="4:5">
      <c r="D114" s="2601">
        <v>43009</v>
      </c>
      <c r="E114" s="2764">
        <f t="shared" si="6"/>
        <v>478.29182110433345</v>
      </c>
    </row>
    <row r="115" spans="4:5">
      <c r="D115" s="2601">
        <v>43040</v>
      </c>
      <c r="E115" s="2764">
        <f t="shared" si="6"/>
        <v>512.12890978666678</v>
      </c>
    </row>
    <row r="116" spans="4:5">
      <c r="D116" s="2601">
        <v>43070</v>
      </c>
      <c r="E116" s="2764">
        <f t="shared" si="6"/>
        <v>545.96599846900017</v>
      </c>
    </row>
    <row r="117" spans="4:5">
      <c r="D117" s="2601">
        <v>43101</v>
      </c>
      <c r="E117" s="2764">
        <f>G72</f>
        <v>570.97365377894869</v>
      </c>
    </row>
    <row r="118" spans="4:5">
      <c r="D118" s="2601">
        <v>43132</v>
      </c>
      <c r="E118" s="2764">
        <f t="shared" ref="E118:E128" si="7">G73</f>
        <v>595.98130908889709</v>
      </c>
    </row>
    <row r="119" spans="4:5">
      <c r="D119" s="2601">
        <v>43160</v>
      </c>
      <c r="E119" s="2764">
        <f t="shared" si="7"/>
        <v>620.98896439884538</v>
      </c>
    </row>
    <row r="120" spans="4:5">
      <c r="D120" s="2601">
        <v>43191</v>
      </c>
      <c r="E120" s="2764">
        <f t="shared" si="7"/>
        <v>645.9966197087939</v>
      </c>
    </row>
    <row r="121" spans="4:5">
      <c r="D121" s="2601">
        <v>43221</v>
      </c>
      <c r="E121" s="2764">
        <f t="shared" si="7"/>
        <v>671.00427501874231</v>
      </c>
    </row>
    <row r="122" spans="4:5">
      <c r="D122" s="2601">
        <v>43252</v>
      </c>
      <c r="E122" s="2764">
        <f t="shared" si="7"/>
        <v>696.0119303286906</v>
      </c>
    </row>
    <row r="123" spans="4:5">
      <c r="D123" s="2601">
        <v>43282</v>
      </c>
      <c r="E123" s="2764">
        <f t="shared" si="7"/>
        <v>721.01958563863923</v>
      </c>
    </row>
    <row r="124" spans="4:5">
      <c r="D124" s="2601">
        <v>43313</v>
      </c>
      <c r="E124" s="2764">
        <f t="shared" si="7"/>
        <v>746.02724094858752</v>
      </c>
    </row>
    <row r="125" spans="4:5">
      <c r="D125" s="2601">
        <v>43344</v>
      </c>
      <c r="E125" s="2764">
        <f t="shared" si="7"/>
        <v>771.03489625853592</v>
      </c>
    </row>
    <row r="126" spans="4:5">
      <c r="D126" s="2601">
        <v>43374</v>
      </c>
      <c r="E126" s="2764">
        <f t="shared" si="7"/>
        <v>796.04255156848444</v>
      </c>
    </row>
    <row r="127" spans="4:5">
      <c r="D127" s="2601">
        <v>43405</v>
      </c>
      <c r="E127" s="2764">
        <f t="shared" si="7"/>
        <v>821.05020687843273</v>
      </c>
    </row>
    <row r="128" spans="4:5">
      <c r="D128" s="2601">
        <v>43435</v>
      </c>
      <c r="E128" s="2764">
        <f t="shared" si="7"/>
        <v>846.05786218838114</v>
      </c>
    </row>
    <row r="129" spans="4:5">
      <c r="D129" s="2601">
        <v>43466</v>
      </c>
      <c r="E129" s="2764">
        <f>E128</f>
        <v>846.05786218838114</v>
      </c>
    </row>
    <row r="130" spans="4:5">
      <c r="D130" s="2601">
        <v>43497</v>
      </c>
      <c r="E130" s="2764">
        <f t="shared" ref="E130:E152" si="8">E129</f>
        <v>846.05786218838114</v>
      </c>
    </row>
    <row r="131" spans="4:5">
      <c r="D131" s="2601">
        <v>43525</v>
      </c>
      <c r="E131" s="2764">
        <f t="shared" si="8"/>
        <v>846.05786218838114</v>
      </c>
    </row>
    <row r="132" spans="4:5">
      <c r="D132" s="2601">
        <v>43556</v>
      </c>
      <c r="E132" s="2764">
        <f t="shared" si="8"/>
        <v>846.05786218838114</v>
      </c>
    </row>
    <row r="133" spans="4:5">
      <c r="D133" s="2601">
        <v>43586</v>
      </c>
      <c r="E133" s="2764">
        <f t="shared" si="8"/>
        <v>846.05786218838114</v>
      </c>
    </row>
    <row r="134" spans="4:5">
      <c r="D134" s="2601">
        <v>43617</v>
      </c>
      <c r="E134" s="2764">
        <f t="shared" si="8"/>
        <v>846.05786218838114</v>
      </c>
    </row>
    <row r="135" spans="4:5">
      <c r="D135" s="2601">
        <v>43647</v>
      </c>
      <c r="E135" s="2764">
        <f t="shared" si="8"/>
        <v>846.05786218838114</v>
      </c>
    </row>
    <row r="136" spans="4:5">
      <c r="D136" s="2601">
        <v>43678</v>
      </c>
      <c r="E136" s="2764">
        <f t="shared" si="8"/>
        <v>846.05786218838114</v>
      </c>
    </row>
    <row r="137" spans="4:5">
      <c r="D137" s="2601">
        <v>43709</v>
      </c>
      <c r="E137" s="2764">
        <f t="shared" si="8"/>
        <v>846.05786218838114</v>
      </c>
    </row>
    <row r="138" spans="4:5">
      <c r="D138" s="2601">
        <v>43739</v>
      </c>
      <c r="E138" s="2764">
        <f t="shared" si="8"/>
        <v>846.05786218838114</v>
      </c>
    </row>
    <row r="139" spans="4:5">
      <c r="D139" s="2601">
        <v>43770</v>
      </c>
      <c r="E139" s="2764">
        <f t="shared" si="8"/>
        <v>846.05786218838114</v>
      </c>
    </row>
    <row r="140" spans="4:5">
      <c r="D140" s="2601">
        <v>43800</v>
      </c>
      <c r="E140" s="2764">
        <f t="shared" si="8"/>
        <v>846.05786218838114</v>
      </c>
    </row>
    <row r="141" spans="4:5">
      <c r="D141" s="2601">
        <v>43831</v>
      </c>
      <c r="E141" s="2764">
        <f t="shared" si="8"/>
        <v>846.05786218838114</v>
      </c>
    </row>
    <row r="142" spans="4:5">
      <c r="D142" s="2601">
        <v>43862</v>
      </c>
      <c r="E142" s="2764">
        <f t="shared" si="8"/>
        <v>846.05786218838114</v>
      </c>
    </row>
    <row r="143" spans="4:5">
      <c r="D143" s="2601">
        <v>43891</v>
      </c>
      <c r="E143" s="2764">
        <f t="shared" si="8"/>
        <v>846.05786218838114</v>
      </c>
    </row>
    <row r="144" spans="4:5">
      <c r="D144" s="2601">
        <v>43922</v>
      </c>
      <c r="E144" s="2764">
        <f t="shared" si="8"/>
        <v>846.05786218838114</v>
      </c>
    </row>
    <row r="145" spans="4:5">
      <c r="D145" s="2601">
        <v>43952</v>
      </c>
      <c r="E145" s="2764">
        <f t="shared" si="8"/>
        <v>846.05786218838114</v>
      </c>
    </row>
    <row r="146" spans="4:5">
      <c r="D146" s="2601">
        <v>43983</v>
      </c>
      <c r="E146" s="2764">
        <f t="shared" si="8"/>
        <v>846.05786218838114</v>
      </c>
    </row>
    <row r="147" spans="4:5">
      <c r="D147" s="2601">
        <v>44013</v>
      </c>
      <c r="E147" s="2764">
        <f t="shared" si="8"/>
        <v>846.05786218838114</v>
      </c>
    </row>
    <row r="148" spans="4:5">
      <c r="D148" s="2601">
        <v>44044</v>
      </c>
      <c r="E148" s="2764">
        <f t="shared" si="8"/>
        <v>846.05786218838114</v>
      </c>
    </row>
    <row r="149" spans="4:5">
      <c r="D149" s="2601">
        <v>44075</v>
      </c>
      <c r="E149" s="2764">
        <f t="shared" si="8"/>
        <v>846.05786218838114</v>
      </c>
    </row>
    <row r="150" spans="4:5">
      <c r="D150" s="2601">
        <v>44105</v>
      </c>
      <c r="E150" s="2764">
        <f t="shared" si="8"/>
        <v>846.05786218838114</v>
      </c>
    </row>
    <row r="151" spans="4:5">
      <c r="D151" s="2601">
        <v>44136</v>
      </c>
      <c r="E151" s="2764">
        <f t="shared" si="8"/>
        <v>846.05786218838114</v>
      </c>
    </row>
    <row r="152" spans="4:5">
      <c r="D152" s="2601">
        <v>44166</v>
      </c>
      <c r="E152" s="2764">
        <f t="shared" si="8"/>
        <v>846.05786218838114</v>
      </c>
    </row>
  </sheetData>
  <mergeCells count="3">
    <mergeCell ref="C46:C51"/>
    <mergeCell ref="A37:A38"/>
    <mergeCell ref="A39:A40"/>
  </mergeCells>
  <pageMargins left="0.7" right="0.7" top="0.75" bottom="0.75" header="0.3" footer="0.3"/>
  <pageSetup orientation="portrait" verticalDpi="3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32</vt:i4>
      </vt:variant>
    </vt:vector>
  </HeadingPairs>
  <TitlesOfParts>
    <vt:vector size="75" baseType="lpstr">
      <vt:lpstr>Cpte exploitation ARG</vt:lpstr>
      <vt:lpstr>Cuadro de Resultados</vt:lpstr>
      <vt:lpstr>Cta explotacion OVL</vt:lpstr>
      <vt:lpstr>Cta explotacion OVS</vt:lpstr>
      <vt:lpstr>Análisis financiero</vt:lpstr>
      <vt:lpstr>Resumen</vt:lpstr>
      <vt:lpstr>Pendientes</vt:lpstr>
      <vt:lpstr>Top-down analysis</vt:lpstr>
      <vt:lpstr>Mercado potencial</vt:lpstr>
      <vt:lpstr>Costeo Productos</vt:lpstr>
      <vt:lpstr>Insumos y MP</vt:lpstr>
      <vt:lpstr>Personal </vt:lpstr>
      <vt:lpstr>Oficinas</vt:lpstr>
      <vt:lpstr>Costo logístico</vt:lpstr>
      <vt:lpstr>Costo MKT y Comercialización</vt:lpstr>
      <vt:lpstr>Inversión</vt:lpstr>
      <vt:lpstr>Gastos Generales</vt:lpstr>
      <vt:lpstr>Sistemas</vt:lpstr>
      <vt:lpstr>Cronograma de implementación</vt:lpstr>
      <vt:lpstr>KSF</vt:lpstr>
      <vt:lpstr>Tipo de cambio</vt:lpstr>
      <vt:lpstr>Mode Opératoire</vt:lpstr>
      <vt:lpstr>Mode d'emploi_Instructions</vt:lpstr>
      <vt:lpstr>Cpte exploitation 1+2+3</vt:lpstr>
      <vt:lpstr>A</vt:lpstr>
      <vt:lpstr>UO 1</vt:lpstr>
      <vt:lpstr>UO 2</vt:lpstr>
      <vt:lpstr>UO 3</vt:lpstr>
      <vt:lpstr>Z</vt:lpstr>
      <vt:lpstr>Financier</vt:lpstr>
      <vt:lpstr>Synthèse projet</vt:lpstr>
      <vt:lpstr>Risques</vt:lpstr>
      <vt:lpstr>Immobilier</vt:lpstr>
      <vt:lpstr>Informatique</vt:lpstr>
      <vt:lpstr>IT details</vt:lpstr>
      <vt:lpstr>Equipement</vt:lpstr>
      <vt:lpstr>Option Financement</vt:lpstr>
      <vt:lpstr>graph</vt:lpstr>
      <vt:lpstr>Quote part frais</vt:lpstr>
      <vt:lpstr>cost calculateur</vt:lpstr>
      <vt:lpstr>Cashflow forecast</vt:lpstr>
      <vt:lpstr>Contrôle</vt:lpstr>
      <vt:lpstr>Cashflow</vt:lpstr>
      <vt:lpstr>A!Área_de_impresión</vt:lpstr>
      <vt:lpstr>'Análisis financiero'!Área_de_impresión</vt:lpstr>
      <vt:lpstr>'Cpte exploitation 1+2+3'!Área_de_impresión</vt:lpstr>
      <vt:lpstr>'Cpte exploitation ARG'!Área_de_impresión</vt:lpstr>
      <vt:lpstr>'Cta explotacion OVL'!Área_de_impresión</vt:lpstr>
      <vt:lpstr>'Cta explotacion OVS'!Área_de_impresión</vt:lpstr>
      <vt:lpstr>'Cuadro de Resultados'!Área_de_impresión</vt:lpstr>
      <vt:lpstr>Equipement!Área_de_impresión</vt:lpstr>
      <vt:lpstr>Financier!Área_de_impresión</vt:lpstr>
      <vt:lpstr>Immobilier!Área_de_impresión</vt:lpstr>
      <vt:lpstr>Informatique!Área_de_impresión</vt:lpstr>
      <vt:lpstr>'IT details'!Área_de_impresión</vt:lpstr>
      <vt:lpstr>'Mode d''emploi_Instructions'!Área_de_impresión</vt:lpstr>
      <vt:lpstr>'Mode Opératoire'!Área_de_impresión</vt:lpstr>
      <vt:lpstr>Risques!Área_de_impresión</vt:lpstr>
      <vt:lpstr>'Synthèse projet'!Área_de_impresión</vt:lpstr>
      <vt:lpstr>'UO 1'!Área_de_impresión</vt:lpstr>
      <vt:lpstr>'UO 2'!Área_de_impresión</vt:lpstr>
      <vt:lpstr>'UO 3'!Área_de_impresión</vt:lpstr>
      <vt:lpstr>Z!Área_de_impresión</vt:lpstr>
      <vt:lpstr>graph!Headcount</vt:lpstr>
      <vt:lpstr>'Option Financement'!Headcount</vt:lpstr>
      <vt:lpstr>Headcount</vt:lpstr>
      <vt:lpstr>graph!Info</vt:lpstr>
      <vt:lpstr>'Option Financement'!Info</vt:lpstr>
      <vt:lpstr>Info</vt:lpstr>
      <vt:lpstr>graph!interim</vt:lpstr>
      <vt:lpstr>'Option Financement'!interim</vt:lpstr>
      <vt:lpstr>interim</vt:lpstr>
      <vt:lpstr>'Análisis financiero'!Títulos_a_imprimir</vt:lpstr>
      <vt:lpstr>Financier!Títulos_a_imprimir</vt:lpstr>
      <vt:lpstr>'IT details'!Títulos_a_imprimir</vt:lpstr>
    </vt:vector>
  </TitlesOfParts>
  <Company>GEFCO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GEFCO (Mast V3.0 26-06-2001)</dc:creator>
  <cp:lastModifiedBy>u412168</cp:lastModifiedBy>
  <cp:lastPrinted>2015-04-18T18:54:42Z</cp:lastPrinted>
  <dcterms:created xsi:type="dcterms:W3CDTF">2006-03-21T13:40:07Z</dcterms:created>
  <dcterms:modified xsi:type="dcterms:W3CDTF">2015-06-13T22:33:05Z</dcterms:modified>
</cp:coreProperties>
</file>