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\Desktop\GRANJA TESIS\"/>
    </mc:Choice>
  </mc:AlternateContent>
  <xr:revisionPtr revIDLastSave="0" documentId="13_ncr:1_{68511B36-51D3-46F4-A642-BE6F312943A1}" xr6:coauthVersionLast="47" xr6:coauthVersionMax="47" xr10:uidLastSave="{00000000-0000-0000-0000-000000000000}"/>
  <bookViews>
    <workbookView xWindow="-108" yWindow="-108" windowWidth="23256" windowHeight="12576" tabRatio="1000" xr2:uid="{00000000-000D-0000-FFFF-FFFF00000000}"/>
  </bookViews>
  <sheets>
    <sheet name="DCF" sheetId="110" r:id="rId1"/>
    <sheet name="Estado de Resultados" sheetId="25" r:id="rId2"/>
    <sheet name="Proyecciones económicas" sheetId="49" r:id="rId3"/>
    <sheet name="Ventas históricas" sheetId="54" r:id="rId4"/>
    <sheet name="Precios y Cant. hist." sheetId="57" r:id="rId5"/>
    <sheet name="Costos hist. - Mano de Obra" sheetId="67" r:id="rId6"/>
    <sheet name="Hoja30" sheetId="100" state="hidden" r:id="rId7"/>
    <sheet name="Inversion Inicial" sheetId="33" state="hidden" r:id="rId8"/>
    <sheet name="Costos hist. - Energ. Eléctrica" sheetId="83" r:id="rId9"/>
    <sheet name="Costos hist. - GLP" sheetId="107" r:id="rId10"/>
    <sheet name="Costos estimados - Mant." sheetId="68" r:id="rId11"/>
    <sheet name="Hoja2" sheetId="116" r:id="rId12"/>
    <sheet name="Bienes de Uso" sheetId="37" state="hidden" r:id="rId13"/>
    <sheet name="Impuestos históricos" sheetId="28" r:id="rId14"/>
    <sheet name="Capital de Trabajo (2022)" sheetId="106" r:id="rId15"/>
    <sheet name="CAPEX (2022)" sheetId="99" r:id="rId16"/>
    <sheet name="Tasa de Descuento" sheetId="108" r:id="rId17"/>
    <sheet name="SENASA - Faena de aves" sheetId="114" r:id="rId18"/>
    <sheet name="Analisis de Sensibilidad" sheetId="118" r:id="rId19"/>
  </sheets>
  <definedNames>
    <definedName name="_xlnm._FilterDatabase" localSheetId="14" hidden="1">'Capital de Trabajo (2022)'!$A$2:$E$98</definedName>
    <definedName name="_xlnm._FilterDatabase" localSheetId="13" hidden="1">'Impuestos históricos'!$A$2:$H$38</definedName>
    <definedName name="_xlnm._FilterDatabase" localSheetId="7" hidden="1">'Inversion Inicial'!$A$2:$R$127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18" l="1"/>
  <c r="D19" i="118"/>
  <c r="D18" i="118"/>
  <c r="D17" i="118"/>
  <c r="C6" i="49"/>
  <c r="F5" i="116"/>
  <c r="F4" i="116"/>
  <c r="K24" i="68"/>
  <c r="N9" i="54"/>
  <c r="B19" i="49" s="1"/>
  <c r="H33" i="57"/>
  <c r="B35" i="49"/>
  <c r="B50" i="49"/>
  <c r="B45" i="49"/>
  <c r="D110" i="49"/>
  <c r="D50" i="49" s="1"/>
  <c r="E110" i="49"/>
  <c r="E50" i="49" s="1"/>
  <c r="F110" i="49"/>
  <c r="F35" i="49" s="1"/>
  <c r="G110" i="49"/>
  <c r="G35" i="49" s="1"/>
  <c r="C110" i="49"/>
  <c r="C45" i="49" s="1"/>
  <c r="C12" i="49"/>
  <c r="D12" i="49"/>
  <c r="E12" i="49"/>
  <c r="F12" i="49"/>
  <c r="G12" i="49"/>
  <c r="B12" i="49"/>
  <c r="D6" i="49"/>
  <c r="E6" i="49"/>
  <c r="F6" i="49"/>
  <c r="G6" i="49"/>
  <c r="B6" i="49"/>
  <c r="C96" i="49"/>
  <c r="W17" i="57"/>
  <c r="Q7" i="114"/>
  <c r="G3" i="99"/>
  <c r="O7" i="99"/>
  <c r="A12" i="99" s="1"/>
  <c r="T40" i="106"/>
  <c r="P5" i="28"/>
  <c r="Q18" i="28"/>
  <c r="B24" i="49"/>
  <c r="P9" i="67"/>
  <c r="K16" i="83"/>
  <c r="L25" i="83"/>
  <c r="B65" i="49"/>
  <c r="N10" i="54"/>
  <c r="N8" i="54"/>
  <c r="N7" i="54"/>
  <c r="N6" i="54"/>
  <c r="N5" i="54"/>
  <c r="N33" i="57"/>
  <c r="B13" i="49" s="1"/>
  <c r="N30" i="57"/>
  <c r="D5" i="49"/>
  <c r="E5" i="49"/>
  <c r="F5" i="49"/>
  <c r="G5" i="49"/>
  <c r="Q6" i="114"/>
  <c r="F45" i="49" l="1"/>
  <c r="D45" i="49"/>
  <c r="E45" i="49"/>
  <c r="G50" i="49"/>
  <c r="F50" i="49"/>
  <c r="E35" i="49"/>
  <c r="D35" i="49"/>
  <c r="G45" i="49"/>
  <c r="C50" i="49"/>
  <c r="C35" i="49"/>
  <c r="F6" i="116"/>
  <c r="C87" i="49"/>
  <c r="D7" i="110" s="1"/>
  <c r="B57" i="49"/>
  <c r="B51" i="49"/>
  <c r="B59" i="49" s="1"/>
  <c r="B55" i="49"/>
  <c r="D23" i="49"/>
  <c r="C11" i="49"/>
  <c r="D96" i="49"/>
  <c r="D98" i="49" s="1"/>
  <c r="D103" i="49" s="1"/>
  <c r="D104" i="49" s="1"/>
  <c r="E96" i="49"/>
  <c r="E98" i="49" s="1"/>
  <c r="E103" i="49" s="1"/>
  <c r="E104" i="49" s="1"/>
  <c r="F96" i="49"/>
  <c r="F98" i="49" s="1"/>
  <c r="F103" i="49" s="1"/>
  <c r="F104" i="49" s="1"/>
  <c r="G96" i="49"/>
  <c r="G98" i="49" s="1"/>
  <c r="G103" i="49" s="1"/>
  <c r="G104" i="49" s="1"/>
  <c r="C98" i="49"/>
  <c r="C103" i="49" s="1"/>
  <c r="C104" i="49" s="1"/>
  <c r="H14" i="106"/>
  <c r="S39" i="106" s="1"/>
  <c r="H13" i="106"/>
  <c r="S38" i="106" s="1"/>
  <c r="H12" i="106"/>
  <c r="S37" i="106" s="1"/>
  <c r="H11" i="106"/>
  <c r="S34" i="106" s="1"/>
  <c r="H10" i="106"/>
  <c r="S33" i="106" s="1"/>
  <c r="H9" i="106"/>
  <c r="S30" i="106" s="1"/>
  <c r="H8" i="106"/>
  <c r="S29" i="106" s="1"/>
  <c r="H7" i="106"/>
  <c r="S26" i="106" s="1"/>
  <c r="H6" i="106"/>
  <c r="S25" i="106" s="1"/>
  <c r="H5" i="106"/>
  <c r="S24" i="106" s="1"/>
  <c r="H4" i="106"/>
  <c r="S21" i="106" s="1"/>
  <c r="H3" i="106"/>
  <c r="S20" i="106" s="1"/>
  <c r="B8" i="108"/>
  <c r="D6" i="108" s="1"/>
  <c r="B5" i="108" s="1"/>
  <c r="B11" i="108" s="1"/>
  <c r="B83" i="49"/>
  <c r="C9" i="110" s="1"/>
  <c r="B36" i="49"/>
  <c r="R12" i="106"/>
  <c r="S36" i="106" s="1"/>
  <c r="R10" i="106"/>
  <c r="S32" i="106" s="1"/>
  <c r="R8" i="106"/>
  <c r="S28" i="106" s="1"/>
  <c r="R5" i="106"/>
  <c r="S23" i="106" s="1"/>
  <c r="R3" i="106"/>
  <c r="S19" i="106" s="1"/>
  <c r="C5" i="49"/>
  <c r="S22" i="106" l="1"/>
  <c r="D15" i="110"/>
  <c r="D16" i="110" s="1"/>
  <c r="C43" i="107"/>
  <c r="G41" i="107"/>
  <c r="H41" i="107" s="1"/>
  <c r="G40" i="107"/>
  <c r="H40" i="107" s="1"/>
  <c r="G39" i="107"/>
  <c r="H39" i="107" s="1"/>
  <c r="T38" i="107"/>
  <c r="S38" i="107"/>
  <c r="G38" i="107"/>
  <c r="H38" i="107" s="1"/>
  <c r="T37" i="107"/>
  <c r="S37" i="107"/>
  <c r="G37" i="107"/>
  <c r="H37" i="107" s="1"/>
  <c r="T36" i="107"/>
  <c r="S36" i="107"/>
  <c r="G36" i="107"/>
  <c r="H36" i="107" s="1"/>
  <c r="T35" i="107"/>
  <c r="S35" i="107"/>
  <c r="G35" i="107"/>
  <c r="H35" i="107" s="1"/>
  <c r="T34" i="107"/>
  <c r="S34" i="107"/>
  <c r="G34" i="107"/>
  <c r="H34" i="107" s="1"/>
  <c r="T33" i="107"/>
  <c r="S33" i="107"/>
  <c r="G33" i="107"/>
  <c r="H33" i="107" s="1"/>
  <c r="T32" i="107"/>
  <c r="S32" i="107"/>
  <c r="G32" i="107"/>
  <c r="H32" i="107" s="1"/>
  <c r="T31" i="107"/>
  <c r="S31" i="107"/>
  <c r="G31" i="107"/>
  <c r="H31" i="107" s="1"/>
  <c r="T30" i="107"/>
  <c r="S30" i="107"/>
  <c r="G30" i="107"/>
  <c r="H30" i="107" s="1"/>
  <c r="T29" i="107"/>
  <c r="S29" i="107"/>
  <c r="G29" i="107"/>
  <c r="H29" i="107" s="1"/>
  <c r="T28" i="107"/>
  <c r="S28" i="107"/>
  <c r="G28" i="107"/>
  <c r="H28" i="107" s="1"/>
  <c r="T27" i="107"/>
  <c r="S27" i="107"/>
  <c r="G27" i="107"/>
  <c r="H27" i="107" s="1"/>
  <c r="T26" i="107"/>
  <c r="S26" i="107"/>
  <c r="G26" i="107"/>
  <c r="H26" i="107" s="1"/>
  <c r="T25" i="107"/>
  <c r="S25" i="107"/>
  <c r="G25" i="107"/>
  <c r="H25" i="107" s="1"/>
  <c r="T24" i="107"/>
  <c r="S24" i="107"/>
  <c r="G24" i="107"/>
  <c r="H24" i="107" s="1"/>
  <c r="T23" i="107"/>
  <c r="S23" i="107"/>
  <c r="T22" i="107"/>
  <c r="S22" i="107"/>
  <c r="T21" i="107"/>
  <c r="S21" i="107"/>
  <c r="T20" i="107"/>
  <c r="S20" i="107"/>
  <c r="G20" i="107"/>
  <c r="H20" i="107" s="1"/>
  <c r="T19" i="107"/>
  <c r="S19" i="107"/>
  <c r="G19" i="107"/>
  <c r="H19" i="107" s="1"/>
  <c r="T18" i="107"/>
  <c r="S18" i="107"/>
  <c r="G18" i="107"/>
  <c r="H18" i="107" s="1"/>
  <c r="T17" i="107"/>
  <c r="S17" i="107"/>
  <c r="G17" i="107"/>
  <c r="H17" i="107" s="1"/>
  <c r="T16" i="107"/>
  <c r="S16" i="107"/>
  <c r="G16" i="107"/>
  <c r="H16" i="107" s="1"/>
  <c r="T15" i="107"/>
  <c r="S15" i="107"/>
  <c r="G15" i="107"/>
  <c r="H15" i="107" s="1"/>
  <c r="T14" i="107"/>
  <c r="S14" i="107"/>
  <c r="G14" i="107"/>
  <c r="H14" i="107" s="1"/>
  <c r="T13" i="107"/>
  <c r="S13" i="107"/>
  <c r="G13" i="107"/>
  <c r="H13" i="107" s="1"/>
  <c r="T12" i="107"/>
  <c r="S12" i="107"/>
  <c r="G12" i="107"/>
  <c r="H12" i="107" s="1"/>
  <c r="T11" i="107"/>
  <c r="S11" i="107"/>
  <c r="G11" i="107"/>
  <c r="H11" i="107" s="1"/>
  <c r="T10" i="107"/>
  <c r="S10" i="107"/>
  <c r="K10" i="107"/>
  <c r="G10" i="107"/>
  <c r="H10" i="107" s="1"/>
  <c r="T9" i="107"/>
  <c r="S9" i="107"/>
  <c r="K9" i="107"/>
  <c r="G9" i="107"/>
  <c r="H9" i="107" s="1"/>
  <c r="T8" i="107"/>
  <c r="S8" i="107"/>
  <c r="K8" i="107"/>
  <c r="G8" i="107"/>
  <c r="H8" i="107" s="1"/>
  <c r="T7" i="107"/>
  <c r="S7" i="107"/>
  <c r="G7" i="107"/>
  <c r="H7" i="107" s="1"/>
  <c r="T6" i="107"/>
  <c r="S6" i="107"/>
  <c r="K6" i="107"/>
  <c r="G6" i="107"/>
  <c r="H6" i="107" s="1"/>
  <c r="T5" i="107"/>
  <c r="S5" i="107"/>
  <c r="K5" i="107"/>
  <c r="G5" i="107"/>
  <c r="H5" i="107" s="1"/>
  <c r="T4" i="107"/>
  <c r="S4" i="107"/>
  <c r="K4" i="107"/>
  <c r="G4" i="107"/>
  <c r="H4" i="107" s="1"/>
  <c r="T3" i="107"/>
  <c r="S3" i="107"/>
  <c r="G3" i="107"/>
  <c r="H3" i="107" s="1"/>
  <c r="E15" i="110" l="1"/>
  <c r="E16" i="110" s="1"/>
  <c r="S35" i="106"/>
  <c r="T35" i="106" s="1"/>
  <c r="S27" i="106"/>
  <c r="T27" i="106" s="1"/>
  <c r="S40" i="106"/>
  <c r="S31" i="106"/>
  <c r="T31" i="106" s="1"/>
  <c r="L6" i="107"/>
  <c r="K14" i="107"/>
  <c r="L10" i="107"/>
  <c r="K13" i="107"/>
  <c r="L4" i="107"/>
  <c r="K12" i="107"/>
  <c r="L8" i="107"/>
  <c r="L9" i="107"/>
  <c r="L5" i="107"/>
  <c r="C43" i="49"/>
  <c r="D43" i="49"/>
  <c r="E43" i="49"/>
  <c r="F43" i="49"/>
  <c r="G43" i="49"/>
  <c r="B43" i="49"/>
  <c r="C41" i="49"/>
  <c r="D41" i="49"/>
  <c r="E41" i="49"/>
  <c r="F41" i="49"/>
  <c r="G41" i="49"/>
  <c r="B41" i="49"/>
  <c r="C82" i="49"/>
  <c r="C81" i="49" s="1"/>
  <c r="D82" i="49"/>
  <c r="E82" i="49"/>
  <c r="F82" i="49"/>
  <c r="G82" i="49"/>
  <c r="G4" i="99"/>
  <c r="O4" i="99" s="1"/>
  <c r="G5" i="99"/>
  <c r="O5" i="99" s="1"/>
  <c r="I5" i="99"/>
  <c r="K5" i="99" s="1"/>
  <c r="N5" i="99" s="1"/>
  <c r="I4" i="99"/>
  <c r="K4" i="99" s="1"/>
  <c r="N4" i="99" s="1"/>
  <c r="F3" i="99"/>
  <c r="I3" i="99" s="1"/>
  <c r="K3" i="99" s="1"/>
  <c r="N3" i="99" s="1"/>
  <c r="S43" i="106" l="1"/>
  <c r="T22" i="106"/>
  <c r="T43" i="106" s="1"/>
  <c r="D81" i="49"/>
  <c r="C83" i="49"/>
  <c r="L13" i="107"/>
  <c r="L14" i="107"/>
  <c r="L12" i="107"/>
  <c r="S3" i="99"/>
  <c r="R3" i="99" s="1"/>
  <c r="D9" i="110" l="1"/>
  <c r="F15" i="110"/>
  <c r="F16" i="110" s="1"/>
  <c r="E81" i="49"/>
  <c r="D83" i="49"/>
  <c r="O3" i="99"/>
  <c r="O6" i="99" s="1"/>
  <c r="F12" i="99" s="1"/>
  <c r="C91" i="49" s="1"/>
  <c r="D8" i="110" s="1"/>
  <c r="D91" i="49" l="1"/>
  <c r="E8" i="110" s="1"/>
  <c r="D10" i="25"/>
  <c r="E9" i="110"/>
  <c r="G15" i="110"/>
  <c r="G16" i="110" s="1"/>
  <c r="C7" i="110"/>
  <c r="F81" i="49"/>
  <c r="E83" i="49"/>
  <c r="J7" i="54"/>
  <c r="E4" i="54"/>
  <c r="B71" i="49"/>
  <c r="G69" i="49"/>
  <c r="F69" i="49"/>
  <c r="E69" i="49"/>
  <c r="D69" i="49"/>
  <c r="D70" i="49" s="1"/>
  <c r="C69" i="49"/>
  <c r="C70" i="49" s="1"/>
  <c r="G64" i="49"/>
  <c r="F64" i="49"/>
  <c r="E64" i="49"/>
  <c r="D64" i="49"/>
  <c r="C64" i="49"/>
  <c r="C51" i="49"/>
  <c r="C36" i="49"/>
  <c r="G29" i="49"/>
  <c r="F29" i="49"/>
  <c r="E29" i="49"/>
  <c r="D29" i="49"/>
  <c r="C29" i="49"/>
  <c r="G23" i="49"/>
  <c r="F23" i="49"/>
  <c r="E23" i="49"/>
  <c r="C23" i="49"/>
  <c r="C24" i="49" s="1"/>
  <c r="D24" i="49" s="1"/>
  <c r="G11" i="49"/>
  <c r="F11" i="49"/>
  <c r="E11" i="49"/>
  <c r="D11" i="49"/>
  <c r="F5" i="83"/>
  <c r="F33" i="83"/>
  <c r="F32" i="83"/>
  <c r="F31" i="83"/>
  <c r="F25" i="83"/>
  <c r="F24" i="83"/>
  <c r="F23" i="83"/>
  <c r="F17" i="83"/>
  <c r="F16" i="83"/>
  <c r="F15" i="83"/>
  <c r="F9" i="83"/>
  <c r="F8" i="83"/>
  <c r="F7" i="83"/>
  <c r="E38" i="83"/>
  <c r="F38" i="83" s="1"/>
  <c r="E37" i="83"/>
  <c r="F37" i="83" s="1"/>
  <c r="E36" i="83"/>
  <c r="F36" i="83" s="1"/>
  <c r="E35" i="83"/>
  <c r="F35" i="83" s="1"/>
  <c r="E34" i="83"/>
  <c r="F34" i="83" s="1"/>
  <c r="E33" i="83"/>
  <c r="E32" i="83"/>
  <c r="E31" i="83"/>
  <c r="E30" i="83"/>
  <c r="F30" i="83" s="1"/>
  <c r="E29" i="83"/>
  <c r="F29" i="83" s="1"/>
  <c r="E28" i="83"/>
  <c r="F28" i="83" s="1"/>
  <c r="E27" i="83"/>
  <c r="F27" i="83" s="1"/>
  <c r="E26" i="83"/>
  <c r="F26" i="83" s="1"/>
  <c r="E25" i="83"/>
  <c r="E24" i="83"/>
  <c r="E23" i="83"/>
  <c r="E22" i="83"/>
  <c r="F22" i="83" s="1"/>
  <c r="E21" i="83"/>
  <c r="F21" i="83" s="1"/>
  <c r="E20" i="83"/>
  <c r="F20" i="83" s="1"/>
  <c r="E19" i="83"/>
  <c r="F19" i="83" s="1"/>
  <c r="E18" i="83"/>
  <c r="F18" i="83" s="1"/>
  <c r="E17" i="83"/>
  <c r="E16" i="83"/>
  <c r="E15" i="83"/>
  <c r="E14" i="83"/>
  <c r="F14" i="83" s="1"/>
  <c r="E13" i="83"/>
  <c r="F13" i="83" s="1"/>
  <c r="E12" i="83"/>
  <c r="F12" i="83" s="1"/>
  <c r="E11" i="83"/>
  <c r="F11" i="83" s="1"/>
  <c r="E10" i="83"/>
  <c r="F10" i="83" s="1"/>
  <c r="E9" i="83"/>
  <c r="E8" i="83"/>
  <c r="E7" i="83"/>
  <c r="E6" i="83"/>
  <c r="F6" i="83" s="1"/>
  <c r="E5" i="83"/>
  <c r="E4" i="83"/>
  <c r="F4" i="83" s="1"/>
  <c r="E3" i="83"/>
  <c r="F3" i="83" s="1"/>
  <c r="B44" i="49"/>
  <c r="B42" i="49"/>
  <c r="B7" i="49"/>
  <c r="M4" i="67"/>
  <c r="M5" i="67"/>
  <c r="M6" i="67"/>
  <c r="M7" i="67"/>
  <c r="M8" i="67"/>
  <c r="M9" i="67"/>
  <c r="M10" i="67"/>
  <c r="M11" i="67"/>
  <c r="M12" i="67"/>
  <c r="M13" i="67"/>
  <c r="M14" i="67"/>
  <c r="M15" i="67"/>
  <c r="M16" i="67"/>
  <c r="M17" i="67"/>
  <c r="M18" i="67"/>
  <c r="M19" i="67"/>
  <c r="M20" i="67"/>
  <c r="M21" i="67"/>
  <c r="M22" i="67"/>
  <c r="M23" i="67"/>
  <c r="M24" i="67"/>
  <c r="M25" i="67"/>
  <c r="M26" i="67"/>
  <c r="M27" i="67"/>
  <c r="M28" i="67"/>
  <c r="M29" i="67"/>
  <c r="M30" i="67"/>
  <c r="M31" i="67"/>
  <c r="M32" i="67"/>
  <c r="M33" i="67"/>
  <c r="M34" i="67"/>
  <c r="M35" i="67"/>
  <c r="M36" i="67"/>
  <c r="M37" i="67"/>
  <c r="M38" i="67"/>
  <c r="M3" i="67"/>
  <c r="K4" i="67"/>
  <c r="K5" i="67"/>
  <c r="K6" i="67"/>
  <c r="K7" i="67"/>
  <c r="K8" i="67"/>
  <c r="K9" i="67"/>
  <c r="K10" i="67"/>
  <c r="K11" i="67"/>
  <c r="K12" i="67"/>
  <c r="K13" i="67"/>
  <c r="K14" i="67"/>
  <c r="K15" i="67"/>
  <c r="K16" i="67"/>
  <c r="K17" i="67"/>
  <c r="K18" i="67"/>
  <c r="K19" i="67"/>
  <c r="K20" i="67"/>
  <c r="K21" i="67"/>
  <c r="K22" i="67"/>
  <c r="K23" i="67"/>
  <c r="K24" i="67"/>
  <c r="K25" i="67"/>
  <c r="K26" i="67"/>
  <c r="K27" i="67"/>
  <c r="K28" i="67"/>
  <c r="K29" i="67"/>
  <c r="K30" i="67"/>
  <c r="K31" i="67"/>
  <c r="K32" i="67"/>
  <c r="K33" i="67"/>
  <c r="K34" i="67"/>
  <c r="K35" i="67"/>
  <c r="K36" i="67"/>
  <c r="K37" i="67"/>
  <c r="K38" i="67"/>
  <c r="K3" i="67"/>
  <c r="G3" i="67"/>
  <c r="H3" i="67" s="1"/>
  <c r="G38" i="67"/>
  <c r="H38" i="67" s="1"/>
  <c r="G37" i="67"/>
  <c r="H37" i="67" s="1"/>
  <c r="G36" i="67"/>
  <c r="H36" i="67" s="1"/>
  <c r="G35" i="67"/>
  <c r="H35" i="67" s="1"/>
  <c r="G34" i="67"/>
  <c r="H34" i="67" s="1"/>
  <c r="G33" i="67"/>
  <c r="H33" i="67" s="1"/>
  <c r="G32" i="67"/>
  <c r="H32" i="67" s="1"/>
  <c r="G31" i="67"/>
  <c r="H31" i="67" s="1"/>
  <c r="G30" i="67"/>
  <c r="H30" i="67" s="1"/>
  <c r="G29" i="67"/>
  <c r="H29" i="67" s="1"/>
  <c r="G28" i="67"/>
  <c r="H28" i="67" s="1"/>
  <c r="G27" i="67"/>
  <c r="H27" i="67" s="1"/>
  <c r="G26" i="67"/>
  <c r="H26" i="67" s="1"/>
  <c r="G25" i="67"/>
  <c r="H25" i="67" s="1"/>
  <c r="G24" i="67"/>
  <c r="H24" i="67" s="1"/>
  <c r="G23" i="67"/>
  <c r="H23" i="67" s="1"/>
  <c r="G22" i="67"/>
  <c r="H22" i="67" s="1"/>
  <c r="G21" i="67"/>
  <c r="H21" i="67" s="1"/>
  <c r="G20" i="67"/>
  <c r="H20" i="67" s="1"/>
  <c r="G19" i="67"/>
  <c r="H19" i="67" s="1"/>
  <c r="G18" i="67"/>
  <c r="H18" i="67" s="1"/>
  <c r="G17" i="67"/>
  <c r="H17" i="67" s="1"/>
  <c r="G16" i="67"/>
  <c r="H16" i="67" s="1"/>
  <c r="G15" i="67"/>
  <c r="H15" i="67" s="1"/>
  <c r="G14" i="67"/>
  <c r="H14" i="67" s="1"/>
  <c r="G13" i="67"/>
  <c r="H13" i="67" s="1"/>
  <c r="G12" i="67"/>
  <c r="H12" i="67" s="1"/>
  <c r="G11" i="67"/>
  <c r="H11" i="67" s="1"/>
  <c r="G10" i="67"/>
  <c r="H10" i="67" s="1"/>
  <c r="G9" i="67"/>
  <c r="H9" i="67" s="1"/>
  <c r="G8" i="67"/>
  <c r="H8" i="67" s="1"/>
  <c r="G7" i="67"/>
  <c r="H7" i="67" s="1"/>
  <c r="G6" i="67"/>
  <c r="H6" i="67" s="1"/>
  <c r="G5" i="67"/>
  <c r="H5" i="67" s="1"/>
  <c r="G4" i="67"/>
  <c r="H4" i="67" s="1"/>
  <c r="F4" i="67"/>
  <c r="F5" i="67"/>
  <c r="F6" i="67"/>
  <c r="F7" i="67"/>
  <c r="F8" i="67"/>
  <c r="F9" i="67"/>
  <c r="F10" i="67"/>
  <c r="F11" i="67"/>
  <c r="F12" i="67"/>
  <c r="F13" i="67"/>
  <c r="F14" i="67"/>
  <c r="F15" i="67"/>
  <c r="F16" i="67"/>
  <c r="F17" i="67"/>
  <c r="F18" i="67"/>
  <c r="F19" i="67"/>
  <c r="F20" i="67"/>
  <c r="F21" i="67"/>
  <c r="F22" i="67"/>
  <c r="F23" i="67"/>
  <c r="F24" i="67"/>
  <c r="F25" i="67"/>
  <c r="F26" i="67"/>
  <c r="F27" i="67"/>
  <c r="F28" i="67"/>
  <c r="F29" i="67"/>
  <c r="F30" i="67"/>
  <c r="F31" i="67"/>
  <c r="F32" i="67"/>
  <c r="F33" i="67"/>
  <c r="F34" i="67"/>
  <c r="F35" i="67"/>
  <c r="F36" i="67"/>
  <c r="F37" i="67"/>
  <c r="F38" i="67"/>
  <c r="F3" i="67"/>
  <c r="V10" i="28"/>
  <c r="W9" i="28"/>
  <c r="V9" i="28"/>
  <c r="W3" i="28"/>
  <c r="W4" i="28"/>
  <c r="W5" i="28"/>
  <c r="W6" i="28"/>
  <c r="V3" i="28"/>
  <c r="V4" i="28"/>
  <c r="V5" i="28"/>
  <c r="V6" i="28"/>
  <c r="U3" i="28"/>
  <c r="U4" i="28"/>
  <c r="U5" i="28"/>
  <c r="U6" i="28"/>
  <c r="V7" i="28" s="1"/>
  <c r="H5" i="28"/>
  <c r="K17" i="83"/>
  <c r="L17" i="83"/>
  <c r="M17" i="83"/>
  <c r="L27" i="83" s="1"/>
  <c r="N17" i="83"/>
  <c r="O17" i="83"/>
  <c r="L29" i="83" s="1"/>
  <c r="J17" i="83"/>
  <c r="J16" i="83"/>
  <c r="L26" i="83"/>
  <c r="L16" i="83"/>
  <c r="M16" i="83"/>
  <c r="L28" i="83" s="1"/>
  <c r="N16" i="83"/>
  <c r="O16" i="83"/>
  <c r="L30" i="83" s="1"/>
  <c r="K15" i="83"/>
  <c r="K20" i="83" s="1"/>
  <c r="L15" i="83"/>
  <c r="M15" i="83"/>
  <c r="K21" i="83" s="1"/>
  <c r="N15" i="83"/>
  <c r="O15" i="83"/>
  <c r="K22" i="83" s="1"/>
  <c r="J15" i="83"/>
  <c r="N127" i="33"/>
  <c r="N4" i="33"/>
  <c r="N126" i="33"/>
  <c r="N125" i="33"/>
  <c r="N124" i="33"/>
  <c r="N122" i="33"/>
  <c r="N121" i="33"/>
  <c r="N119" i="33"/>
  <c r="N102" i="33"/>
  <c r="N103" i="33"/>
  <c r="N104" i="33"/>
  <c r="N105" i="33"/>
  <c r="N106" i="33"/>
  <c r="N107" i="33"/>
  <c r="N108" i="33"/>
  <c r="N109" i="33"/>
  <c r="N110" i="33"/>
  <c r="N111" i="33"/>
  <c r="N112" i="33"/>
  <c r="N113" i="33"/>
  <c r="N114" i="33"/>
  <c r="N115" i="33"/>
  <c r="N116" i="33"/>
  <c r="N117" i="33"/>
  <c r="N101" i="33"/>
  <c r="N97" i="33"/>
  <c r="N96" i="33"/>
  <c r="N43" i="33"/>
  <c r="N94" i="33"/>
  <c r="N28" i="33"/>
  <c r="N29" i="33"/>
  <c r="N30" i="33"/>
  <c r="N31" i="33"/>
  <c r="N32" i="33"/>
  <c r="N33" i="33"/>
  <c r="N34" i="33"/>
  <c r="N35" i="33"/>
  <c r="N36" i="33"/>
  <c r="N37" i="33"/>
  <c r="N38" i="33"/>
  <c r="N39" i="33"/>
  <c r="N40" i="33"/>
  <c r="N41" i="33"/>
  <c r="N17" i="33"/>
  <c r="N18" i="33"/>
  <c r="N19" i="33"/>
  <c r="N20" i="33"/>
  <c r="N21" i="33"/>
  <c r="N22" i="33"/>
  <c r="N23" i="33"/>
  <c r="N24" i="33"/>
  <c r="N25" i="33"/>
  <c r="N26" i="33"/>
  <c r="N27" i="33"/>
  <c r="N16" i="33"/>
  <c r="H41" i="33"/>
  <c r="K41" i="33" s="1"/>
  <c r="H126" i="33"/>
  <c r="K126" i="33" s="1"/>
  <c r="H125" i="33"/>
  <c r="K125" i="33" s="1"/>
  <c r="H124" i="33"/>
  <c r="H122" i="33"/>
  <c r="H121" i="33"/>
  <c r="H117" i="33"/>
  <c r="K117" i="33" s="1"/>
  <c r="H116" i="33"/>
  <c r="K116" i="33" s="1"/>
  <c r="H115" i="33"/>
  <c r="K115" i="33" s="1"/>
  <c r="H114" i="33"/>
  <c r="K114" i="33" s="1"/>
  <c r="H113" i="33"/>
  <c r="K113" i="33" s="1"/>
  <c r="H112" i="33"/>
  <c r="K112" i="33" s="1"/>
  <c r="H111" i="33"/>
  <c r="K111" i="33" s="1"/>
  <c r="H110" i="33"/>
  <c r="K110" i="33" s="1"/>
  <c r="H109" i="33"/>
  <c r="K109" i="33" s="1"/>
  <c r="H108" i="33"/>
  <c r="K108" i="33" s="1"/>
  <c r="H107" i="33"/>
  <c r="K107" i="33" s="1"/>
  <c r="H106" i="33"/>
  <c r="K106" i="33" s="1"/>
  <c r="H105" i="33"/>
  <c r="K105" i="33" s="1"/>
  <c r="H104" i="33"/>
  <c r="K104" i="33" s="1"/>
  <c r="H103" i="33"/>
  <c r="K103" i="33" s="1"/>
  <c r="H102" i="33"/>
  <c r="K102" i="33" s="1"/>
  <c r="H101" i="33"/>
  <c r="K101" i="33" s="1"/>
  <c r="H97" i="33"/>
  <c r="K97" i="33" s="1"/>
  <c r="H96" i="33"/>
  <c r="K96" i="33" s="1"/>
  <c r="F117" i="33"/>
  <c r="F116" i="33"/>
  <c r="F115" i="33"/>
  <c r="F114" i="33"/>
  <c r="F113" i="33"/>
  <c r="F112" i="33"/>
  <c r="F111" i="33"/>
  <c r="F110" i="33"/>
  <c r="F109" i="33"/>
  <c r="F108" i="33"/>
  <c r="F107" i="33"/>
  <c r="F106" i="33"/>
  <c r="F105" i="33"/>
  <c r="F104" i="33"/>
  <c r="F103" i="33"/>
  <c r="F102" i="33"/>
  <c r="F101" i="33"/>
  <c r="F97" i="33"/>
  <c r="F96" i="33"/>
  <c r="N99" i="33"/>
  <c r="Q99" i="33"/>
  <c r="Q56" i="33"/>
  <c r="R56" i="33" s="1"/>
  <c r="N56" i="33" s="1"/>
  <c r="Q57" i="33"/>
  <c r="R57" i="33" s="1"/>
  <c r="N57" i="33" s="1"/>
  <c r="Q58" i="33"/>
  <c r="R58" i="33" s="1"/>
  <c r="N58" i="33" s="1"/>
  <c r="Q59" i="33"/>
  <c r="R59" i="33" s="1"/>
  <c r="N59" i="33" s="1"/>
  <c r="Q60" i="33"/>
  <c r="R60" i="33" s="1"/>
  <c r="N60" i="33" s="1"/>
  <c r="Q61" i="33"/>
  <c r="R61" i="33" s="1"/>
  <c r="N61" i="33" s="1"/>
  <c r="Q62" i="33"/>
  <c r="R62" i="33" s="1"/>
  <c r="N62" i="33" s="1"/>
  <c r="Q63" i="33"/>
  <c r="R63" i="33" s="1"/>
  <c r="N63" i="33" s="1"/>
  <c r="Q64" i="33"/>
  <c r="R64" i="33" s="1"/>
  <c r="N64" i="33" s="1"/>
  <c r="Q65" i="33"/>
  <c r="R65" i="33" s="1"/>
  <c r="N65" i="33" s="1"/>
  <c r="Q66" i="33"/>
  <c r="R66" i="33" s="1"/>
  <c r="N66" i="33" s="1"/>
  <c r="Q67" i="33"/>
  <c r="R67" i="33" s="1"/>
  <c r="N67" i="33" s="1"/>
  <c r="Q68" i="33"/>
  <c r="R68" i="33" s="1"/>
  <c r="N68" i="33" s="1"/>
  <c r="Q69" i="33"/>
  <c r="R69" i="33" s="1"/>
  <c r="N69" i="33" s="1"/>
  <c r="Q70" i="33"/>
  <c r="R70" i="33" s="1"/>
  <c r="N70" i="33" s="1"/>
  <c r="Q71" i="33"/>
  <c r="R71" i="33" s="1"/>
  <c r="N71" i="33" s="1"/>
  <c r="Q72" i="33"/>
  <c r="R72" i="33" s="1"/>
  <c r="N72" i="33" s="1"/>
  <c r="Q73" i="33"/>
  <c r="R73" i="33" s="1"/>
  <c r="N73" i="33" s="1"/>
  <c r="Q74" i="33"/>
  <c r="R74" i="33" s="1"/>
  <c r="N74" i="33" s="1"/>
  <c r="Q75" i="33"/>
  <c r="R75" i="33" s="1"/>
  <c r="N75" i="33" s="1"/>
  <c r="Q76" i="33"/>
  <c r="R76" i="33" s="1"/>
  <c r="N76" i="33" s="1"/>
  <c r="Q77" i="33"/>
  <c r="R77" i="33" s="1"/>
  <c r="N77" i="33" s="1"/>
  <c r="Q78" i="33"/>
  <c r="R78" i="33" s="1"/>
  <c r="N78" i="33" s="1"/>
  <c r="Q79" i="33"/>
  <c r="R79" i="33" s="1"/>
  <c r="N79" i="33" s="1"/>
  <c r="Q80" i="33"/>
  <c r="R80" i="33" s="1"/>
  <c r="N80" i="33" s="1"/>
  <c r="Q81" i="33"/>
  <c r="R81" i="33" s="1"/>
  <c r="N81" i="33" s="1"/>
  <c r="Q82" i="33"/>
  <c r="R82" i="33" s="1"/>
  <c r="N82" i="33" s="1"/>
  <c r="Q83" i="33"/>
  <c r="R83" i="33" s="1"/>
  <c r="N83" i="33" s="1"/>
  <c r="Q84" i="33"/>
  <c r="R84" i="33" s="1"/>
  <c r="N84" i="33" s="1"/>
  <c r="Q85" i="33"/>
  <c r="R85" i="33" s="1"/>
  <c r="N85" i="33" s="1"/>
  <c r="Q86" i="33"/>
  <c r="R86" i="33" s="1"/>
  <c r="N86" i="33" s="1"/>
  <c r="Q87" i="33"/>
  <c r="R87" i="33" s="1"/>
  <c r="N87" i="33" s="1"/>
  <c r="Q88" i="33"/>
  <c r="R88" i="33" s="1"/>
  <c r="N88" i="33" s="1"/>
  <c r="Q89" i="33"/>
  <c r="R89" i="33" s="1"/>
  <c r="N89" i="33" s="1"/>
  <c r="Q90" i="33"/>
  <c r="R90" i="33" s="1"/>
  <c r="N90" i="33" s="1"/>
  <c r="Q91" i="33"/>
  <c r="R91" i="33" s="1"/>
  <c r="N91" i="33" s="1"/>
  <c r="Q92" i="33"/>
  <c r="R92" i="33" s="1"/>
  <c r="N92" i="33" s="1"/>
  <c r="Q93" i="33"/>
  <c r="R93" i="33" s="1"/>
  <c r="N93" i="33" s="1"/>
  <c r="Q94" i="33"/>
  <c r="R94" i="33" s="1"/>
  <c r="Q55" i="33"/>
  <c r="R55" i="33" s="1"/>
  <c r="N55" i="33" s="1"/>
  <c r="N53" i="33"/>
  <c r="N51" i="33"/>
  <c r="N52" i="33"/>
  <c r="N50" i="33"/>
  <c r="N49" i="33"/>
  <c r="N47" i="33"/>
  <c r="N48" i="33"/>
  <c r="N46" i="33"/>
  <c r="N45" i="33"/>
  <c r="F26" i="33"/>
  <c r="H26" i="33" s="1"/>
  <c r="K26" i="33" s="1"/>
  <c r="F25" i="33"/>
  <c r="H25" i="33" s="1"/>
  <c r="K25" i="33" s="1"/>
  <c r="F24" i="33"/>
  <c r="H24" i="33" s="1"/>
  <c r="K24" i="33" s="1"/>
  <c r="F23" i="33"/>
  <c r="H23" i="33" s="1"/>
  <c r="K23" i="33" s="1"/>
  <c r="F22" i="33"/>
  <c r="H22" i="33" s="1"/>
  <c r="K22" i="33" s="1"/>
  <c r="F21" i="33"/>
  <c r="H21" i="33" s="1"/>
  <c r="K21" i="33" s="1"/>
  <c r="F20" i="33"/>
  <c r="H20" i="33" s="1"/>
  <c r="K20" i="33" s="1"/>
  <c r="F19" i="33"/>
  <c r="H19" i="33" s="1"/>
  <c r="K19" i="33" s="1"/>
  <c r="F18" i="33"/>
  <c r="H18" i="33" s="1"/>
  <c r="K18" i="33" s="1"/>
  <c r="F28" i="33"/>
  <c r="H28" i="33" s="1"/>
  <c r="K28" i="33" s="1"/>
  <c r="F27" i="33"/>
  <c r="H27" i="33" s="1"/>
  <c r="K27" i="33" s="1"/>
  <c r="F17" i="33"/>
  <c r="H17" i="33" s="1"/>
  <c r="K17" i="33" s="1"/>
  <c r="H30" i="33"/>
  <c r="H31" i="33"/>
  <c r="H32" i="33"/>
  <c r="H33" i="33"/>
  <c r="H34" i="33"/>
  <c r="H35" i="33"/>
  <c r="H36" i="33"/>
  <c r="H37" i="33"/>
  <c r="H38" i="33"/>
  <c r="H39" i="33"/>
  <c r="H40" i="33"/>
  <c r="H29" i="33"/>
  <c r="K34" i="33"/>
  <c r="H7" i="33"/>
  <c r="K7" i="33" s="1"/>
  <c r="N7" i="33" s="1"/>
  <c r="H8" i="33"/>
  <c r="K8" i="33" s="1"/>
  <c r="N8" i="33" s="1"/>
  <c r="H9" i="33"/>
  <c r="K9" i="33" s="1"/>
  <c r="N9" i="33" s="1"/>
  <c r="H10" i="33"/>
  <c r="K10" i="33" s="1"/>
  <c r="N10" i="33" s="1"/>
  <c r="H11" i="33"/>
  <c r="K11" i="33" s="1"/>
  <c r="N11" i="33" s="1"/>
  <c r="H12" i="33"/>
  <c r="K12" i="33" s="1"/>
  <c r="N12" i="33" s="1"/>
  <c r="H13" i="33"/>
  <c r="K13" i="33" s="1"/>
  <c r="N13" i="33" s="1"/>
  <c r="H14" i="33"/>
  <c r="K14" i="33" s="1"/>
  <c r="N14" i="33" s="1"/>
  <c r="H15" i="33"/>
  <c r="K15" i="33" s="1"/>
  <c r="N15" i="33" s="1"/>
  <c r="H16" i="33"/>
  <c r="K16" i="33" s="1"/>
  <c r="H6" i="33"/>
  <c r="K6" i="33" s="1"/>
  <c r="N6" i="33" s="1"/>
  <c r="H4" i="33"/>
  <c r="X35" i="57"/>
  <c r="X36" i="57"/>
  <c r="X37" i="57"/>
  <c r="X38" i="57"/>
  <c r="X39" i="57"/>
  <c r="X40" i="57"/>
  <c r="X41" i="57"/>
  <c r="X42" i="57"/>
  <c r="X43" i="57"/>
  <c r="X44" i="57"/>
  <c r="X45" i="57"/>
  <c r="X46" i="57"/>
  <c r="X47" i="57"/>
  <c r="X48" i="57"/>
  <c r="X49" i="57"/>
  <c r="X25" i="57"/>
  <c r="X26" i="57"/>
  <c r="X27" i="57"/>
  <c r="X28" i="57"/>
  <c r="X29" i="57"/>
  <c r="X30" i="57"/>
  <c r="X31" i="57"/>
  <c r="X32" i="57"/>
  <c r="X33" i="57"/>
  <c r="X34" i="57"/>
  <c r="X24" i="57"/>
  <c r="W25" i="57"/>
  <c r="W26" i="57"/>
  <c r="W27" i="57"/>
  <c r="W28" i="57"/>
  <c r="W29" i="57"/>
  <c r="W30" i="57"/>
  <c r="W31" i="57"/>
  <c r="W32" i="57"/>
  <c r="W33" i="57"/>
  <c r="W24" i="57"/>
  <c r="W35" i="57"/>
  <c r="W36" i="57"/>
  <c r="W37" i="57"/>
  <c r="W38" i="57"/>
  <c r="W39" i="57"/>
  <c r="W40" i="57"/>
  <c r="W41" i="57"/>
  <c r="W42" i="57"/>
  <c r="W43" i="57"/>
  <c r="W44" i="57"/>
  <c r="W45" i="57"/>
  <c r="W46" i="57"/>
  <c r="W47" i="57"/>
  <c r="W48" i="57"/>
  <c r="W49" i="57"/>
  <c r="W34" i="57"/>
  <c r="F31" i="57"/>
  <c r="F30" i="57"/>
  <c r="K23" i="68"/>
  <c r="M23" i="68" s="1"/>
  <c r="K22" i="68"/>
  <c r="M22" i="68" s="1"/>
  <c r="E10" i="25" l="1"/>
  <c r="E91" i="49"/>
  <c r="F8" i="110" s="1"/>
  <c r="C71" i="49"/>
  <c r="D71" i="49" s="1"/>
  <c r="D51" i="49"/>
  <c r="E51" i="49" s="1"/>
  <c r="F51" i="49" s="1"/>
  <c r="G51" i="49" s="1"/>
  <c r="G59" i="49" s="1"/>
  <c r="C4" i="25"/>
  <c r="C8" i="25" s="1"/>
  <c r="H15" i="110"/>
  <c r="H16" i="110" s="1"/>
  <c r="F9" i="110"/>
  <c r="E24" i="49"/>
  <c r="F24" i="49" s="1"/>
  <c r="G24" i="49" s="1"/>
  <c r="G55" i="49" s="1"/>
  <c r="G81" i="49"/>
  <c r="G83" i="49" s="1"/>
  <c r="F83" i="49"/>
  <c r="M24" i="68"/>
  <c r="C65" i="49"/>
  <c r="G70" i="49"/>
  <c r="D36" i="49"/>
  <c r="E36" i="49" s="1"/>
  <c r="F36" i="49" s="1"/>
  <c r="G36" i="49" s="1"/>
  <c r="G37" i="49" s="1"/>
  <c r="G57" i="49" s="1"/>
  <c r="C42" i="49"/>
  <c r="D42" i="49" s="1"/>
  <c r="E42" i="49" s="1"/>
  <c r="C44" i="49"/>
  <c r="D44" i="49" s="1"/>
  <c r="E44" i="49" s="1"/>
  <c r="F44" i="49" s="1"/>
  <c r="G44" i="49" s="1"/>
  <c r="F70" i="49"/>
  <c r="B75" i="49"/>
  <c r="E70" i="49"/>
  <c r="B76" i="49"/>
  <c r="B46" i="49"/>
  <c r="B58" i="49" s="1"/>
  <c r="I33" i="67"/>
  <c r="I25" i="67"/>
  <c r="I17" i="67"/>
  <c r="I9" i="67"/>
  <c r="I31" i="67"/>
  <c r="I15" i="67"/>
  <c r="I8" i="67"/>
  <c r="I7" i="67"/>
  <c r="I23" i="67"/>
  <c r="I3" i="67"/>
  <c r="I36" i="67"/>
  <c r="I12" i="67"/>
  <c r="I4" i="67"/>
  <c r="I28" i="67"/>
  <c r="I20" i="67"/>
  <c r="I35" i="67"/>
  <c r="I27" i="67"/>
  <c r="I19" i="67"/>
  <c r="I38" i="67"/>
  <c r="I30" i="67"/>
  <c r="I22" i="67"/>
  <c r="I14" i="67"/>
  <c r="I6" i="67"/>
  <c r="I16" i="67"/>
  <c r="I24" i="67"/>
  <c r="I32" i="67"/>
  <c r="I37" i="67"/>
  <c r="I29" i="67"/>
  <c r="I21" i="67"/>
  <c r="I13" i="67"/>
  <c r="I11" i="67"/>
  <c r="I10" i="67"/>
  <c r="I26" i="67"/>
  <c r="I34" i="67"/>
  <c r="I18" i="67"/>
  <c r="I5" i="67"/>
  <c r="W7" i="28"/>
  <c r="D55" i="49"/>
  <c r="C55" i="49"/>
  <c r="P14" i="68"/>
  <c r="F14" i="68" s="1"/>
  <c r="I12" i="68"/>
  <c r="K12" i="68" s="1"/>
  <c r="P13" i="68"/>
  <c r="F13" i="68" s="1"/>
  <c r="I13" i="68" s="1"/>
  <c r="K13" i="68" s="1"/>
  <c r="M13" i="68" s="1"/>
  <c r="F91" i="49" l="1"/>
  <c r="G8" i="110" s="1"/>
  <c r="F10" i="25"/>
  <c r="G9" i="110"/>
  <c r="H9" i="110"/>
  <c r="D65" i="49"/>
  <c r="E65" i="49" s="1"/>
  <c r="E55" i="49"/>
  <c r="F55" i="49"/>
  <c r="I14" i="68"/>
  <c r="K14" i="68" s="1"/>
  <c r="M14" i="68" s="1"/>
  <c r="C75" i="49"/>
  <c r="D37" i="49"/>
  <c r="D57" i="49" s="1"/>
  <c r="B77" i="49"/>
  <c r="C37" i="49"/>
  <c r="C57" i="49" s="1"/>
  <c r="D46" i="49"/>
  <c r="D58" i="49" s="1"/>
  <c r="C46" i="49"/>
  <c r="C58" i="49" s="1"/>
  <c r="E71" i="49"/>
  <c r="F71" i="49" s="1"/>
  <c r="C76" i="49"/>
  <c r="E59" i="49"/>
  <c r="D59" i="49"/>
  <c r="F59" i="49"/>
  <c r="C59" i="49"/>
  <c r="P8" i="67"/>
  <c r="P7" i="67"/>
  <c r="F37" i="49"/>
  <c r="F57" i="49" s="1"/>
  <c r="F42" i="49"/>
  <c r="E46" i="49"/>
  <c r="E58" i="49" s="1"/>
  <c r="E37" i="49"/>
  <c r="E57" i="49" s="1"/>
  <c r="G91" i="49" l="1"/>
  <c r="G10" i="25"/>
  <c r="D75" i="49"/>
  <c r="C77" i="49"/>
  <c r="C7" i="25"/>
  <c r="F65" i="49"/>
  <c r="E75" i="49"/>
  <c r="D76" i="49"/>
  <c r="E76" i="49"/>
  <c r="G71" i="49"/>
  <c r="G76" i="49" s="1"/>
  <c r="F76" i="49"/>
  <c r="G42" i="49"/>
  <c r="G46" i="49" s="1"/>
  <c r="G58" i="49" s="1"/>
  <c r="F46" i="49"/>
  <c r="F58" i="49" s="1"/>
  <c r="D77" i="49" l="1"/>
  <c r="E7" i="25" s="1"/>
  <c r="H10" i="25"/>
  <c r="H8" i="110"/>
  <c r="D7" i="25"/>
  <c r="E77" i="49"/>
  <c r="F75" i="49"/>
  <c r="F77" i="49" s="1"/>
  <c r="G65" i="49"/>
  <c r="G75" i="49" s="1"/>
  <c r="G77" i="49" s="1"/>
  <c r="M12" i="68"/>
  <c r="I16" i="68"/>
  <c r="K16" i="68" s="1"/>
  <c r="M16" i="68" s="1"/>
  <c r="I6" i="68"/>
  <c r="K6" i="68" s="1"/>
  <c r="M6" i="68" s="1"/>
  <c r="I7" i="68"/>
  <c r="K7" i="68" s="1"/>
  <c r="M7" i="68" s="1"/>
  <c r="I8" i="68"/>
  <c r="K8" i="68" s="1"/>
  <c r="M8" i="68" s="1"/>
  <c r="I9" i="68"/>
  <c r="K9" i="68" s="1"/>
  <c r="M9" i="68" s="1"/>
  <c r="I10" i="68"/>
  <c r="K10" i="68" s="1"/>
  <c r="M10" i="68" s="1"/>
  <c r="I11" i="68"/>
  <c r="K11" i="68" s="1"/>
  <c r="M11" i="68" s="1"/>
  <c r="F7" i="25" l="1"/>
  <c r="H7" i="25"/>
  <c r="G7" i="25"/>
  <c r="P6" i="68"/>
  <c r="P10" i="68"/>
  <c r="P8" i="68"/>
  <c r="P9" i="68"/>
  <c r="P7" i="68"/>
  <c r="P11" i="68"/>
  <c r="P12" i="68"/>
  <c r="F5" i="68"/>
  <c r="I5" i="68" s="1"/>
  <c r="K5" i="68" s="1"/>
  <c r="M5" i="68" s="1"/>
  <c r="F4" i="68"/>
  <c r="I4" i="68" s="1"/>
  <c r="K4" i="68" l="1"/>
  <c r="M4" i="68" s="1"/>
  <c r="P4" i="68" s="1"/>
  <c r="P5" i="68"/>
  <c r="P17" i="68" l="1"/>
  <c r="M17" i="68"/>
  <c r="J5" i="54"/>
  <c r="J4" i="54"/>
  <c r="J3" i="54"/>
  <c r="J4" i="28"/>
  <c r="J5" i="28"/>
  <c r="J6" i="28"/>
  <c r="J7" i="28"/>
  <c r="J8" i="28"/>
  <c r="J9" i="28"/>
  <c r="J10" i="28"/>
  <c r="J11" i="28"/>
  <c r="J12" i="28"/>
  <c r="J13" i="28"/>
  <c r="J14" i="28"/>
  <c r="J15" i="28"/>
  <c r="J16" i="28"/>
  <c r="J17" i="28"/>
  <c r="J18" i="28"/>
  <c r="J19" i="28"/>
  <c r="J20" i="28"/>
  <c r="J21" i="28"/>
  <c r="J22" i="28"/>
  <c r="J23" i="28"/>
  <c r="J24" i="28"/>
  <c r="J25" i="28"/>
  <c r="J26" i="28"/>
  <c r="J27" i="28"/>
  <c r="J28" i="28"/>
  <c r="J29" i="28"/>
  <c r="J30" i="28"/>
  <c r="J31" i="28"/>
  <c r="J32" i="28"/>
  <c r="J33" i="28"/>
  <c r="J34" i="28"/>
  <c r="J35" i="28"/>
  <c r="J36" i="28"/>
  <c r="J37" i="28"/>
  <c r="J38" i="28"/>
  <c r="J3" i="28"/>
  <c r="I4" i="28"/>
  <c r="I5" i="28"/>
  <c r="I6" i="28"/>
  <c r="I7" i="28"/>
  <c r="I8" i="28"/>
  <c r="I9" i="28"/>
  <c r="I10" i="28"/>
  <c r="I11" i="28"/>
  <c r="I12" i="28"/>
  <c r="I13" i="28"/>
  <c r="I14" i="28"/>
  <c r="I15" i="28"/>
  <c r="I16" i="28"/>
  <c r="I17" i="28"/>
  <c r="I18" i="28"/>
  <c r="I19" i="28"/>
  <c r="I20" i="28"/>
  <c r="I21" i="28"/>
  <c r="I22" i="28"/>
  <c r="I23" i="28"/>
  <c r="I24" i="28"/>
  <c r="I25" i="28"/>
  <c r="I26" i="28"/>
  <c r="I27" i="28"/>
  <c r="I28" i="28"/>
  <c r="I29" i="28"/>
  <c r="I30" i="28"/>
  <c r="I31" i="28"/>
  <c r="I32" i="28"/>
  <c r="I33" i="28"/>
  <c r="I34" i="28"/>
  <c r="I35" i="28"/>
  <c r="I36" i="28"/>
  <c r="I37" i="28"/>
  <c r="I38" i="28"/>
  <c r="I3" i="28"/>
  <c r="K4" i="54"/>
  <c r="K5" i="54"/>
  <c r="K6" i="54"/>
  <c r="K7" i="54"/>
  <c r="K8" i="54"/>
  <c r="K9" i="54"/>
  <c r="K10" i="54"/>
  <c r="K11" i="54"/>
  <c r="K12" i="54"/>
  <c r="K13" i="54"/>
  <c r="K14" i="54"/>
  <c r="K15" i="54"/>
  <c r="K16" i="54"/>
  <c r="K17" i="54"/>
  <c r="K18" i="54"/>
  <c r="K19" i="54"/>
  <c r="K20" i="54"/>
  <c r="K21" i="54"/>
  <c r="K22" i="54"/>
  <c r="K23" i="54"/>
  <c r="K24" i="54"/>
  <c r="K25" i="54"/>
  <c r="K26" i="54"/>
  <c r="K27" i="54"/>
  <c r="K28" i="54"/>
  <c r="K3" i="54"/>
  <c r="B28" i="49" l="1"/>
  <c r="B30" i="49"/>
  <c r="AB10" i="28"/>
  <c r="AB9" i="28"/>
  <c r="AB11" i="28"/>
  <c r="B56" i="49" l="1"/>
  <c r="B60" i="49" s="1"/>
  <c r="C5" i="25" s="1"/>
  <c r="C6" i="25" s="1"/>
  <c r="C30" i="49"/>
  <c r="E3" i="54"/>
  <c r="E5" i="54"/>
  <c r="E6" i="54"/>
  <c r="J6" i="54" s="1"/>
  <c r="E7" i="54"/>
  <c r="E8" i="54"/>
  <c r="J8" i="54" s="1"/>
  <c r="E9" i="54"/>
  <c r="J9" i="54" s="1"/>
  <c r="E10" i="54"/>
  <c r="J10" i="54" s="1"/>
  <c r="E11" i="54"/>
  <c r="J11" i="54" s="1"/>
  <c r="E12" i="54"/>
  <c r="J12" i="54" s="1"/>
  <c r="E13" i="54"/>
  <c r="J13" i="54" s="1"/>
  <c r="E14" i="54"/>
  <c r="J14" i="54" s="1"/>
  <c r="E15" i="54"/>
  <c r="J15" i="54" s="1"/>
  <c r="E16" i="54"/>
  <c r="J16" i="54" s="1"/>
  <c r="E17" i="54"/>
  <c r="J17" i="54" s="1"/>
  <c r="E18" i="54"/>
  <c r="J18" i="54" s="1"/>
  <c r="E19" i="54"/>
  <c r="J19" i="54" s="1"/>
  <c r="E20" i="54"/>
  <c r="J20" i="54" s="1"/>
  <c r="E21" i="54"/>
  <c r="J21" i="54" s="1"/>
  <c r="E22" i="54"/>
  <c r="J22" i="54" s="1"/>
  <c r="E23" i="54"/>
  <c r="J23" i="54" s="1"/>
  <c r="E24" i="54"/>
  <c r="J24" i="54" s="1"/>
  <c r="E25" i="54"/>
  <c r="J25" i="54" s="1"/>
  <c r="E26" i="54"/>
  <c r="J26" i="54" s="1"/>
  <c r="E27" i="54"/>
  <c r="J27" i="54" s="1"/>
  <c r="E28" i="54"/>
  <c r="J28" i="54" s="1"/>
  <c r="N26" i="57"/>
  <c r="N27" i="57"/>
  <c r="U20" i="57" s="1"/>
  <c r="N28" i="57"/>
  <c r="F7" i="49"/>
  <c r="F17" i="49" s="1"/>
  <c r="D7" i="49"/>
  <c r="D17" i="49" s="1"/>
  <c r="E7" i="49"/>
  <c r="E17" i="49" s="1"/>
  <c r="G7" i="49"/>
  <c r="G17" i="49" s="1"/>
  <c r="C7" i="49"/>
  <c r="C17" i="49" s="1"/>
  <c r="F33" i="57"/>
  <c r="F32" i="57"/>
  <c r="M33" i="57"/>
  <c r="L33" i="57"/>
  <c r="J33" i="57"/>
  <c r="I28" i="57"/>
  <c r="G33" i="57"/>
  <c r="I33" i="57" s="1"/>
  <c r="L32" i="57"/>
  <c r="M32" i="57"/>
  <c r="H32" i="57"/>
  <c r="J32" i="57"/>
  <c r="G32" i="57"/>
  <c r="H31" i="57"/>
  <c r="J31" i="57"/>
  <c r="L31" i="57"/>
  <c r="M31" i="57"/>
  <c r="G31" i="57"/>
  <c r="L30" i="57"/>
  <c r="M30" i="57"/>
  <c r="H30" i="57"/>
  <c r="J30" i="57"/>
  <c r="G30" i="57"/>
  <c r="N5" i="57"/>
  <c r="N6" i="57"/>
  <c r="N7" i="57"/>
  <c r="N8" i="57"/>
  <c r="N9" i="57"/>
  <c r="N10" i="57"/>
  <c r="N11" i="57"/>
  <c r="N12" i="57"/>
  <c r="N13" i="57"/>
  <c r="U8" i="57" s="1"/>
  <c r="N14" i="57"/>
  <c r="N15" i="57"/>
  <c r="N16" i="57"/>
  <c r="N17" i="57"/>
  <c r="N18" i="57"/>
  <c r="N19" i="57"/>
  <c r="N20" i="57"/>
  <c r="N21" i="57"/>
  <c r="N22" i="57"/>
  <c r="N23" i="57"/>
  <c r="N24" i="57"/>
  <c r="N25" i="57"/>
  <c r="N4" i="57"/>
  <c r="N3" i="57"/>
  <c r="O4" i="57"/>
  <c r="S4" i="57" s="1"/>
  <c r="O5" i="57"/>
  <c r="S5" i="57" s="1"/>
  <c r="O6" i="57"/>
  <c r="S6" i="57" s="1"/>
  <c r="O7" i="57"/>
  <c r="S7" i="57" s="1"/>
  <c r="O8" i="57"/>
  <c r="S8" i="57" s="1"/>
  <c r="O9" i="57"/>
  <c r="S9" i="57" s="1"/>
  <c r="O10" i="57"/>
  <c r="S10" i="57" s="1"/>
  <c r="O11" i="57"/>
  <c r="S11" i="57" s="1"/>
  <c r="O12" i="57"/>
  <c r="S12" i="57" s="1"/>
  <c r="O13" i="57"/>
  <c r="S13" i="57" s="1"/>
  <c r="O14" i="57"/>
  <c r="S14" i="57" s="1"/>
  <c r="O15" i="57"/>
  <c r="S15" i="57" s="1"/>
  <c r="O16" i="57"/>
  <c r="S16" i="57" s="1"/>
  <c r="O17" i="57"/>
  <c r="S17" i="57" s="1"/>
  <c r="O18" i="57"/>
  <c r="S18" i="57" s="1"/>
  <c r="O19" i="57"/>
  <c r="S19" i="57" s="1"/>
  <c r="O20" i="57"/>
  <c r="S20" i="57" s="1"/>
  <c r="O21" i="57"/>
  <c r="S21" i="57" s="1"/>
  <c r="O22" i="57"/>
  <c r="S22" i="57" s="1"/>
  <c r="O23" i="57"/>
  <c r="S23" i="57" s="1"/>
  <c r="O24" i="57"/>
  <c r="S24" i="57" s="1"/>
  <c r="O25" i="57"/>
  <c r="S25" i="57" s="1"/>
  <c r="O26" i="57"/>
  <c r="S26" i="57" s="1"/>
  <c r="O27" i="57"/>
  <c r="S27" i="57" s="1"/>
  <c r="O28" i="57"/>
  <c r="S28" i="57" s="1"/>
  <c r="O3" i="57"/>
  <c r="S3" i="57" s="1"/>
  <c r="K28" i="57"/>
  <c r="K27" i="57"/>
  <c r="I27" i="57"/>
  <c r="K26" i="57"/>
  <c r="I26" i="57"/>
  <c r="K25" i="57"/>
  <c r="I25" i="57"/>
  <c r="K24" i="57"/>
  <c r="I24" i="57"/>
  <c r="K23" i="57"/>
  <c r="I23" i="57"/>
  <c r="K22" i="57"/>
  <c r="I22" i="57"/>
  <c r="K21" i="57"/>
  <c r="I21" i="57"/>
  <c r="K20" i="57"/>
  <c r="I20" i="57"/>
  <c r="K19" i="57"/>
  <c r="I19" i="57"/>
  <c r="K18" i="57"/>
  <c r="I18" i="57"/>
  <c r="K17" i="57"/>
  <c r="I17" i="57"/>
  <c r="K16" i="57"/>
  <c r="I16" i="57"/>
  <c r="K15" i="57"/>
  <c r="I15" i="57"/>
  <c r="K14" i="57"/>
  <c r="I14" i="57"/>
  <c r="K13" i="57"/>
  <c r="I13" i="57"/>
  <c r="K12" i="57"/>
  <c r="I12" i="57"/>
  <c r="K11" i="57"/>
  <c r="I11" i="57"/>
  <c r="K10" i="57"/>
  <c r="I10" i="57"/>
  <c r="K9" i="57"/>
  <c r="I9" i="57"/>
  <c r="K8" i="57"/>
  <c r="I8" i="57"/>
  <c r="K7" i="57"/>
  <c r="I7" i="57"/>
  <c r="K6" i="57"/>
  <c r="I6" i="57"/>
  <c r="K5" i="57"/>
  <c r="I5" i="57"/>
  <c r="K4" i="57"/>
  <c r="I4" i="57"/>
  <c r="K3" i="57"/>
  <c r="I3" i="57"/>
  <c r="R122" i="33"/>
  <c r="R121" i="33"/>
  <c r="K119" i="33"/>
  <c r="R119" i="33" s="1"/>
  <c r="R124" i="33"/>
  <c r="R98" i="33"/>
  <c r="N98" i="33" s="1"/>
  <c r="Q4" i="33"/>
  <c r="R4" i="33"/>
  <c r="F41" i="33"/>
  <c r="R41" i="33" s="1"/>
  <c r="Q41" i="33" s="1"/>
  <c r="R97" i="33"/>
  <c r="Q97" i="33" s="1"/>
  <c r="R96" i="33"/>
  <c r="Q96" i="33" s="1"/>
  <c r="R126" i="33"/>
  <c r="Q126" i="33" s="1"/>
  <c r="R125" i="33"/>
  <c r="Q125" i="33" s="1"/>
  <c r="R116" i="33"/>
  <c r="Q116" i="33" s="1"/>
  <c r="R117" i="33"/>
  <c r="Q117" i="33" s="1"/>
  <c r="R115" i="33"/>
  <c r="Q115" i="33" s="1"/>
  <c r="R114" i="33"/>
  <c r="Q114" i="33" s="1"/>
  <c r="R113" i="33"/>
  <c r="Q113" i="33" s="1"/>
  <c r="R112" i="33"/>
  <c r="Q112" i="33" s="1"/>
  <c r="R111" i="33"/>
  <c r="Q111" i="33" s="1"/>
  <c r="R110" i="33"/>
  <c r="Q110" i="33" s="1"/>
  <c r="R109" i="33"/>
  <c r="Q109" i="33" s="1"/>
  <c r="R108" i="33"/>
  <c r="Q108" i="33" s="1"/>
  <c r="R107" i="33"/>
  <c r="Q107" i="33" s="1"/>
  <c r="R106" i="33"/>
  <c r="Q106" i="33" s="1"/>
  <c r="R105" i="33"/>
  <c r="Q105" i="33" s="1"/>
  <c r="R103" i="33"/>
  <c r="Q103" i="33" s="1"/>
  <c r="R102" i="33"/>
  <c r="Q102" i="33" s="1"/>
  <c r="R101" i="33"/>
  <c r="Q101" i="33" s="1"/>
  <c r="R22" i="33"/>
  <c r="Q22" i="33" s="1"/>
  <c r="R21" i="33"/>
  <c r="Q21" i="33" s="1"/>
  <c r="R20" i="33"/>
  <c r="Q20" i="33" s="1"/>
  <c r="R19" i="33"/>
  <c r="Q19" i="33" s="1"/>
  <c r="R18" i="33"/>
  <c r="Q18" i="33" s="1"/>
  <c r="K39" i="33"/>
  <c r="R39" i="33" s="1"/>
  <c r="Q39" i="33" s="1"/>
  <c r="K37" i="33"/>
  <c r="R37" i="33" s="1"/>
  <c r="Q37" i="33" s="1"/>
  <c r="K32" i="33"/>
  <c r="R32" i="33" s="1"/>
  <c r="Q32" i="33" s="1"/>
  <c r="K33" i="33"/>
  <c r="R33" i="33" s="1"/>
  <c r="Q33" i="33" s="1"/>
  <c r="R34" i="33"/>
  <c r="Q34" i="33" s="1"/>
  <c r="K40" i="33"/>
  <c r="R40" i="33" s="1"/>
  <c r="Q40" i="33" s="1"/>
  <c r="K38" i="33"/>
  <c r="R38" i="33" s="1"/>
  <c r="Q38" i="33" s="1"/>
  <c r="K36" i="33"/>
  <c r="R36" i="33" s="1"/>
  <c r="Q36" i="33" s="1"/>
  <c r="K35" i="33"/>
  <c r="R35" i="33" s="1"/>
  <c r="Q35" i="33" s="1"/>
  <c r="K31" i="33"/>
  <c r="R31" i="33" s="1"/>
  <c r="Q31" i="33" s="1"/>
  <c r="K30" i="33"/>
  <c r="R30" i="33" s="1"/>
  <c r="Q30" i="33" s="1"/>
  <c r="K29" i="33"/>
  <c r="R29" i="33" s="1"/>
  <c r="Q29" i="33" s="1"/>
  <c r="R16" i="33"/>
  <c r="Q16" i="33" s="1"/>
  <c r="R15" i="33"/>
  <c r="Q15" i="33" s="1"/>
  <c r="R14" i="33"/>
  <c r="Q14" i="33" s="1"/>
  <c r="R13" i="33"/>
  <c r="Q13" i="33" s="1"/>
  <c r="R12" i="33"/>
  <c r="Q12" i="33" s="1"/>
  <c r="R11" i="33"/>
  <c r="Q11" i="33" s="1"/>
  <c r="R10" i="33"/>
  <c r="Q10" i="33" s="1"/>
  <c r="R9" i="33"/>
  <c r="Q9" i="33" s="1"/>
  <c r="R8" i="33"/>
  <c r="Q8" i="33" s="1"/>
  <c r="R7" i="33"/>
  <c r="Q7" i="33" s="1"/>
  <c r="R6" i="33"/>
  <c r="Q6" i="33" s="1"/>
  <c r="D30" i="49" l="1"/>
  <c r="C56" i="49"/>
  <c r="C60" i="49" s="1"/>
  <c r="D5" i="25" s="1"/>
  <c r="C9" i="25"/>
  <c r="C11" i="25"/>
  <c r="U15" i="57"/>
  <c r="U6" i="57"/>
  <c r="U9" i="57"/>
  <c r="V9" i="57" s="1"/>
  <c r="U17" i="57"/>
  <c r="U18" i="57"/>
  <c r="U10" i="57"/>
  <c r="V10" i="57" s="1"/>
  <c r="U19" i="57"/>
  <c r="V20" i="57" s="1"/>
  <c r="U7" i="57"/>
  <c r="V8" i="57"/>
  <c r="U16" i="57"/>
  <c r="I30" i="57"/>
  <c r="V7" i="57"/>
  <c r="C13" i="49"/>
  <c r="N32" i="57"/>
  <c r="S33" i="57"/>
  <c r="S31" i="57"/>
  <c r="S32" i="57"/>
  <c r="S30" i="57"/>
  <c r="K33" i="57"/>
  <c r="I31" i="57"/>
  <c r="K31" i="57"/>
  <c r="K30" i="57"/>
  <c r="N31" i="57"/>
  <c r="K32" i="57"/>
  <c r="I32" i="57"/>
  <c r="K43" i="33" a="1"/>
  <c r="K43" i="33" s="1"/>
  <c r="R43" i="33" s="1"/>
  <c r="C5" i="110" l="1"/>
  <c r="C12" i="25"/>
  <c r="C13" i="25" s="1"/>
  <c r="E30" i="49"/>
  <c r="D56" i="49"/>
  <c r="D60" i="49" s="1"/>
  <c r="E5" i="25" s="1"/>
  <c r="D13" i="49"/>
  <c r="C18" i="49"/>
  <c r="C19" i="49" s="1"/>
  <c r="V17" i="57"/>
  <c r="V16" i="57"/>
  <c r="V19" i="57"/>
  <c r="V18" i="57"/>
  <c r="R104" i="33"/>
  <c r="Q104" i="33" s="1"/>
  <c r="R28" i="33"/>
  <c r="Q28" i="33" s="1"/>
  <c r="R27" i="33"/>
  <c r="Q27" i="33" s="1"/>
  <c r="F30" i="49" l="1"/>
  <c r="E56" i="49"/>
  <c r="E60" i="49" s="1"/>
  <c r="F5" i="25" s="1"/>
  <c r="C6" i="110"/>
  <c r="C11" i="110" s="1"/>
  <c r="C18" i="110" s="1"/>
  <c r="D4" i="25"/>
  <c r="D18" i="49"/>
  <c r="D19" i="49" s="1"/>
  <c r="E13" i="49"/>
  <c r="R17" i="33"/>
  <c r="Q17" i="33" s="1"/>
  <c r="R24" i="33"/>
  <c r="Q24" i="33" s="1"/>
  <c r="R26" i="33"/>
  <c r="Q26" i="33" s="1"/>
  <c r="R25" i="33"/>
  <c r="R23" i="33"/>
  <c r="Q23" i="33" s="1"/>
  <c r="G30" i="49" l="1"/>
  <c r="G56" i="49" s="1"/>
  <c r="G60" i="49" s="1"/>
  <c r="H5" i="25" s="1"/>
  <c r="F56" i="49"/>
  <c r="F60" i="49" s="1"/>
  <c r="G5" i="25" s="1"/>
  <c r="D6" i="25"/>
  <c r="D8" i="25"/>
  <c r="F13" i="49"/>
  <c r="E18" i="49"/>
  <c r="E19" i="49" s="1"/>
  <c r="E4" i="25"/>
  <c r="R127" i="33"/>
  <c r="Q25" i="33"/>
  <c r="H4" i="28"/>
  <c r="P4" i="28" s="1"/>
  <c r="H6" i="28"/>
  <c r="P6" i="28" s="1"/>
  <c r="H7" i="28"/>
  <c r="P7" i="28" s="1"/>
  <c r="H8" i="28"/>
  <c r="P8" i="28" s="1"/>
  <c r="H9" i="28"/>
  <c r="P9" i="28" s="1"/>
  <c r="H10" i="28"/>
  <c r="P10" i="28" s="1"/>
  <c r="H11" i="28"/>
  <c r="P11" i="28" s="1"/>
  <c r="H12" i="28"/>
  <c r="P12" i="28" s="1"/>
  <c r="H13" i="28"/>
  <c r="P13" i="28" s="1"/>
  <c r="H14" i="28"/>
  <c r="P14" i="28" s="1"/>
  <c r="H15" i="28"/>
  <c r="Q3" i="28" s="1"/>
  <c r="H16" i="28"/>
  <c r="Q4" i="28" s="1"/>
  <c r="H17" i="28"/>
  <c r="Q5" i="28" s="1"/>
  <c r="H18" i="28"/>
  <c r="Q6" i="28" s="1"/>
  <c r="H19" i="28"/>
  <c r="Q7" i="28" s="1"/>
  <c r="H20" i="28"/>
  <c r="Q8" i="28" s="1"/>
  <c r="H21" i="28"/>
  <c r="Q9" i="28" s="1"/>
  <c r="H22" i="28"/>
  <c r="Q10" i="28" s="1"/>
  <c r="H23" i="28"/>
  <c r="Q11" i="28" s="1"/>
  <c r="H24" i="28"/>
  <c r="Q12" i="28" s="1"/>
  <c r="H25" i="28"/>
  <c r="Q13" i="28" s="1"/>
  <c r="H26" i="28"/>
  <c r="Q14" i="28" s="1"/>
  <c r="H27" i="28"/>
  <c r="R3" i="28" s="1"/>
  <c r="H28" i="28"/>
  <c r="R4" i="28" s="1"/>
  <c r="H29" i="28"/>
  <c r="R5" i="28" s="1"/>
  <c r="H30" i="28"/>
  <c r="R6" i="28" s="1"/>
  <c r="H31" i="28"/>
  <c r="R7" i="28" s="1"/>
  <c r="H32" i="28"/>
  <c r="R8" i="28" s="1"/>
  <c r="H33" i="28"/>
  <c r="R9" i="28" s="1"/>
  <c r="H34" i="28"/>
  <c r="R10" i="28" s="1"/>
  <c r="H35" i="28"/>
  <c r="R11" i="28" s="1"/>
  <c r="H36" i="28"/>
  <c r="R12" i="28" s="1"/>
  <c r="H37" i="28"/>
  <c r="R13" i="28" s="1"/>
  <c r="H38" i="28"/>
  <c r="R14" i="28" s="1"/>
  <c r="H3" i="28"/>
  <c r="P3" i="28" s="1"/>
  <c r="G3" i="28"/>
  <c r="M3" i="28" s="1"/>
  <c r="G4" i="28"/>
  <c r="M4" i="28" s="1"/>
  <c r="G5" i="28"/>
  <c r="M5" i="28" s="1"/>
  <c r="G6" i="28"/>
  <c r="M6" i="28" s="1"/>
  <c r="G7" i="28"/>
  <c r="M7" i="28" s="1"/>
  <c r="G8" i="28"/>
  <c r="M8" i="28" s="1"/>
  <c r="G9" i="28"/>
  <c r="M9" i="28" s="1"/>
  <c r="G10" i="28"/>
  <c r="M10" i="28" s="1"/>
  <c r="G11" i="28"/>
  <c r="M11" i="28" s="1"/>
  <c r="G12" i="28"/>
  <c r="M12" i="28" s="1"/>
  <c r="G13" i="28"/>
  <c r="M13" i="28" s="1"/>
  <c r="G14" i="28"/>
  <c r="M14" i="28" s="1"/>
  <c r="G15" i="28"/>
  <c r="N3" i="28" s="1"/>
  <c r="G16" i="28"/>
  <c r="N4" i="28" s="1"/>
  <c r="G17" i="28"/>
  <c r="N5" i="28" s="1"/>
  <c r="G18" i="28"/>
  <c r="N6" i="28" s="1"/>
  <c r="G19" i="28"/>
  <c r="N7" i="28" s="1"/>
  <c r="G20" i="28"/>
  <c r="N8" i="28" s="1"/>
  <c r="G21" i="28"/>
  <c r="N9" i="28" s="1"/>
  <c r="G22" i="28"/>
  <c r="N10" i="28" s="1"/>
  <c r="G23" i="28"/>
  <c r="N11" i="28" s="1"/>
  <c r="G24" i="28"/>
  <c r="N12" i="28" s="1"/>
  <c r="G25" i="28"/>
  <c r="N13" i="28" s="1"/>
  <c r="G26" i="28"/>
  <c r="N14" i="28" s="1"/>
  <c r="G27" i="28"/>
  <c r="O3" i="28" s="1"/>
  <c r="G28" i="28"/>
  <c r="O4" i="28" s="1"/>
  <c r="G29" i="28"/>
  <c r="O5" i="28" s="1"/>
  <c r="G30" i="28"/>
  <c r="O6" i="28" s="1"/>
  <c r="G31" i="28"/>
  <c r="O7" i="28" s="1"/>
  <c r="G32" i="28"/>
  <c r="O8" i="28" s="1"/>
  <c r="G33" i="28"/>
  <c r="O9" i="28" s="1"/>
  <c r="G34" i="28"/>
  <c r="O10" i="28" s="1"/>
  <c r="G35" i="28"/>
  <c r="O11" i="28" s="1"/>
  <c r="G36" i="28"/>
  <c r="O12" i="28" s="1"/>
  <c r="G37" i="28"/>
  <c r="O13" i="28" s="1"/>
  <c r="G38" i="28"/>
  <c r="O14" i="28" s="1"/>
  <c r="D11" i="25" l="1"/>
  <c r="D9" i="25"/>
  <c r="E6" i="25"/>
  <c r="E8" i="25"/>
  <c r="F4" i="25"/>
  <c r="G13" i="49"/>
  <c r="G18" i="49" s="1"/>
  <c r="G19" i="49" s="1"/>
  <c r="F18" i="49"/>
  <c r="F19" i="49" s="1"/>
  <c r="Q15" i="28"/>
  <c r="Q19" i="28" s="1"/>
  <c r="N15" i="28"/>
  <c r="N19" i="28" s="1"/>
  <c r="O15" i="28"/>
  <c r="N20" i="28" s="1"/>
  <c r="R15" i="28"/>
  <c r="Q20" i="28" s="1"/>
  <c r="M15" i="28"/>
  <c r="N18" i="28" s="1"/>
  <c r="P15" i="28"/>
  <c r="Q21" i="28" s="1"/>
  <c r="AB6" i="28"/>
  <c r="AB4" i="28"/>
  <c r="AB5" i="28"/>
  <c r="D5" i="110" l="1"/>
  <c r="D6" i="110" s="1"/>
  <c r="D11" i="110" s="1"/>
  <c r="D18" i="110" s="1"/>
  <c r="D12" i="25"/>
  <c r="D13" i="25" s="1"/>
  <c r="E11" i="25"/>
  <c r="E9" i="25"/>
  <c r="F6" i="25"/>
  <c r="F8" i="25"/>
  <c r="H4" i="25"/>
  <c r="G4" i="25"/>
  <c r="N21" i="28"/>
  <c r="F11" i="25" l="1"/>
  <c r="F9" i="25"/>
  <c r="E5" i="110"/>
  <c r="E6" i="110" s="1"/>
  <c r="E11" i="110" s="1"/>
  <c r="E18" i="110" s="1"/>
  <c r="E12" i="25"/>
  <c r="E13" i="25" s="1"/>
  <c r="H6" i="25"/>
  <c r="H8" i="25"/>
  <c r="G6" i="25"/>
  <c r="G8" i="25"/>
  <c r="G11" i="25" l="1"/>
  <c r="G9" i="25"/>
  <c r="H11" i="25"/>
  <c r="H9" i="25"/>
  <c r="F12" i="25"/>
  <c r="F13" i="25" s="1"/>
  <c r="F5" i="110"/>
  <c r="F6" i="110" s="1"/>
  <c r="F11" i="110" s="1"/>
  <c r="F18" i="110" s="1"/>
  <c r="G12" i="25" l="1"/>
  <c r="G13" i="25" s="1"/>
  <c r="G5" i="110"/>
  <c r="G6" i="110" s="1"/>
  <c r="G11" i="110" s="1"/>
  <c r="G18" i="110" s="1"/>
  <c r="H5" i="110"/>
  <c r="H6" i="110" s="1"/>
  <c r="H11" i="110" s="1"/>
  <c r="H12" i="25"/>
  <c r="H13" i="25" s="1"/>
  <c r="H13" i="110" l="1"/>
  <c r="H18" i="110" s="1"/>
  <c r="D20" i="110" l="1"/>
  <c r="C20" i="110"/>
  <c r="C21" i="110" s="1"/>
  <c r="D21" i="1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</author>
  </authors>
  <commentList>
    <comment ref="B2" authorId="0" shapeId="0" xr:uid="{E03C2950-8663-4BEE-84E2-79991526F8E1}">
      <text>
        <r>
          <rPr>
            <b/>
            <sz val="9"/>
            <color indexed="81"/>
            <rFont val="Tahoma"/>
            <family val="2"/>
          </rPr>
          <t>Lu:</t>
        </r>
        <r>
          <rPr>
            <sz val="9"/>
            <color indexed="81"/>
            <rFont val="Tahoma"/>
            <family val="2"/>
          </rPr>
          <t xml:space="preserve">
Año de ingreso de las aves.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</author>
  </authors>
  <commentList>
    <comment ref="O2" authorId="0" shapeId="0" xr:uid="{D05ED744-27EF-4590-AF75-E83D16C39556}">
      <text>
        <r>
          <rPr>
            <b/>
            <sz val="9"/>
            <color indexed="81"/>
            <rFont val="Tahoma"/>
            <family val="2"/>
          </rPr>
          <t>Lu:</t>
        </r>
        <r>
          <rPr>
            <sz val="9"/>
            <color indexed="81"/>
            <rFont val="Tahoma"/>
            <family val="2"/>
          </rPr>
          <t xml:space="preserve">
OJO. Presupeustos uqe se enviaron en USD fueron trasladados a valores de dic 2022 usando el promedio del dólar ofinal de dic 2022 (179,5)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</author>
  </authors>
  <commentList>
    <comment ref="P2" authorId="0" shapeId="0" xr:uid="{043E7E43-116E-4B8F-8C83-BDA7CDB974EC}">
      <text>
        <r>
          <rPr>
            <b/>
            <sz val="9"/>
            <color indexed="81"/>
            <rFont val="Tahoma"/>
            <family val="2"/>
          </rPr>
          <t>Lu:</t>
        </r>
        <r>
          <rPr>
            <sz val="9"/>
            <color indexed="81"/>
            <rFont val="Tahoma"/>
            <family val="2"/>
          </rPr>
          <t xml:space="preserve">
OJO. Presupeustos uqe se enviaron en USD fueron trasladados a valores de dic 2022 usando el promedio del dólar ofinal de dic 2022 (179,5)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</author>
  </authors>
  <commentList>
    <comment ref="B9" authorId="0" shapeId="0" xr:uid="{FFB93E88-A8E3-4022-828E-D1C28092773D}">
      <text>
        <r>
          <rPr>
            <b/>
            <sz val="9"/>
            <color indexed="81"/>
            <rFont val="Tahoma"/>
            <family val="2"/>
          </rPr>
          <t>Lu:</t>
        </r>
        <r>
          <rPr>
            <sz val="9"/>
            <color indexed="81"/>
            <rFont val="Tahoma"/>
            <family val="2"/>
          </rPr>
          <t xml:space="preserve">
Solo contabiliza aves faneadas para los meses de enero y febrero.</t>
        </r>
      </text>
    </comment>
    <comment ref="C10" authorId="0" shapeId="0" xr:uid="{AC82F1FF-52E0-4055-90C6-F8C2830FDCC1}">
      <text>
        <r>
          <rPr>
            <b/>
            <sz val="9"/>
            <color indexed="81"/>
            <rFont val="Tahoma"/>
            <family val="2"/>
          </rPr>
          <t>Lu:</t>
        </r>
        <r>
          <rPr>
            <sz val="9"/>
            <color indexed="81"/>
            <rFont val="Tahoma"/>
            <family val="2"/>
          </rPr>
          <t xml:space="preserve">
Solo contabiliza aves faneadas en diciembre del 2020</t>
        </r>
      </text>
    </comment>
    <comment ref="C13" authorId="0" shapeId="0" xr:uid="{24B9C575-6F1F-4ECE-83BD-D5998E25D417}">
      <text>
        <r>
          <rPr>
            <b/>
            <sz val="9"/>
            <color indexed="81"/>
            <rFont val="Tahoma"/>
            <family val="2"/>
          </rPr>
          <t xml:space="preserve">Lu:
</t>
        </r>
        <r>
          <rPr>
            <sz val="9"/>
            <color indexed="81"/>
            <rFont val="Tahoma"/>
            <family val="2"/>
          </rPr>
          <t>Contabiliza aves faneadas desde enero hasta mayo inclusive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<sst xmlns="http://schemas.openxmlformats.org/spreadsheetml/2006/main" count="1806" uniqueCount="587">
  <si>
    <t>TOTAL</t>
  </si>
  <si>
    <t>Inmobiliario Rural</t>
  </si>
  <si>
    <t>Cargas Sociales</t>
  </si>
  <si>
    <t>Energía eléctrica</t>
  </si>
  <si>
    <t>Aves ingresadas</t>
  </si>
  <si>
    <t>Aves cargadas</t>
  </si>
  <si>
    <t>Mortandad</t>
  </si>
  <si>
    <t>Tarifa</t>
  </si>
  <si>
    <t>Ventas</t>
  </si>
  <si>
    <t>-</t>
  </si>
  <si>
    <t>Año</t>
  </si>
  <si>
    <t>IPC_dic2022</t>
  </si>
  <si>
    <t>IPC_cobro</t>
  </si>
  <si>
    <t>Fecha</t>
  </si>
  <si>
    <t>IPC (dic2022)</t>
  </si>
  <si>
    <t>Precio (P)</t>
  </si>
  <si>
    <t>IPC (fecha)</t>
  </si>
  <si>
    <t>Impuestos Anuales (IPC dic2022)</t>
  </si>
  <si>
    <t>Tasa de Red Vial</t>
  </si>
  <si>
    <t>Concepto</t>
  </si>
  <si>
    <t>Cantidad</t>
  </si>
  <si>
    <t>Unidad</t>
  </si>
  <si>
    <t>Moneda</t>
  </si>
  <si>
    <t>USD</t>
  </si>
  <si>
    <t>Hectáreas</t>
  </si>
  <si>
    <t>Implementos avícolas</t>
  </si>
  <si>
    <t>Movimiento de suelo</t>
  </si>
  <si>
    <t>Hierro 12 mm</t>
  </si>
  <si>
    <t>Hierro 10 mm</t>
  </si>
  <si>
    <t>Hierro 6 mm</t>
  </si>
  <si>
    <t>Hierro 8 mm</t>
  </si>
  <si>
    <t>Planchuela 1 x 3/16</t>
  </si>
  <si>
    <t>Planchuela 1 x 1/8</t>
  </si>
  <si>
    <t xml:space="preserve">Electrodo marca "OK" 4 cmm </t>
  </si>
  <si>
    <t>Caja</t>
  </si>
  <si>
    <t>Electrodo marca "OK" 3,25 mm</t>
  </si>
  <si>
    <t>Caño estructural de 40x40 x 1,5</t>
  </si>
  <si>
    <t>Kg</t>
  </si>
  <si>
    <t>Alambre galvanizado Nro. 14</t>
  </si>
  <si>
    <t>Alambre Nro. 16</t>
  </si>
  <si>
    <t>Mts</t>
  </si>
  <si>
    <t>Malla Sima de 5 mm o 6 mm</t>
  </si>
  <si>
    <t>Cemento</t>
  </si>
  <si>
    <t>Bolsa</t>
  </si>
  <si>
    <t>Alambre de fardo</t>
  </si>
  <si>
    <t>ARG</t>
  </si>
  <si>
    <t>Mano de obra p/ montaje de estructura</t>
  </si>
  <si>
    <t>Materiales p/ estructura</t>
  </si>
  <si>
    <t>Personal de Entre Ríos</t>
  </si>
  <si>
    <t>Porcentaje</t>
  </si>
  <si>
    <t>Kloss</t>
  </si>
  <si>
    <t>Forklima</t>
  </si>
  <si>
    <t>Montaje de implementos avícolas</t>
  </si>
  <si>
    <t>José Lambertucci</t>
  </si>
  <si>
    <t>Montaje de implementos avícolas de Forklima</t>
  </si>
  <si>
    <t>Gabinete metálico/ Tablero 0,80 x 1,20 x 0,20</t>
  </si>
  <si>
    <t>Disyuntor 4 x 63 amper</t>
  </si>
  <si>
    <t>Relevo térmico 1 a 1,6 amper</t>
  </si>
  <si>
    <t>Relevo térmico 1,6 a 2,5 amper</t>
  </si>
  <si>
    <t>Relevo térmico 9 a 12 amper</t>
  </si>
  <si>
    <t>Riel Din x 1 mts</t>
  </si>
  <si>
    <t>Térmica 3 x 10 amper</t>
  </si>
  <si>
    <t>Térmica 1x10 amper</t>
  </si>
  <si>
    <t>Térmica 2x10 amper</t>
  </si>
  <si>
    <t>Señal luminosa</t>
  </si>
  <si>
    <t>Cable canal ranurado 50x70</t>
  </si>
  <si>
    <t>Guardamotor 1 a 1,6 amper con caja estanca</t>
  </si>
  <si>
    <t>Rollo de cinta aisladora Vennie Tape</t>
  </si>
  <si>
    <t>Ficha Macho 3x16+N (kalop azul)</t>
  </si>
  <si>
    <t>Cable tipo taller 2x1</t>
  </si>
  <si>
    <t>Cable tipo taller 4x2 1/2</t>
  </si>
  <si>
    <t>Cable tipo taller 3x2 1/2</t>
  </si>
  <si>
    <t>Cable tipo taller 2x2 1/2</t>
  </si>
  <si>
    <t>Cable tipo taller 2x1 1/2</t>
  </si>
  <si>
    <t>Pantalla plana diámetro 30 de aluminio</t>
  </si>
  <si>
    <t>Portalampara Porcelana</t>
  </si>
  <si>
    <t>Lámpara led bulbo 12 watts cálidas</t>
  </si>
  <si>
    <t>Cable subterráneo 3x35+N</t>
  </si>
  <si>
    <t>Lote</t>
  </si>
  <si>
    <t xml:space="preserve">Terreno </t>
  </si>
  <si>
    <t>Materiales de electricidad</t>
  </si>
  <si>
    <t>Materiales de gas (externo al galpón)</t>
  </si>
  <si>
    <t>Materiales de gas (interno en galpón)</t>
  </si>
  <si>
    <t>Instalación de electricidad al interior del galpón</t>
  </si>
  <si>
    <t>Caño negro de 2 pulgadas de PVC p/ transportar agua</t>
  </si>
  <si>
    <t>Cable subterráneo 3x25+N</t>
  </si>
  <si>
    <t>Caño de 25 ALDYL p/ transportar gas</t>
  </si>
  <si>
    <t>Alambrados Leonetti</t>
  </si>
  <si>
    <t>Membrana térmica doble aluminio Marca Isolant (rollo de 20 mts)</t>
  </si>
  <si>
    <t>Chapas Nro. 27 de 6,5 mts de largo y 1,10 de ancho (estándar)</t>
  </si>
  <si>
    <t xml:space="preserve">Ángulos de 1 ¼ x 1/8 </t>
  </si>
  <si>
    <t xml:space="preserve">Planchuela 1 ¼ x 1/8 </t>
  </si>
  <si>
    <t>Pinturería Brazo Largo</t>
  </si>
  <si>
    <t>Guía Superior / Riel Roma 170</t>
  </si>
  <si>
    <t>Carros para Riel Roma 170</t>
  </si>
  <si>
    <t>Lata de pintura 20lts Tersuave de esmalte sintético con convertidor</t>
  </si>
  <si>
    <t>Lugar de presupuesto</t>
  </si>
  <si>
    <t>Fecha de presupuesto</t>
  </si>
  <si>
    <t>Electricidad del Oeste</t>
  </si>
  <si>
    <t>La 47</t>
  </si>
  <si>
    <t>Pablo Gómez</t>
  </si>
  <si>
    <t>Anexo 5: Bienes de Uso</t>
  </si>
  <si>
    <t>Unidad de medida</t>
  </si>
  <si>
    <t>Tipo de cambio</t>
  </si>
  <si>
    <t>Nordheimer/Todo Campo</t>
  </si>
  <si>
    <t>Descuento ef.</t>
  </si>
  <si>
    <t>Cisilotto Hnos.</t>
  </si>
  <si>
    <t>Total (ARG)</t>
  </si>
  <si>
    <t>Total (USD)</t>
  </si>
  <si>
    <t>Chapa</t>
  </si>
  <si>
    <t>Rollo</t>
  </si>
  <si>
    <t>Varilla</t>
  </si>
  <si>
    <t>Bulonera Casey</t>
  </si>
  <si>
    <t>Corralón Parra Hnos</t>
  </si>
  <si>
    <t>Gancho para techo "J" 60 mm</t>
  </si>
  <si>
    <t>Torniquete TV reforzado pintado</t>
  </si>
  <si>
    <t>Tornillo cabeza hexagonal de 11mm, grado 8, bulon G5 7/16x1</t>
  </si>
  <si>
    <t>Tornillo cabeza hexagonal de 11mm, bulon zincado 7/16x1</t>
  </si>
  <si>
    <t>Arandela plana 7/16 ZN p/ bulon zincado</t>
  </si>
  <si>
    <t>Remaches pop de 5mm x 500 unidades</t>
  </si>
  <si>
    <t>Arandela cuna de chapa p/ gancho "J"</t>
  </si>
  <si>
    <t>Arandela casquete p/ gancho "J"</t>
  </si>
  <si>
    <t>Tuerca zincada 1/4 USS p/ gancho "J"</t>
  </si>
  <si>
    <t>Tuerca zincada 7/16 USS p/ ambos tornillos/bulones</t>
  </si>
  <si>
    <t>Alambre tejido pollero de 16 galbanizado - 1,90 mts de alto, 300 mts</t>
  </si>
  <si>
    <t>Alambre San Martín alta resistencia, 3000 mts</t>
  </si>
  <si>
    <t>Piedra en bolsa</t>
  </si>
  <si>
    <t>Arena en bolsa</t>
  </si>
  <si>
    <t>Contactor bobina 220 volt nxc09 in9a</t>
  </si>
  <si>
    <t>Contactor bobina 220 volt nxc18 in18a</t>
  </si>
  <si>
    <t>Cajas de paso plast bcas de ext (roker)</t>
  </si>
  <si>
    <t>Base industrial 3x16a.c kalop  (1caja*10u)</t>
  </si>
  <si>
    <t>Toma 3x16+N (kalop azul capsulada exterior)/ cajas de paso 16a vacia azul</t>
  </si>
  <si>
    <t>Ficha Macho 2x10+N / k3 negra</t>
  </si>
  <si>
    <t>Ficha Hembra 2x10xN /kh negra</t>
  </si>
  <si>
    <t>Conjunto cabezal l23 blanco y brazo</t>
  </si>
  <si>
    <t>Fotocelula/Fotocontrol 10amp</t>
  </si>
  <si>
    <t>Zócalo para fotocontrol</t>
  </si>
  <si>
    <t>Gancho 5/8 para pantallas</t>
  </si>
  <si>
    <t>Jabalinas lisas l 250 1500 12,6mm</t>
  </si>
  <si>
    <t>Subterráneo flexible 3x25+16mm2</t>
  </si>
  <si>
    <t>Cable 3x16+N/ subterráneo flexible 4x16mm3</t>
  </si>
  <si>
    <t>Cable tipo taller 1x4 / cable 4 mm negro</t>
  </si>
  <si>
    <t>Cable tipo taller 4x 1 1/2</t>
  </si>
  <si>
    <t>Tomacables T2 rollo x 100mts</t>
  </si>
  <si>
    <t xml:space="preserve">Precio unitario </t>
  </si>
  <si>
    <t>Regulador de gas exterior</t>
  </si>
  <si>
    <t>RF Repuestos CABA</t>
  </si>
  <si>
    <t>Caño 1'' Epoxi (7 caños)</t>
  </si>
  <si>
    <t>Caño 3/4'' Epoxi (7 caños)</t>
  </si>
  <si>
    <t>Caño 1/2'' Epoxi (2 caños)</t>
  </si>
  <si>
    <t>Unión doble 1'' Epoxi</t>
  </si>
  <si>
    <t>Unión doble 3/4'' Epoxi</t>
  </si>
  <si>
    <t>Codo h h 1'' Epoxi</t>
  </si>
  <si>
    <t>Cupla 3/4'' Epoxi</t>
  </si>
  <si>
    <t>Cupla 1'' Epoxi</t>
  </si>
  <si>
    <t>Tee de reducción 11/2 Epoxi</t>
  </si>
  <si>
    <t>Tee 1/2 Epoxi</t>
  </si>
  <si>
    <t>Rosca con tuerca 1/2 Epoxi</t>
  </si>
  <si>
    <t>Esférica de acero inox. Hh 1/2 Latyn</t>
  </si>
  <si>
    <t>Teton macho común 1/2 Segovia</t>
  </si>
  <si>
    <t>Abrazadera de alambre N7 Segovia</t>
  </si>
  <si>
    <t>Manguera p/gas licuado 8x14mmx50mt</t>
  </si>
  <si>
    <t xml:space="preserve">Trabasil gas rojo x 50 </t>
  </si>
  <si>
    <t>Tee de reducción 3/4 Epoxi</t>
  </si>
  <si>
    <t>Instalación de electricidad y gas</t>
  </si>
  <si>
    <t>Instalación de gas al interior del galpón</t>
  </si>
  <si>
    <t>Días</t>
  </si>
  <si>
    <t>Camiones</t>
  </si>
  <si>
    <t>Escoria gruesa para camino lateral y principal</t>
  </si>
  <si>
    <t>Tosca para camino lateral y principal</t>
  </si>
  <si>
    <t>Retrocultivador/Rotobacter pequeño (nueva)</t>
  </si>
  <si>
    <t>Retrocultivador/Rotobacter pequeño (antiguo)</t>
  </si>
  <si>
    <t>Vida útil</t>
  </si>
  <si>
    <t>Comentarios</t>
  </si>
  <si>
    <t>Podría no ponerlo. Se vive rompiendo y hay que repararlo.</t>
  </si>
  <si>
    <t>Nuevo. Preg a Marcos en qué año se compró.</t>
  </si>
  <si>
    <t>Retrocultivador/Rotobacter Marca Husguarna</t>
  </si>
  <si>
    <t>Nuevo. Comprado en 2020</t>
  </si>
  <si>
    <t>Retrocultivador con toma de fuerza, sin motor.</t>
  </si>
  <si>
    <t>Nuevo. Comprado en 2022</t>
  </si>
  <si>
    <t>Nuevo. Se compró en 2014.</t>
  </si>
  <si>
    <t>Tractor Hanomag, modelo LDFT254-QS, potencia 28 hp</t>
  </si>
  <si>
    <t>Preg a Marcos cuántos años duran</t>
  </si>
  <si>
    <t>Vieja. 2006</t>
  </si>
  <si>
    <t>Bomba hidrolavadora Honda gx200. Preg a marcos si es de 3hp (contador listaod)</t>
  </si>
  <si>
    <t>Grupo electrógeno, motor Dongfeng Cummins Engine, modelo 4BTA3.9G2,  generador MG 1-20. Diesel 84/100K.</t>
  </si>
  <si>
    <t xml:space="preserve"> Se compró en oct. Del 2017</t>
  </si>
  <si>
    <t xml:space="preserve">Balanza de un eje </t>
  </si>
  <si>
    <t>Acoplado de 4 ruedas</t>
  </si>
  <si>
    <t xml:space="preserve">Mascara protectora </t>
  </si>
  <si>
    <t xml:space="preserve">Mochila (sin motor) de 12 litros para pasar veneno / fumigadora. Manual. </t>
  </si>
  <si>
    <t>Moladora</t>
  </si>
  <si>
    <t xml:space="preserve">Taladro </t>
  </si>
  <si>
    <t>Soldadora inverter</t>
  </si>
  <si>
    <t>motocierra</t>
  </si>
  <si>
    <t xml:space="preserve">Tractor de cortar pasto (1). Esto sirve para mantenimeitno de limpieza. </t>
  </si>
  <si>
    <t>Motoguadaña / Desmalezadora / Bordeadora (para cortar de pasto)</t>
  </si>
  <si>
    <t>Cortadora de pasto con toma de fuerza que va enganchada en el tractor .Caroni. Cortadora de arrastre. La arrastra el tractor con fuerza.</t>
  </si>
  <si>
    <t>Carretilla</t>
  </si>
  <si>
    <t xml:space="preserve">Equipo de desinfección: bomba que tira desinfectante antes de que ingresen camiones. </t>
  </si>
  <si>
    <t xml:space="preserve">Pala (3 chicas y una grande) </t>
  </si>
  <si>
    <t xml:space="preserve">Composta: madera, tejido y ladrillo. Lo hizo un empleado de Alberto en 2019 aprox. Metros: 5 por 3 metros.se hacen por compartimiento. Tiene tres compartimiento. Vas moviendo de uno a otro. Usas uno, lo cambias al otro, y el primero lo limpias. </t>
  </si>
  <si>
    <t>Mochila con motor de 15 litros para tirar veneno en polvo</t>
  </si>
  <si>
    <t>Pedir modelo a marcos</t>
  </si>
  <si>
    <t>pedir modelo y mas descripcion a marcos</t>
  </si>
  <si>
    <t>pedir modelo</t>
  </si>
  <si>
    <t>Hanomag</t>
  </si>
  <si>
    <t>Mercadolibre</t>
  </si>
  <si>
    <t xml:space="preserve">Horquilla que se usa para juntar desechos del pollo (1) </t>
  </si>
  <si>
    <t>Hidrogás Oeste</t>
  </si>
  <si>
    <t>Don Hierro (Pueblo Nuevo)</t>
  </si>
  <si>
    <t>Cumbrera lisa 2.mts x  0.40 mts (20cm c/ ala)</t>
  </si>
  <si>
    <t>Kit de bebedero Choretime 4 líneas</t>
  </si>
  <si>
    <t>Precio Unitario</t>
  </si>
  <si>
    <t xml:space="preserve">Total </t>
  </si>
  <si>
    <t>max</t>
  </si>
  <si>
    <t>min</t>
  </si>
  <si>
    <t>Mano de obra (Pala Retro para realizar terraplenes)</t>
  </si>
  <si>
    <t>mean</t>
  </si>
  <si>
    <t>Kg Totales</t>
  </si>
  <si>
    <t>Peso Promedio</t>
  </si>
  <si>
    <t>Edad</t>
  </si>
  <si>
    <t>Conversion</t>
  </si>
  <si>
    <t>Ingreso Total</t>
  </si>
  <si>
    <t>Fecha de cobro</t>
  </si>
  <si>
    <t>Cantidad (Q)</t>
  </si>
  <si>
    <t>Proyección de evolución de la cantidad (Q)</t>
  </si>
  <si>
    <t>marzo</t>
  </si>
  <si>
    <t>Promedio</t>
  </si>
  <si>
    <t>Variación (%)</t>
  </si>
  <si>
    <t>Proyección de evolución del precio (P)</t>
  </si>
  <si>
    <t>Crecimiento</t>
  </si>
  <si>
    <t>Inflación esperada</t>
  </si>
  <si>
    <t>Proyección de ingresos (PxQ)</t>
  </si>
  <si>
    <t>Ingresos</t>
  </si>
  <si>
    <t>Aves cargadas (Q)</t>
  </si>
  <si>
    <t>Ingreso total ajustado</t>
  </si>
  <si>
    <t>Ingreso total</t>
  </si>
  <si>
    <t>Tarifa ajustada (Dic2022)</t>
  </si>
  <si>
    <t>Ingreso Total ajustado (Dic2022)</t>
  </si>
  <si>
    <t>Fecha Ingreso</t>
  </si>
  <si>
    <t>Fecha Egreso</t>
  </si>
  <si>
    <t>Cantidad de Crianzas</t>
  </si>
  <si>
    <t>Energía Eléctrica</t>
  </si>
  <si>
    <t>Tipo de Cambio</t>
  </si>
  <si>
    <t>Gas</t>
  </si>
  <si>
    <t>IPC</t>
  </si>
  <si>
    <t>Sueldos</t>
  </si>
  <si>
    <t>Sueldo Adicional</t>
  </si>
  <si>
    <t>Cargas Sindicales</t>
  </si>
  <si>
    <t>Ingreso total (USD)</t>
  </si>
  <si>
    <t>Tasa Vial ajustado</t>
  </si>
  <si>
    <t>Inmobiliario Rural ajustado</t>
  </si>
  <si>
    <t>Tasa Vial (USD)</t>
  </si>
  <si>
    <t>Inm. Rural (USD)</t>
  </si>
  <si>
    <t>Impuestos Anuales (USD)</t>
  </si>
  <si>
    <t>Matafuegos???</t>
  </si>
  <si>
    <t>Costos del "integrado"</t>
  </si>
  <si>
    <t>Gas licuado</t>
  </si>
  <si>
    <t>Cargas sociales</t>
  </si>
  <si>
    <t>Cargas sindicales</t>
  </si>
  <si>
    <t>Gasoil</t>
  </si>
  <si>
    <t>Nafta</t>
  </si>
  <si>
    <t>Energía Eléctrica (IPC)</t>
  </si>
  <si>
    <t>Gas (IPC)</t>
  </si>
  <si>
    <t>Sueldos (IPC)</t>
  </si>
  <si>
    <t>Sueldo Adicional (IPC)</t>
  </si>
  <si>
    <t>Cargas Sociales (IPC)</t>
  </si>
  <si>
    <t>Cargas Sindicales (IPC)</t>
  </si>
  <si>
    <t>Costos totales de servicios prestados</t>
  </si>
  <si>
    <t>Flujos de Fondos Descontados (DCF)</t>
  </si>
  <si>
    <t>Estado de Resultados (EERR)</t>
  </si>
  <si>
    <t>Sueldos Totales (IPC)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</si>
  <si>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</si>
  <si>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</si>
  <si>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</si>
  <si>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</si>
  <si>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</si>
  <si>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</si>
  <si>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</si>
  <si>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</si>
  <si>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</si>
  <si>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</si>
  <si>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</si>
  <si>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Salarios 2020</t>
  </si>
  <si>
    <t>Salarios 2021</t>
  </si>
  <si>
    <t>Salarios 2022</t>
  </si>
  <si>
    <t>Cargas Sociales 2020</t>
  </si>
  <si>
    <t>Cargas Sindicales 2020</t>
  </si>
  <si>
    <t>Cargas Sociales 2021</t>
  </si>
  <si>
    <t>Cargas Sindicales 2021</t>
  </si>
  <si>
    <t>Cargas Sindicales 2022</t>
  </si>
  <si>
    <t>Cargas Sociales 2022</t>
  </si>
  <si>
    <t>Mantenimiento de Infraestructura</t>
  </si>
  <si>
    <t>Alambre de acero 5 MM</t>
  </si>
  <si>
    <t>Alambre de acero 4MM</t>
  </si>
  <si>
    <t>Malacates</t>
  </si>
  <si>
    <t>Metros</t>
  </si>
  <si>
    <t>Mantenimiento de Caminos</t>
  </si>
  <si>
    <t>Portalampara</t>
  </si>
  <si>
    <t>Contactoras</t>
  </si>
  <si>
    <t>Relevos términos</t>
  </si>
  <si>
    <t>Picos de bebederos</t>
  </si>
  <si>
    <t>Cable de acero 3MM</t>
  </si>
  <si>
    <t>Escoria fina</t>
  </si>
  <si>
    <t>Gas (ajustado por dólar)</t>
  </si>
  <si>
    <t>IVA incluido</t>
  </si>
  <si>
    <t>SI</t>
  </si>
  <si>
    <t>Total sin IVA</t>
  </si>
  <si>
    <t>Soga trenzada 4 MM multifilamento</t>
  </si>
  <si>
    <t>Focos led 13w/dia</t>
  </si>
  <si>
    <t>Conservación de infraestructura</t>
  </si>
  <si>
    <t>Conservación de accesos</t>
  </si>
  <si>
    <t>Mantenimiento de instalaciones</t>
  </si>
  <si>
    <t>Mano de obra</t>
  </si>
  <si>
    <t>Desagregación</t>
  </si>
  <si>
    <t>NO</t>
  </si>
  <si>
    <t>Parra Hermanos</t>
  </si>
  <si>
    <t>Metros Cúbicos</t>
  </si>
  <si>
    <t>IPC Abril 2023</t>
  </si>
  <si>
    <t>IPC Dic. 2022</t>
  </si>
  <si>
    <t>Precio Unitario a Dic. 2022</t>
  </si>
  <si>
    <t>Total</t>
  </si>
  <si>
    <t>Fecha FC</t>
  </si>
  <si>
    <t>Precio lts</t>
  </si>
  <si>
    <t>Litros Consumidos</t>
  </si>
  <si>
    <t>Total FC</t>
  </si>
  <si>
    <t>IPC FC</t>
  </si>
  <si>
    <t>IPC Dic 2022</t>
  </si>
  <si>
    <t>Total FC Ajustado</t>
  </si>
  <si>
    <t>Total Precio lts Ajustado</t>
  </si>
  <si>
    <t>Consumo de GLP de Extragas</t>
  </si>
  <si>
    <t>Consumo de GLP de YPF</t>
  </si>
  <si>
    <t>Consumo GLP Extragas</t>
  </si>
  <si>
    <t>Consumo GLP YPF</t>
  </si>
  <si>
    <t>Extragas</t>
  </si>
  <si>
    <t>YPF</t>
  </si>
  <si>
    <t>Empresa</t>
  </si>
  <si>
    <r>
      <t>Coeficiente de Correlación R</t>
    </r>
    <r>
      <rPr>
        <b/>
        <vertAlign val="superscript"/>
        <sz val="14"/>
        <color theme="0"/>
        <rFont val="Times New Roman"/>
        <family val="1"/>
      </rPr>
      <t>2</t>
    </r>
    <r>
      <rPr>
        <b/>
        <sz val="14"/>
        <color theme="0"/>
        <rFont val="Times New Roman"/>
        <family val="1"/>
      </rPr>
      <t>:</t>
    </r>
  </si>
  <si>
    <t>Consumo GLP TOTAL</t>
  </si>
  <si>
    <t>Nro. de Crianza</t>
  </si>
  <si>
    <t>Fechas de crianzas</t>
  </si>
  <si>
    <t>Cant. de Crianzas</t>
  </si>
  <si>
    <t>Caño comederos C2</t>
  </si>
  <si>
    <t>Proyección Costos de Mano de Obra</t>
  </si>
  <si>
    <t>Costos de mano de obra</t>
  </si>
  <si>
    <t>Proyección Costos de Mantenimiento</t>
  </si>
  <si>
    <t>Consumo de GLP (en litros)</t>
  </si>
  <si>
    <t>Costo de GLP</t>
  </si>
  <si>
    <t>Precio esperado de GLP</t>
  </si>
  <si>
    <t>Proyección Costos de Fuentes Energéticas (GLP)</t>
  </si>
  <si>
    <t>Conserv. caminos e infraestructura</t>
  </si>
  <si>
    <t>Costos de mantenimiento</t>
  </si>
  <si>
    <t>Sueldos, Cargas Soc. y Cargas Sind.</t>
  </si>
  <si>
    <t>Axion</t>
  </si>
  <si>
    <t>Litros</t>
  </si>
  <si>
    <t>Costos de combustibles</t>
  </si>
  <si>
    <t>Núm. Crianza</t>
  </si>
  <si>
    <t>Fuentes de energía</t>
  </si>
  <si>
    <t>¿Incluye IVA?</t>
  </si>
  <si>
    <t>Total ef. (ARG)</t>
  </si>
  <si>
    <t>IPC_abil2023</t>
  </si>
  <si>
    <t>Baliani Herrajes</t>
  </si>
  <si>
    <t>Kit de comederos automáticos Choretime G Plus Shallow</t>
  </si>
  <si>
    <t>Kit de alimentadores M75</t>
  </si>
  <si>
    <t>Kit Silo 15,4tn</t>
  </si>
  <si>
    <t>Kit de calefacción de 18 campanas a gas</t>
  </si>
  <si>
    <t>Set de 12 ventiladores con motor de 36''</t>
  </si>
  <si>
    <t>Controlador para riego y calefación central</t>
  </si>
  <si>
    <t>Sistema de niebla</t>
  </si>
  <si>
    <t>Sistema de cortinas</t>
  </si>
  <si>
    <t>Precio Final a Dic.2022</t>
  </si>
  <si>
    <t>Proyección Costos de Fuentes Energéticas (nafta y gasoil)</t>
  </si>
  <si>
    <t>Consumo de nafta (en litros)</t>
  </si>
  <si>
    <t>Consumo de gasoil (en litros)</t>
  </si>
  <si>
    <t>Precio por litro de nafta</t>
  </si>
  <si>
    <t>Precio por litro de gasoil</t>
  </si>
  <si>
    <t>Electricidad 2020</t>
  </si>
  <si>
    <t>Electricidad 2021</t>
  </si>
  <si>
    <t>Electricidad 2022</t>
  </si>
  <si>
    <t>Electricidad 2020 IPC</t>
  </si>
  <si>
    <t>Electricidad 2021 IPC</t>
  </si>
  <si>
    <t>Electricidad 2022 IPC</t>
  </si>
  <si>
    <t>Desde Mayo</t>
  </si>
  <si>
    <t>Antes de Mayo</t>
  </si>
  <si>
    <t>Gasto en Energía Eléctrica</t>
  </si>
  <si>
    <t>Período</t>
  </si>
  <si>
    <t>Proyección Costos de Fuentes Energéticas (Electricidad)</t>
  </si>
  <si>
    <t>Proyección Costos Totales</t>
  </si>
  <si>
    <t>Costos de nafta y gasoil</t>
  </si>
  <si>
    <t xml:space="preserve">Costo de energía eléctrica </t>
  </si>
  <si>
    <t>Tasa Vial 2020</t>
  </si>
  <si>
    <t>Tasa Vial 2021</t>
  </si>
  <si>
    <t>Tasa Vial 2022</t>
  </si>
  <si>
    <t>Inm. Rural 2021</t>
  </si>
  <si>
    <t>Inm. Rural 2022</t>
  </si>
  <si>
    <t>Tasa Vial (IPC dic2022)</t>
  </si>
  <si>
    <r>
      <t>Anexo 3: Impuestos (</t>
    </r>
    <r>
      <rPr>
        <b/>
        <i/>
        <sz val="13"/>
        <color theme="0"/>
        <rFont val="Times New Roman"/>
        <family val="1"/>
      </rPr>
      <t>long</t>
    </r>
    <r>
      <rPr>
        <b/>
        <sz val="13"/>
        <color theme="0"/>
        <rFont val="Times New Roman"/>
        <family val="1"/>
      </rPr>
      <t>)</t>
    </r>
  </si>
  <si>
    <r>
      <t>Anexo 3: Impuestos (</t>
    </r>
    <r>
      <rPr>
        <b/>
        <i/>
        <sz val="13"/>
        <color theme="0"/>
        <rFont val="Times New Roman"/>
        <family val="1"/>
      </rPr>
      <t>wide</t>
    </r>
    <r>
      <rPr>
        <b/>
        <sz val="13"/>
        <color theme="0"/>
        <rFont val="Times New Roman"/>
        <family val="1"/>
      </rPr>
      <t>)</t>
    </r>
  </si>
  <si>
    <t>Inm. Rural (IPC dic2022)</t>
  </si>
  <si>
    <t>Proyección de Tasa Vial Municipal</t>
  </si>
  <si>
    <t>Pago por Tasa Vial</t>
  </si>
  <si>
    <t>Inm. Rural 2020 (IPC)</t>
  </si>
  <si>
    <t>Inm. Rural 2021 (IPC)</t>
  </si>
  <si>
    <t>Inm. Rural 2022 (IPC)</t>
  </si>
  <si>
    <t xml:space="preserve">Inm. Rural 2020 </t>
  </si>
  <si>
    <t>Inflación interanual</t>
  </si>
  <si>
    <t>Variación porcentual interanual del impuesto</t>
  </si>
  <si>
    <t>Marzo</t>
  </si>
  <si>
    <t>Junio</t>
  </si>
  <si>
    <t>Septiembre</t>
  </si>
  <si>
    <t>Noviembre</t>
  </si>
  <si>
    <t>Relación ajuste e inflación</t>
  </si>
  <si>
    <t>Ajuste del Gobierno Bonaerense</t>
  </si>
  <si>
    <t>Impuesto Inmobiliario Rural</t>
  </si>
  <si>
    <t>Proyección Impuestos Totales</t>
  </si>
  <si>
    <t xml:space="preserve">Tasa Vial </t>
  </si>
  <si>
    <t>Gasto en GLP Extragas (IPC)</t>
  </si>
  <si>
    <t>Gasto en GLP YPF (IPC)</t>
  </si>
  <si>
    <t>Gasto en GLP TOTAL (IPC)</t>
  </si>
  <si>
    <t>Gasto en Energía Eléctrica (IPC)</t>
  </si>
  <si>
    <t>Gráficos de Costos de Mano de Obra</t>
  </si>
  <si>
    <t>Costos fijos de mano de obra (IPC)</t>
  </si>
  <si>
    <t>Mortandad promedio</t>
  </si>
  <si>
    <t>Rendimientos históricos (precios, cantidades, mortandad, conversión, etc.).</t>
  </si>
  <si>
    <t>Inversión inicial</t>
  </si>
  <si>
    <t>Parámetros para análisis de senbilidad</t>
  </si>
  <si>
    <t>Crecimiento del precio del pollo</t>
  </si>
  <si>
    <t>Gráficos de costos de energía eléctrica</t>
  </si>
  <si>
    <t>Costos de energía eléctrica</t>
  </si>
  <si>
    <t>Consumo de GLP (en conjunto)</t>
  </si>
  <si>
    <t>Mantenimiento de instalaciones y accesos</t>
  </si>
  <si>
    <t>Proyección de Impuesto Inmobiliario Rural</t>
  </si>
  <si>
    <t xml:space="preserve">Total sin IVA </t>
  </si>
  <si>
    <t>Agrotextil (Mariano Zunino Areco)</t>
  </si>
  <si>
    <t>IPC_fecha_presupuesto</t>
  </si>
  <si>
    <t>Cortina laminada amarilla</t>
  </si>
  <si>
    <t>Aislamax</t>
  </si>
  <si>
    <t>Total a Dic. 2022</t>
  </si>
  <si>
    <t>Alambre tejido Acindar (Rollo de 10mts)</t>
  </si>
  <si>
    <t>Membrana aluminizada (Rollo de 1mts x 20)</t>
  </si>
  <si>
    <t>Proyección CAPEX de mantenimiento</t>
  </si>
  <si>
    <t>Cantidad de alambre tejido Acindar</t>
  </si>
  <si>
    <t>Precio de alambre tejido Acindar (con IVA)</t>
  </si>
  <si>
    <t>Precio de cortina laminada</t>
  </si>
  <si>
    <t>Cantidad de cortina laminada</t>
  </si>
  <si>
    <t>Precio de membrana aluminizada</t>
  </si>
  <si>
    <t>Cantidad de membrana aluminizada</t>
  </si>
  <si>
    <t>Precio unitario a Dic 2022</t>
  </si>
  <si>
    <t>Total a Dic. 2022 sin IVA</t>
  </si>
  <si>
    <t>Membrana</t>
  </si>
  <si>
    <t>d</t>
  </si>
  <si>
    <t>Metro Lineal</t>
  </si>
  <si>
    <t>WACC</t>
  </si>
  <si>
    <t>Alambre Tejido</t>
  </si>
  <si>
    <t>Cortinas</t>
  </si>
  <si>
    <t>Nro. de Galpón</t>
  </si>
  <si>
    <t>Mes</t>
  </si>
  <si>
    <t>Monto</t>
  </si>
  <si>
    <t>Pasivo</t>
  </si>
  <si>
    <t>Enero</t>
  </si>
  <si>
    <t>Tipo</t>
  </si>
  <si>
    <t>Activo</t>
  </si>
  <si>
    <t>Sueldo</t>
  </si>
  <si>
    <t>Componente</t>
  </si>
  <si>
    <t>Febrero</t>
  </si>
  <si>
    <t>Abril</t>
  </si>
  <si>
    <t>Mayo</t>
  </si>
  <si>
    <t>Julio</t>
  </si>
  <si>
    <t>Agosto</t>
  </si>
  <si>
    <t>Octubre</t>
  </si>
  <si>
    <t>Diciembre</t>
  </si>
  <si>
    <t>GLP</t>
  </si>
  <si>
    <t>Mantenimiento</t>
  </si>
  <si>
    <t>ingreso</t>
  </si>
  <si>
    <t>salida</t>
  </si>
  <si>
    <t>cobro</t>
  </si>
  <si>
    <t>cant. de cobros</t>
  </si>
  <si>
    <t>Valor</t>
  </si>
  <si>
    <t>TOTAL Activos</t>
  </si>
  <si>
    <t>Capital de Trabajo</t>
  </si>
  <si>
    <t>Dif (-)</t>
  </si>
  <si>
    <t>Proyección Capital de Trabajo</t>
  </si>
  <si>
    <t>PROMEDIO Dif (-)</t>
  </si>
  <si>
    <t>CAPEX de mantenimiento (-)</t>
  </si>
  <si>
    <t>Variación del Capital de Trabajo</t>
  </si>
  <si>
    <t>Tasa de Descuento</t>
  </si>
  <si>
    <t>Estructura del Capital</t>
  </si>
  <si>
    <t>% de Deuda (D)</t>
  </si>
  <si>
    <t>% de Equity (E)</t>
  </si>
  <si>
    <t>Ratio D/E</t>
  </si>
  <si>
    <t>Tasa libre de riesgo (Rf)</t>
  </si>
  <si>
    <t>Rendimiento del mercado (Beta)</t>
  </si>
  <si>
    <t>Prima de riesgo de mercado (Rm - Rf)</t>
  </si>
  <si>
    <t>Estimación de Beta Desapalancada (Bu)</t>
  </si>
  <si>
    <t>Beta apalancada (Bl)</t>
  </si>
  <si>
    <t>Tasa efectiva de impuesto (Tx)</t>
  </si>
  <si>
    <t>Costo de fondos propios (Ke)</t>
  </si>
  <si>
    <t>Componentes</t>
  </si>
  <si>
    <t>Estimación</t>
  </si>
  <si>
    <t>Fórmulas:</t>
  </si>
  <si>
    <t>Factor de Descuento</t>
  </si>
  <si>
    <t>Gastos desagregados mensualmente (2022)</t>
  </si>
  <si>
    <t>Gastos agregados mensualmente (2022)</t>
  </si>
  <si>
    <t>Activos agregados mensualmente (2022)</t>
  </si>
  <si>
    <t>Gasto</t>
  </si>
  <si>
    <t>Activos (2019 - 2022)</t>
  </si>
  <si>
    <t>venta (IPC)</t>
  </si>
  <si>
    <t>Impuestos Totales</t>
  </si>
  <si>
    <t>Proyección Tasa de Descuento Nominal</t>
  </si>
  <si>
    <t>Tasas y Contribuc.</t>
  </si>
  <si>
    <t>EBIT</t>
  </si>
  <si>
    <t>Cambios en el capital de trabajo (-)</t>
  </si>
  <si>
    <t>Impuesto a las Ganancias del 35% (-)</t>
  </si>
  <si>
    <t>Depreciaciones y amortizaciones (+)</t>
  </si>
  <si>
    <t>Flujo de Caja Descontado (DCF)</t>
  </si>
  <si>
    <t>Inflación esperada en Argentina</t>
  </si>
  <si>
    <t>Tasa de descuento nominal (US$)</t>
  </si>
  <si>
    <t>Inflación esperada en Estados Unidos</t>
  </si>
  <si>
    <t>Tasa de descuento nominal (AR$)</t>
  </si>
  <si>
    <t>VA (ARG)</t>
  </si>
  <si>
    <t>VA (USD)</t>
  </si>
  <si>
    <t xml:space="preserve"> Factor de Descuento</t>
  </si>
  <si>
    <t>Tasa de descuento nominal (ARG$)</t>
  </si>
  <si>
    <t>Periodo</t>
  </si>
  <si>
    <t>Amortizaciones y Depreciaciones (-)</t>
  </si>
  <si>
    <t>Faena de aves por categoría y por año</t>
  </si>
  <si>
    <t>Fuente</t>
  </si>
  <si>
    <t>Años</t>
  </si>
  <si>
    <t>Pollos Parrilleros</t>
  </si>
  <si>
    <t>Gallinas Ponedoras</t>
  </si>
  <si>
    <t>Pollos BB Ponedora</t>
  </si>
  <si>
    <t>Rep Abuelos</t>
  </si>
  <si>
    <t>Rep Padres Livianos</t>
  </si>
  <si>
    <t>Rep BB Padres Livianos</t>
  </si>
  <si>
    <t>Rep Padres Pesados</t>
  </si>
  <si>
    <t>Rep BB Padres Pesados</t>
  </si>
  <si>
    <t>Gallinas Ponedoras Blancas</t>
  </si>
  <si>
    <t>Gallinas</t>
  </si>
  <si>
    <t>Reproductores</t>
  </si>
  <si>
    <t>Otras Aves</t>
  </si>
  <si>
    <t>Total Aves</t>
  </si>
  <si>
    <t>Porcentaje parrilleros</t>
  </si>
  <si>
    <t>Información disponible 
en página web (SENASA)</t>
  </si>
  <si>
    <t>Pedido de información 
pública (SENASA)</t>
  </si>
  <si>
    <t>Total 2020</t>
  </si>
  <si>
    <t>Total 2021</t>
  </si>
  <si>
    <t>Total 2022</t>
  </si>
  <si>
    <t>Total 2023</t>
  </si>
  <si>
    <t>Promedio y variación anual de precios reales (fecha ingreso)</t>
  </si>
  <si>
    <t>Promedio y variación anual de precios reales (fecha cobro)</t>
  </si>
  <si>
    <t>Variación promedio</t>
  </si>
  <si>
    <t>Ingreso Anual según fecha de cobro (IPC dic2022)</t>
  </si>
  <si>
    <t>Enero - Abril</t>
  </si>
  <si>
    <t>Mayo - Diciembre</t>
  </si>
  <si>
    <t>Resultado del Ejercicio</t>
  </si>
  <si>
    <t>Proyección de Amortizaciones</t>
  </si>
  <si>
    <t>Valor de adquisición (CAPEX 2022)</t>
  </si>
  <si>
    <t>Valor residual</t>
  </si>
  <si>
    <t>Amortización anual proyectada</t>
  </si>
  <si>
    <t>Ingresos Brutos</t>
  </si>
  <si>
    <t>Beneficio Bruto</t>
  </si>
  <si>
    <t>Beneficio antes de Amortizaciones</t>
  </si>
  <si>
    <t>Beneficio antes de Impuesto a las Ganancias</t>
  </si>
  <si>
    <t>Periodo de amortización (en años)</t>
  </si>
  <si>
    <t>Amortización Anual</t>
  </si>
  <si>
    <r>
      <t>Inversiones en bienes de capital (</t>
    </r>
    <r>
      <rPr>
        <b/>
        <i/>
        <sz val="13"/>
        <color theme="0"/>
        <rFont val="Times New Roman"/>
        <family val="1"/>
      </rPr>
      <t>CAPEX</t>
    </r>
    <r>
      <rPr>
        <b/>
        <sz val="13"/>
        <color theme="0"/>
        <rFont val="Times New Roman"/>
        <family val="1"/>
      </rPr>
      <t>)</t>
    </r>
  </si>
  <si>
    <r>
      <t xml:space="preserve">Amortización de </t>
    </r>
    <r>
      <rPr>
        <b/>
        <i/>
        <sz val="13"/>
        <color theme="0"/>
        <rFont val="Times New Roman"/>
        <family val="1"/>
      </rPr>
      <t>CAPEX</t>
    </r>
    <r>
      <rPr>
        <b/>
        <sz val="13"/>
        <color theme="0"/>
        <rFont val="Times New Roman"/>
        <family val="1"/>
      </rPr>
      <t xml:space="preserve"> (2022) </t>
    </r>
  </si>
  <si>
    <t>TOTAL Gastos</t>
  </si>
  <si>
    <t>Capital de Trabajo (2022)</t>
  </si>
  <si>
    <t>Flujo de Caja Futuro (FCFF)</t>
  </si>
  <si>
    <t>Valor Terminal (TV)</t>
  </si>
  <si>
    <t>TOTAL (2022)</t>
  </si>
  <si>
    <t>Ajuste por inflación esperada (2023)</t>
  </si>
  <si>
    <t>Inversiones en bienes de capital</t>
  </si>
  <si>
    <t>Proyecciones económicas</t>
  </si>
  <si>
    <t>Tasa de mortandad</t>
  </si>
  <si>
    <t>Energía: incremento porcentual</t>
  </si>
  <si>
    <t>Precio de la energía:</t>
  </si>
  <si>
    <t>Aumento esperado</t>
  </si>
  <si>
    <r>
      <t xml:space="preserve">Proyección de </t>
    </r>
    <r>
      <rPr>
        <b/>
        <i/>
        <sz val="13"/>
        <color theme="0"/>
        <rFont val="Times New Roman"/>
        <family val="1"/>
      </rPr>
      <t>CAPEX</t>
    </r>
  </si>
  <si>
    <t>Cálculo de la tasa de descuento</t>
  </si>
  <si>
    <t>Valor Actual (USD)</t>
  </si>
  <si>
    <t>Incremento en el precio de la energía</t>
  </si>
  <si>
    <t>Incremento en el precio del pollo</t>
  </si>
  <si>
    <t>Tasa de descuento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</si>
</sst>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0.0000"/>
    <numFmt numFmtId="165" formatCode="_-* #,##0_-;\-* #,##0_-;_-* &quot;-&quot;??_-;_-@_-"/>
    <numFmt numFmtId="166" formatCode="&quot;$&quot;\ #,##0.00"/>
    <numFmt numFmtId="167" formatCode="0.0%"/>
    <numFmt numFmtId="168" formatCode="0.000"/>
    <numFmt numFmtId="169" formatCode="0.0"/>
    <numFmt numFmtId="170" formatCode="_ * #,##0.00_ ;_ * \-#,##0.00_ ;_ * &quot;-&quot;??_ ;_ @_ "/>
    <numFmt numFmtId="171" formatCode="&quot;$&quot;\ #,##0.0"/>
    <numFmt numFmtId="172" formatCode="_(* #,##0.00_);_(* \(#,##0.00\);_(* &quot;-&quot;??_);_(@_)"/>
    <numFmt numFmtId="173" formatCode="0.000%"/>
  </numFmts>
  <fonts count="5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3"/>
      <color theme="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i/>
      <sz val="12"/>
      <color theme="1"/>
      <name val="Times New Roman"/>
      <family val="1"/>
    </font>
    <font>
      <b/>
      <sz val="13"/>
      <name val="Times New Roman"/>
      <family val="1"/>
    </font>
    <font>
      <b/>
      <i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3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0"/>
      <name val="Times New Roman"/>
      <family val="1"/>
    </font>
    <font>
      <b/>
      <i/>
      <sz val="11"/>
      <color theme="1"/>
      <name val="Times New Roman"/>
      <family val="1"/>
    </font>
    <font>
      <sz val="8"/>
      <name val="Calibri"/>
      <family val="2"/>
      <scheme val="minor"/>
    </font>
    <font>
      <b/>
      <vertAlign val="superscript"/>
      <sz val="14"/>
      <color theme="0"/>
      <name val="Times New Roman"/>
      <family val="1"/>
    </font>
    <font>
      <b/>
      <sz val="16"/>
      <name val="Times New Roman"/>
      <family val="1"/>
    </font>
    <font>
      <b/>
      <i/>
      <sz val="16"/>
      <color theme="1"/>
      <name val="Times New Roman"/>
      <family val="1"/>
    </font>
    <font>
      <sz val="16"/>
      <color theme="1"/>
      <name val="Times New Roman"/>
      <family val="1"/>
    </font>
    <font>
      <sz val="16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8"/>
      <color theme="0"/>
      <name val="Times New Roman"/>
      <family val="1"/>
    </font>
    <font>
      <sz val="12"/>
      <color rgb="FF000000"/>
      <name val="Times New Roman"/>
      <family val="1"/>
    </font>
    <font>
      <b/>
      <sz val="15"/>
      <color theme="0"/>
      <name val="Times New Roman"/>
      <family val="1"/>
    </font>
    <font>
      <b/>
      <sz val="15"/>
      <name val="Times New Roman"/>
      <family val="1"/>
    </font>
    <font>
      <b/>
      <sz val="15"/>
      <color theme="1"/>
      <name val="Times New Roman"/>
      <family val="1"/>
    </font>
    <font>
      <b/>
      <i/>
      <sz val="13"/>
      <color theme="0"/>
      <name val="Times New Roman"/>
      <family val="1"/>
    </font>
    <font>
      <b/>
      <sz val="14"/>
      <name val="Times New Roman"/>
      <family val="1"/>
    </font>
    <font>
      <sz val="14"/>
      <color theme="1"/>
      <name val="Times New Roman"/>
      <family val="1"/>
    </font>
    <font>
      <b/>
      <sz val="11"/>
      <color theme="6" tint="-0.249977111117893"/>
      <name val="Times New Roman"/>
      <family val="1"/>
    </font>
    <font>
      <b/>
      <sz val="11"/>
      <color rgb="FFC00000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indexed="9"/>
      <name val="Times New Roman"/>
      <family val="1"/>
    </font>
    <font>
      <b/>
      <sz val="12"/>
      <color indexed="9"/>
      <name val="Times New Roman"/>
      <family val="1"/>
    </font>
    <font>
      <b/>
      <sz val="13"/>
      <color theme="1"/>
      <name val="Times New Roman"/>
      <family val="1"/>
    </font>
    <font>
      <b/>
      <sz val="12"/>
      <color theme="0"/>
      <name val="Times New Roman"/>
      <family val="1"/>
    </font>
    <font>
      <u/>
      <sz val="12"/>
      <name val="Times New Roman"/>
      <family val="1"/>
    </font>
    <font>
      <i/>
      <sz val="10"/>
      <color theme="1"/>
      <name val="Times New Roman"/>
      <family val="1"/>
    </font>
    <font>
      <i/>
      <sz val="12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 tint="-0.499984740745262"/>
      </top>
      <bottom style="double">
        <color theme="4" tint="-0.499984740745262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theme="4" tint="-0.499984740745262"/>
      </bottom>
      <diagonal/>
    </border>
    <border>
      <left/>
      <right style="thin">
        <color indexed="64"/>
      </right>
      <top style="thin">
        <color theme="4" tint="-0.499984740745262"/>
      </top>
      <bottom style="double">
        <color theme="4" tint="-0.499984740745262"/>
      </bottom>
      <diagonal/>
    </border>
    <border>
      <left style="thin">
        <color indexed="64"/>
      </left>
      <right/>
      <top style="thin">
        <color theme="4" tint="-0.499984740745262"/>
      </top>
      <bottom style="double">
        <color theme="4" tint="-0.49998474074526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indexed="64"/>
      </right>
      <top/>
      <bottom style="thin">
        <color theme="4" tint="-0.499984740745262"/>
      </bottom>
      <diagonal/>
    </border>
    <border>
      <left/>
      <right/>
      <top/>
      <bottom style="double">
        <color theme="4" tint="-0.499984740745262"/>
      </bottom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double">
        <color theme="4" tint="-0.499984740745262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double">
        <color indexed="64"/>
      </bottom>
      <diagonal/>
    </border>
    <border>
      <left style="thin">
        <color indexed="64"/>
      </left>
      <right/>
      <top style="thin">
        <color theme="4" tint="-0.499984740745262"/>
      </top>
      <bottom style="double">
        <color indexed="64"/>
      </bottom>
      <diagonal/>
    </border>
    <border>
      <left/>
      <right/>
      <top style="thin">
        <color theme="4" tint="-0.499984740745262"/>
      </top>
      <bottom style="double">
        <color indexed="64"/>
      </bottom>
      <diagonal/>
    </border>
    <border>
      <left/>
      <right style="thin">
        <color indexed="64"/>
      </right>
      <top style="thin">
        <color theme="4" tint="-0.499984740745262"/>
      </top>
      <bottom style="double">
        <color indexed="64"/>
      </bottom>
      <diagonal/>
    </border>
  </borders>
  <cellStyleXfs count="11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" fillId="0" borderId="0"/>
    <xf numFmtId="0" fontId="17" fillId="0" borderId="0"/>
    <xf numFmtId="0" fontId="40" fillId="0" borderId="0"/>
    <xf numFmtId="9" fontId="41" fillId="0" borderId="0" applyFont="0" applyFill="0" applyBorder="0" applyAlignment="0" applyProtection="0"/>
    <xf numFmtId="172" fontId="41" fillId="0" borderId="0" applyFont="0" applyFill="0" applyBorder="0" applyAlignment="0" applyProtection="0"/>
    <xf numFmtId="0" fontId="42" fillId="0" borderId="0" applyNumberFormat="0" applyFill="0" applyBorder="0" applyAlignment="0" applyProtection="0"/>
  </cellStyleXfs>
  <cellXfs count="724">
    <xf numFmtId="0" fontId="0" fillId="0" borderId="0" xfId="0"/>
    <xf numFmtId="44" fontId="0" fillId="0" borderId="0" xfId="1" applyFont="1"/>
    <xf numFmtId="44" fontId="0" fillId="0" borderId="0" xfId="0" applyNumberFormat="1"/>
    <xf numFmtId="0" fontId="0" fillId="0" borderId="7" xfId="0" applyBorder="1"/>
    <xf numFmtId="0" fontId="0" fillId="0" borderId="9" xfId="0" applyBorder="1"/>
    <xf numFmtId="0" fontId="1" fillId="0" borderId="0" xfId="0" applyFont="1" applyAlignment="1">
      <alignment horizontal="center"/>
    </xf>
    <xf numFmtId="0" fontId="0" fillId="0" borderId="10" xfId="0" applyBorder="1"/>
    <xf numFmtId="0" fontId="0" fillId="0" borderId="12" xfId="0" applyBorder="1"/>
    <xf numFmtId="0" fontId="0" fillId="0" borderId="13" xfId="0" applyBorder="1"/>
    <xf numFmtId="0" fontId="6" fillId="0" borderId="0" xfId="0" applyFont="1"/>
    <xf numFmtId="0" fontId="7" fillId="3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4" fontId="6" fillId="0" borderId="0" xfId="1" applyFont="1" applyAlignment="1">
      <alignment horizontal="center"/>
    </xf>
    <xf numFmtId="17" fontId="6" fillId="0" borderId="0" xfId="0" applyNumberFormat="1" applyFont="1" applyAlignment="1">
      <alignment horizontal="center"/>
    </xf>
    <xf numFmtId="44" fontId="6" fillId="0" borderId="0" xfId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4" fontId="5" fillId="0" borderId="0" xfId="0" applyNumberFormat="1" applyFont="1"/>
    <xf numFmtId="164" fontId="9" fillId="0" borderId="0" xfId="0" applyNumberFormat="1" applyFont="1" applyAlignment="1" applyProtection="1">
      <alignment horizontal="center"/>
      <protection locked="0"/>
    </xf>
    <xf numFmtId="0" fontId="6" fillId="0" borderId="0" xfId="1" applyNumberFormat="1" applyFont="1" applyAlignment="1">
      <alignment horizontal="center"/>
    </xf>
    <xf numFmtId="0" fontId="7" fillId="3" borderId="3" xfId="0" applyFont="1" applyFill="1" applyBorder="1" applyAlignment="1">
      <alignment horizontal="center"/>
    </xf>
    <xf numFmtId="166" fontId="9" fillId="0" borderId="0" xfId="1" applyNumberFormat="1" applyFont="1" applyBorder="1" applyAlignment="1" applyProtection="1">
      <alignment horizontal="center" vertical="center"/>
      <protection locked="0"/>
    </xf>
    <xf numFmtId="166" fontId="9" fillId="0" borderId="0" xfId="1" applyNumberFormat="1" applyFont="1" applyFill="1" applyBorder="1" applyAlignment="1">
      <alignment horizontal="center"/>
    </xf>
    <xf numFmtId="166" fontId="9" fillId="0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vertical="center"/>
    </xf>
    <xf numFmtId="166" fontId="6" fillId="0" borderId="7" xfId="1" applyNumberFormat="1" applyFont="1" applyBorder="1" applyAlignment="1">
      <alignment horizontal="center"/>
    </xf>
    <xf numFmtId="166" fontId="6" fillId="0" borderId="10" xfId="1" applyNumberFormat="1" applyFont="1" applyBorder="1" applyAlignment="1">
      <alignment horizontal="center"/>
    </xf>
    <xf numFmtId="166" fontId="6" fillId="0" borderId="13" xfId="1" applyNumberFormat="1" applyFont="1" applyBorder="1" applyAlignment="1">
      <alignment horizontal="center"/>
    </xf>
    <xf numFmtId="166" fontId="0" fillId="0" borderId="0" xfId="0" applyNumberFormat="1"/>
    <xf numFmtId="166" fontId="6" fillId="0" borderId="0" xfId="1" applyNumberFormat="1" applyFont="1" applyFill="1" applyAlignment="1">
      <alignment horizontal="center"/>
    </xf>
    <xf numFmtId="166" fontId="6" fillId="0" borderId="0" xfId="0" applyNumberFormat="1" applyFont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9" fontId="0" fillId="0" borderId="0" xfId="0" applyNumberFormat="1"/>
    <xf numFmtId="0" fontId="6" fillId="2" borderId="2" xfId="0" applyFont="1" applyFill="1" applyBorder="1" applyAlignment="1">
      <alignment vertical="center"/>
    </xf>
    <xf numFmtId="0" fontId="11" fillId="2" borderId="3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/>
    </xf>
    <xf numFmtId="0" fontId="13" fillId="2" borderId="3" xfId="0" applyFont="1" applyFill="1" applyBorder="1" applyAlignment="1">
      <alignment vertical="center"/>
    </xf>
    <xf numFmtId="0" fontId="13" fillId="2" borderId="2" xfId="0" applyFont="1" applyFill="1" applyBorder="1" applyAlignment="1">
      <alignment vertical="center"/>
    </xf>
    <xf numFmtId="0" fontId="0" fillId="6" borderId="0" xfId="0" applyFill="1"/>
    <xf numFmtId="0" fontId="15" fillId="0" borderId="1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15" xfId="0" applyFont="1" applyBorder="1" applyAlignment="1">
      <alignment vertical="center" wrapText="1"/>
    </xf>
    <xf numFmtId="17" fontId="6" fillId="0" borderId="0" xfId="0" applyNumberFormat="1" applyFont="1"/>
    <xf numFmtId="44" fontId="6" fillId="0" borderId="0" xfId="1" applyFont="1" applyBorder="1" applyAlignment="1">
      <alignment vertical="center"/>
    </xf>
    <xf numFmtId="9" fontId="6" fillId="0" borderId="0" xfId="2" applyFont="1" applyBorder="1" applyAlignment="1">
      <alignment horizontal="center" vertical="center"/>
    </xf>
    <xf numFmtId="0" fontId="6" fillId="0" borderId="16" xfId="0" applyFont="1" applyBorder="1" applyAlignment="1">
      <alignment vertical="center"/>
    </xf>
    <xf numFmtId="44" fontId="6" fillId="0" borderId="0" xfId="1" applyFont="1" applyBorder="1" applyAlignment="1">
      <alignment horizontal="center" vertical="center"/>
    </xf>
    <xf numFmtId="44" fontId="6" fillId="0" borderId="10" xfId="1" applyFont="1" applyBorder="1" applyAlignment="1">
      <alignment horizontal="center" vertical="center"/>
    </xf>
    <xf numFmtId="0" fontId="13" fillId="2" borderId="4" xfId="0" applyFont="1" applyFill="1" applyBorder="1" applyAlignment="1">
      <alignment vertical="center"/>
    </xf>
    <xf numFmtId="9" fontId="6" fillId="0" borderId="0" xfId="1" applyNumberFormat="1" applyFont="1" applyBorder="1" applyAlignment="1">
      <alignment horizontal="center" vertical="center"/>
    </xf>
    <xf numFmtId="44" fontId="6" fillId="5" borderId="0" xfId="1" applyFont="1" applyFill="1" applyBorder="1" applyAlignment="1">
      <alignment horizontal="center" vertical="center"/>
    </xf>
    <xf numFmtId="166" fontId="6" fillId="0" borderId="0" xfId="1" applyNumberFormat="1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166" fontId="9" fillId="0" borderId="0" xfId="1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vertical="center"/>
    </xf>
    <xf numFmtId="44" fontId="6" fillId="0" borderId="10" xfId="1" applyFont="1" applyBorder="1" applyAlignment="1">
      <alignment vertical="center"/>
    </xf>
    <xf numFmtId="44" fontId="6" fillId="0" borderId="10" xfId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left" vertical="center"/>
    </xf>
    <xf numFmtId="44" fontId="6" fillId="0" borderId="10" xfId="0" applyNumberFormat="1" applyFont="1" applyBorder="1" applyAlignment="1">
      <alignment horizontal="center" vertical="center"/>
    </xf>
    <xf numFmtId="9" fontId="6" fillId="0" borderId="0" xfId="1" applyNumberFormat="1" applyFont="1" applyFill="1" applyBorder="1" applyAlignment="1">
      <alignment horizontal="center" vertical="center"/>
    </xf>
    <xf numFmtId="166" fontId="6" fillId="0" borderId="0" xfId="1" applyNumberFormat="1" applyFont="1" applyFill="1" applyBorder="1" applyAlignment="1">
      <alignment horizontal="center" vertical="center"/>
    </xf>
    <xf numFmtId="44" fontId="6" fillId="0" borderId="10" xfId="1" applyFont="1" applyFill="1" applyBorder="1" applyAlignment="1">
      <alignment vertical="center"/>
    </xf>
    <xf numFmtId="0" fontId="6" fillId="0" borderId="16" xfId="0" applyFont="1" applyBorder="1" applyAlignment="1">
      <alignment horizontal="left" vertical="center"/>
    </xf>
    <xf numFmtId="44" fontId="14" fillId="6" borderId="4" xfId="0" applyNumberFormat="1" applyFont="1" applyFill="1" applyBorder="1" applyAlignment="1">
      <alignment vertical="center"/>
    </xf>
    <xf numFmtId="44" fontId="13" fillId="2" borderId="2" xfId="1" applyFont="1" applyFill="1" applyBorder="1" applyAlignment="1">
      <alignment vertical="center"/>
    </xf>
    <xf numFmtId="44" fontId="11" fillId="2" borderId="2" xfId="1" applyFont="1" applyFill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14" fontId="9" fillId="0" borderId="12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44" fontId="9" fillId="0" borderId="12" xfId="1" applyFont="1" applyFill="1" applyBorder="1" applyAlignment="1">
      <alignment horizontal="center" vertical="center"/>
    </xf>
    <xf numFmtId="44" fontId="6" fillId="0" borderId="12" xfId="1" applyFont="1" applyBorder="1" applyAlignment="1">
      <alignment horizontal="center" vertical="center"/>
    </xf>
    <xf numFmtId="166" fontId="9" fillId="0" borderId="12" xfId="1" applyNumberFormat="1" applyFont="1" applyFill="1" applyBorder="1" applyAlignment="1">
      <alignment horizontal="center" vertical="center"/>
    </xf>
    <xf numFmtId="44" fontId="9" fillId="0" borderId="13" xfId="1" applyFont="1" applyFill="1" applyBorder="1" applyAlignment="1">
      <alignment horizontal="center" vertical="center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14" fontId="6" fillId="0" borderId="12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4" fontId="6" fillId="0" borderId="12" xfId="1" applyFont="1" applyBorder="1" applyAlignment="1">
      <alignment vertical="center"/>
    </xf>
    <xf numFmtId="9" fontId="6" fillId="0" borderId="12" xfId="2" applyFont="1" applyBorder="1" applyAlignment="1">
      <alignment horizontal="center" vertical="center"/>
    </xf>
    <xf numFmtId="44" fontId="0" fillId="0" borderId="10" xfId="0" applyNumberFormat="1" applyBorder="1" applyAlignment="1">
      <alignment vertical="center"/>
    </xf>
    <xf numFmtId="0" fontId="7" fillId="0" borderId="1" xfId="0" applyFont="1" applyBorder="1" applyAlignment="1">
      <alignment horizontal="center"/>
    </xf>
    <xf numFmtId="166" fontId="6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9" fontId="6" fillId="0" borderId="0" xfId="0" applyNumberFormat="1" applyFont="1" applyAlignment="1">
      <alignment horizontal="center"/>
    </xf>
    <xf numFmtId="166" fontId="6" fillId="0" borderId="8" xfId="0" applyNumberFormat="1" applyFont="1" applyBorder="1" applyAlignment="1">
      <alignment horizontal="center"/>
    </xf>
    <xf numFmtId="166" fontId="6" fillId="0" borderId="10" xfId="0" applyNumberFormat="1" applyFont="1" applyBorder="1" applyAlignment="1">
      <alignment horizontal="center"/>
    </xf>
    <xf numFmtId="166" fontId="6" fillId="0" borderId="13" xfId="0" applyNumberFormat="1" applyFont="1" applyBorder="1" applyAlignment="1">
      <alignment horizontal="center"/>
    </xf>
    <xf numFmtId="166" fontId="6" fillId="0" borderId="9" xfId="0" applyNumberFormat="1" applyFont="1" applyBorder="1" applyAlignment="1">
      <alignment horizontal="center"/>
    </xf>
    <xf numFmtId="166" fontId="6" fillId="0" borderId="11" xfId="0" applyNumberFormat="1" applyFont="1" applyBorder="1" applyAlignment="1">
      <alignment horizontal="center"/>
    </xf>
    <xf numFmtId="169" fontId="6" fillId="0" borderId="18" xfId="0" applyNumberFormat="1" applyFont="1" applyBorder="1" applyAlignment="1">
      <alignment horizontal="center"/>
    </xf>
    <xf numFmtId="169" fontId="6" fillId="0" borderId="5" xfId="0" applyNumberFormat="1" applyFont="1" applyBorder="1" applyAlignment="1">
      <alignment horizontal="center"/>
    </xf>
    <xf numFmtId="3" fontId="18" fillId="0" borderId="0" xfId="0" applyNumberFormat="1" applyFont="1" applyAlignment="1">
      <alignment horizontal="center"/>
    </xf>
    <xf numFmtId="44" fontId="19" fillId="0" borderId="10" xfId="1" applyFont="1" applyBorder="1" applyAlignment="1">
      <alignment vertical="center"/>
    </xf>
    <xf numFmtId="0" fontId="14" fillId="6" borderId="3" xfId="0" applyFont="1" applyFill="1" applyBorder="1" applyAlignment="1">
      <alignment vertical="center"/>
    </xf>
    <xf numFmtId="0" fontId="14" fillId="6" borderId="2" xfId="0" applyFont="1" applyFill="1" applyBorder="1" applyAlignment="1">
      <alignment vertical="center"/>
    </xf>
    <xf numFmtId="44" fontId="14" fillId="6" borderId="2" xfId="1" applyFont="1" applyFill="1" applyBorder="1" applyAlignment="1">
      <alignment vertical="center"/>
    </xf>
    <xf numFmtId="0" fontId="1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44" fontId="6" fillId="0" borderId="0" xfId="0" applyNumberFormat="1" applyFont="1" applyAlignment="1">
      <alignment horizontal="center"/>
    </xf>
    <xf numFmtId="166" fontId="6" fillId="0" borderId="8" xfId="1" applyNumberFormat="1" applyFont="1" applyBorder="1" applyAlignment="1">
      <alignment horizontal="center"/>
    </xf>
    <xf numFmtId="2" fontId="19" fillId="0" borderId="0" xfId="0" applyNumberFormat="1" applyFont="1" applyAlignment="1">
      <alignment horizontal="center"/>
    </xf>
    <xf numFmtId="0" fontId="20" fillId="3" borderId="1" xfId="0" applyFont="1" applyFill="1" applyBorder="1" applyAlignment="1">
      <alignment horizontal="center"/>
    </xf>
    <xf numFmtId="166" fontId="19" fillId="0" borderId="8" xfId="0" applyNumberFormat="1" applyFont="1" applyBorder="1" applyAlignment="1">
      <alignment horizontal="center"/>
    </xf>
    <xf numFmtId="166" fontId="19" fillId="0" borderId="10" xfId="0" applyNumberFormat="1" applyFont="1" applyBorder="1" applyAlignment="1">
      <alignment horizontal="center"/>
    </xf>
    <xf numFmtId="166" fontId="19" fillId="0" borderId="13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166" fontId="7" fillId="3" borderId="1" xfId="0" applyNumberFormat="1" applyFont="1" applyFill="1" applyBorder="1" applyAlignment="1">
      <alignment horizontal="center"/>
    </xf>
    <xf numFmtId="0" fontId="5" fillId="0" borderId="0" xfId="0" applyFont="1"/>
    <xf numFmtId="166" fontId="9" fillId="0" borderId="0" xfId="0" applyNumberFormat="1" applyFont="1" applyAlignment="1">
      <alignment horizontal="center"/>
    </xf>
    <xf numFmtId="0" fontId="7" fillId="6" borderId="1" xfId="0" applyFont="1" applyFill="1" applyBorder="1" applyAlignment="1">
      <alignment horizontal="center"/>
    </xf>
    <xf numFmtId="166" fontId="6" fillId="6" borderId="17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vertical="center"/>
    </xf>
    <xf numFmtId="166" fontId="19" fillId="0" borderId="0" xfId="1" applyNumberFormat="1" applyFont="1" applyAlignment="1">
      <alignment horizontal="center"/>
    </xf>
    <xf numFmtId="17" fontId="6" fillId="0" borderId="9" xfId="0" applyNumberFormat="1" applyFont="1" applyBorder="1" applyAlignment="1">
      <alignment horizontal="center"/>
    </xf>
    <xf numFmtId="166" fontId="9" fillId="0" borderId="10" xfId="0" applyNumberFormat="1" applyFont="1" applyBorder="1" applyAlignment="1">
      <alignment horizontal="center"/>
    </xf>
    <xf numFmtId="17" fontId="6" fillId="0" borderId="11" xfId="0" applyNumberFormat="1" applyFont="1" applyBorder="1" applyAlignment="1">
      <alignment horizontal="center"/>
    </xf>
    <xf numFmtId="166" fontId="9" fillId="0" borderId="13" xfId="0" applyNumberFormat="1" applyFont="1" applyBorder="1" applyAlignment="1">
      <alignment horizontal="center"/>
    </xf>
    <xf numFmtId="166" fontId="9" fillId="0" borderId="18" xfId="0" applyNumberFormat="1" applyFont="1" applyBorder="1" applyAlignment="1">
      <alignment horizontal="center"/>
    </xf>
    <xf numFmtId="166" fontId="9" fillId="0" borderId="5" xfId="0" applyNumberFormat="1" applyFont="1" applyBorder="1" applyAlignment="1">
      <alignment horizontal="center"/>
    </xf>
    <xf numFmtId="166" fontId="9" fillId="0" borderId="12" xfId="0" applyNumberFormat="1" applyFont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6" fillId="6" borderId="9" xfId="0" applyFont="1" applyFill="1" applyBorder="1" applyAlignment="1">
      <alignment horizontal="center"/>
    </xf>
    <xf numFmtId="0" fontId="6" fillId="6" borderId="11" xfId="0" applyFont="1" applyFill="1" applyBorder="1" applyAlignment="1">
      <alignment horizontal="center"/>
    </xf>
    <xf numFmtId="166" fontId="6" fillId="6" borderId="18" xfId="0" applyNumberFormat="1" applyFont="1" applyFill="1" applyBorder="1" applyAlignment="1">
      <alignment horizontal="center"/>
    </xf>
    <xf numFmtId="166" fontId="6" fillId="6" borderId="5" xfId="0" applyNumberFormat="1" applyFont="1" applyFill="1" applyBorder="1" applyAlignment="1">
      <alignment horizontal="center"/>
    </xf>
    <xf numFmtId="0" fontId="0" fillId="0" borderId="8" xfId="0" applyBorder="1"/>
    <xf numFmtId="165" fontId="7" fillId="0" borderId="29" xfId="0" applyNumberFormat="1" applyFont="1" applyBorder="1"/>
    <xf numFmtId="165" fontId="7" fillId="0" borderId="19" xfId="0" applyNumberFormat="1" applyFont="1" applyBorder="1"/>
    <xf numFmtId="0" fontId="16" fillId="6" borderId="0" xfId="0" applyFont="1" applyFill="1"/>
    <xf numFmtId="0" fontId="7" fillId="0" borderId="7" xfId="0" applyFont="1" applyBorder="1" applyAlignment="1">
      <alignment horizontal="left"/>
    </xf>
    <xf numFmtId="0" fontId="7" fillId="0" borderId="29" xfId="0" applyFont="1" applyBorder="1" applyAlignment="1">
      <alignment horizontal="left"/>
    </xf>
    <xf numFmtId="169" fontId="6" fillId="6" borderId="18" xfId="0" applyNumberFormat="1" applyFont="1" applyFill="1" applyBorder="1" applyAlignment="1">
      <alignment horizontal="center" vertical="center"/>
    </xf>
    <xf numFmtId="166" fontId="6" fillId="6" borderId="18" xfId="0" applyNumberFormat="1" applyFont="1" applyFill="1" applyBorder="1" applyAlignment="1">
      <alignment horizontal="center" vertical="center"/>
    </xf>
    <xf numFmtId="169" fontId="6" fillId="6" borderId="5" xfId="0" applyNumberFormat="1" applyFont="1" applyFill="1" applyBorder="1" applyAlignment="1">
      <alignment horizontal="center" vertical="center"/>
    </xf>
    <xf numFmtId="166" fontId="6" fillId="6" borderId="5" xfId="0" applyNumberFormat="1" applyFont="1" applyFill="1" applyBorder="1" applyAlignment="1">
      <alignment horizontal="center" vertical="center"/>
    </xf>
    <xf numFmtId="166" fontId="6" fillId="6" borderId="17" xfId="0" applyNumberFormat="1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/>
    </xf>
    <xf numFmtId="1" fontId="10" fillId="3" borderId="4" xfId="3" applyNumberFormat="1" applyFont="1" applyFill="1" applyBorder="1" applyAlignment="1">
      <alignment horizontal="center" vertical="center" wrapText="1"/>
    </xf>
    <xf numFmtId="14" fontId="6" fillId="0" borderId="9" xfId="0" applyNumberFormat="1" applyFont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21" fillId="4" borderId="3" xfId="0" applyFont="1" applyFill="1" applyBorder="1" applyAlignment="1">
      <alignment vertical="center"/>
    </xf>
    <xf numFmtId="0" fontId="21" fillId="4" borderId="2" xfId="0" applyFont="1" applyFill="1" applyBorder="1" applyAlignment="1">
      <alignment vertical="center"/>
    </xf>
    <xf numFmtId="0" fontId="21" fillId="4" borderId="4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6" fillId="6" borderId="17" xfId="0" applyFont="1" applyFill="1" applyBorder="1" applyAlignment="1">
      <alignment horizontal="center"/>
    </xf>
    <xf numFmtId="0" fontId="6" fillId="6" borderId="18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44" fontId="6" fillId="0" borderId="0" xfId="1" applyFont="1" applyFill="1" applyBorder="1" applyAlignment="1">
      <alignment horizontal="center"/>
    </xf>
    <xf numFmtId="14" fontId="6" fillId="0" borderId="11" xfId="0" applyNumberFormat="1" applyFont="1" applyBorder="1" applyAlignment="1">
      <alignment horizontal="center"/>
    </xf>
    <xf numFmtId="44" fontId="6" fillId="0" borderId="12" xfId="1" applyFont="1" applyFill="1" applyBorder="1" applyAlignment="1">
      <alignment horizontal="center"/>
    </xf>
    <xf numFmtId="166" fontId="19" fillId="0" borderId="0" xfId="1" applyNumberFormat="1" applyFont="1" applyFill="1" applyBorder="1" applyAlignment="1">
      <alignment horizontal="center"/>
    </xf>
    <xf numFmtId="166" fontId="6" fillId="0" borderId="12" xfId="0" applyNumberFormat="1" applyFont="1" applyBorder="1" applyAlignment="1">
      <alignment horizontal="center"/>
    </xf>
    <xf numFmtId="169" fontId="6" fillId="0" borderId="12" xfId="0" applyNumberFormat="1" applyFont="1" applyBorder="1" applyAlignment="1">
      <alignment horizontal="center"/>
    </xf>
    <xf numFmtId="166" fontId="19" fillId="0" borderId="12" xfId="1" applyNumberFormat="1" applyFont="1" applyFill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2" fontId="7" fillId="3" borderId="2" xfId="0" applyNumberFormat="1" applyFont="1" applyFill="1" applyBorder="1" applyAlignment="1">
      <alignment horizontal="center"/>
    </xf>
    <xf numFmtId="2" fontId="6" fillId="0" borderId="12" xfId="0" applyNumberFormat="1" applyFont="1" applyBorder="1" applyAlignment="1">
      <alignment horizontal="center"/>
    </xf>
    <xf numFmtId="0" fontId="21" fillId="4" borderId="2" xfId="0" applyFont="1" applyFill="1" applyBorder="1" applyAlignment="1">
      <alignment horizontal="center" vertical="center"/>
    </xf>
    <xf numFmtId="0" fontId="0" fillId="0" borderId="30" xfId="0" applyBorder="1"/>
    <xf numFmtId="166" fontId="6" fillId="0" borderId="0" xfId="1" applyNumberFormat="1" applyFont="1" applyFill="1" applyBorder="1" applyAlignment="1">
      <alignment horizontal="center"/>
    </xf>
    <xf numFmtId="166" fontId="6" fillId="0" borderId="12" xfId="1" applyNumberFormat="1" applyFont="1" applyFill="1" applyBorder="1" applyAlignment="1">
      <alignment horizontal="center"/>
    </xf>
    <xf numFmtId="0" fontId="8" fillId="0" borderId="0" xfId="0" applyFont="1" applyAlignment="1">
      <alignment horizontal="left" vertical="center"/>
    </xf>
    <xf numFmtId="15" fontId="19" fillId="0" borderId="0" xfId="0" applyNumberFormat="1" applyFont="1" applyAlignment="1">
      <alignment horizontal="center"/>
    </xf>
    <xf numFmtId="0" fontId="20" fillId="3" borderId="17" xfId="0" applyFont="1" applyFill="1" applyBorder="1" applyAlignment="1">
      <alignment horizontal="center"/>
    </xf>
    <xf numFmtId="2" fontId="6" fillId="0" borderId="0" xfId="0" applyNumberFormat="1" applyFont="1" applyAlignment="1">
      <alignment horizontal="center"/>
    </xf>
    <xf numFmtId="0" fontId="25" fillId="3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 wrapText="1"/>
    </xf>
    <xf numFmtId="1" fontId="25" fillId="3" borderId="1" xfId="3" applyNumberFormat="1" applyFont="1" applyFill="1" applyBorder="1" applyAlignment="1">
      <alignment horizontal="center" vertical="center" wrapText="1"/>
    </xf>
    <xf numFmtId="1" fontId="25" fillId="3" borderId="4" xfId="3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vertical="center"/>
    </xf>
    <xf numFmtId="0" fontId="26" fillId="2" borderId="2" xfId="0" applyFont="1" applyFill="1" applyBorder="1" applyAlignment="1">
      <alignment vertical="center"/>
    </xf>
    <xf numFmtId="0" fontId="26" fillId="2" borderId="4" xfId="0" applyFont="1" applyFill="1" applyBorder="1" applyAlignment="1">
      <alignment vertical="center"/>
    </xf>
    <xf numFmtId="0" fontId="27" fillId="0" borderId="16" xfId="0" applyFont="1" applyBorder="1" applyAlignment="1">
      <alignment vertical="center"/>
    </xf>
    <xf numFmtId="44" fontId="27" fillId="0" borderId="0" xfId="1" applyFont="1" applyBorder="1" applyAlignment="1">
      <alignment horizontal="center" vertical="center"/>
    </xf>
    <xf numFmtId="0" fontId="27" fillId="0" borderId="0" xfId="1" applyNumberFormat="1" applyFont="1" applyBorder="1" applyAlignment="1">
      <alignment horizontal="center" vertical="center"/>
    </xf>
    <xf numFmtId="44" fontId="27" fillId="0" borderId="0" xfId="1" applyFont="1" applyFill="1" applyBorder="1" applyAlignment="1">
      <alignment horizontal="center" vertical="center"/>
    </xf>
    <xf numFmtId="166" fontId="27" fillId="0" borderId="0" xfId="1" applyNumberFormat="1" applyFont="1" applyBorder="1" applyAlignment="1">
      <alignment horizontal="center" vertical="center"/>
    </xf>
    <xf numFmtId="44" fontId="27" fillId="0" borderId="10" xfId="1" applyFont="1" applyBorder="1" applyAlignment="1">
      <alignment horizontal="center" vertical="center"/>
    </xf>
    <xf numFmtId="0" fontId="27" fillId="0" borderId="9" xfId="0" applyFont="1" applyBorder="1" applyAlignment="1">
      <alignment vertical="center"/>
    </xf>
    <xf numFmtId="44" fontId="27" fillId="0" borderId="0" xfId="1" applyFont="1" applyBorder="1"/>
    <xf numFmtId="44" fontId="27" fillId="0" borderId="10" xfId="0" applyNumberFormat="1" applyFont="1" applyBorder="1"/>
    <xf numFmtId="0" fontId="26" fillId="2" borderId="2" xfId="0" applyFont="1" applyFill="1" applyBorder="1" applyAlignment="1">
      <alignment horizontal="center" vertical="center"/>
    </xf>
    <xf numFmtId="0" fontId="27" fillId="0" borderId="11" xfId="0" applyFont="1" applyBorder="1" applyAlignment="1">
      <alignment vertical="center"/>
    </xf>
    <xf numFmtId="0" fontId="27" fillId="0" borderId="12" xfId="0" applyFont="1" applyBorder="1" applyAlignment="1">
      <alignment horizontal="center" vertical="center"/>
    </xf>
    <xf numFmtId="14" fontId="27" fillId="0" borderId="12" xfId="0" applyNumberFormat="1" applyFont="1" applyBorder="1" applyAlignment="1">
      <alignment horizontal="center" vertical="center"/>
    </xf>
    <xf numFmtId="0" fontId="27" fillId="0" borderId="12" xfId="0" applyFont="1" applyBorder="1" applyAlignment="1">
      <alignment horizontal="center"/>
    </xf>
    <xf numFmtId="166" fontId="27" fillId="0" borderId="12" xfId="1" applyNumberFormat="1" applyFont="1" applyBorder="1" applyAlignment="1">
      <alignment horizontal="center" vertical="center"/>
    </xf>
    <xf numFmtId="44" fontId="27" fillId="0" borderId="12" xfId="1" applyFont="1" applyBorder="1" applyAlignment="1">
      <alignment horizontal="center" vertical="center"/>
    </xf>
    <xf numFmtId="0" fontId="28" fillId="0" borderId="13" xfId="0" applyFont="1" applyBorder="1"/>
    <xf numFmtId="0" fontId="29" fillId="6" borderId="3" xfId="0" applyFont="1" applyFill="1" applyBorder="1" applyAlignment="1">
      <alignment vertical="center"/>
    </xf>
    <xf numFmtId="0" fontId="29" fillId="6" borderId="2" xfId="0" applyFont="1" applyFill="1" applyBorder="1" applyAlignment="1">
      <alignment vertical="center"/>
    </xf>
    <xf numFmtId="44" fontId="29" fillId="6" borderId="2" xfId="1" applyFont="1" applyFill="1" applyBorder="1" applyAlignment="1">
      <alignment vertical="center"/>
    </xf>
    <xf numFmtId="44" fontId="29" fillId="6" borderId="4" xfId="0" applyNumberFormat="1" applyFont="1" applyFill="1" applyBorder="1" applyAlignment="1">
      <alignment vertical="center"/>
    </xf>
    <xf numFmtId="0" fontId="20" fillId="3" borderId="1" xfId="0" applyFont="1" applyFill="1" applyBorder="1" applyAlignment="1">
      <alignment horizontal="center" vertical="center"/>
    </xf>
    <xf numFmtId="14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1" fontId="10" fillId="3" borderId="1" xfId="3" applyNumberFormat="1" applyFont="1" applyFill="1" applyBorder="1" applyAlignment="1">
      <alignment horizontal="center" vertical="center"/>
    </xf>
    <xf numFmtId="44" fontId="14" fillId="6" borderId="2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5" borderId="0" xfId="0" applyFont="1" applyFill="1" applyAlignment="1">
      <alignment vertical="center"/>
    </xf>
    <xf numFmtId="14" fontId="6" fillId="0" borderId="0" xfId="0" applyNumberFormat="1" applyFont="1" applyAlignment="1">
      <alignment horizontal="center" vertical="center"/>
    </xf>
    <xf numFmtId="2" fontId="19" fillId="0" borderId="0" xfId="1" applyNumberFormat="1" applyFont="1" applyBorder="1" applyAlignment="1">
      <alignment horizontal="center"/>
    </xf>
    <xf numFmtId="44" fontId="11" fillId="2" borderId="4" xfId="1" applyFont="1" applyFill="1" applyBorder="1" applyAlignment="1">
      <alignment vertical="center"/>
    </xf>
    <xf numFmtId="9" fontId="6" fillId="0" borderId="0" xfId="0" applyNumberFormat="1" applyFont="1" applyAlignment="1">
      <alignment horizontal="center" vertical="center"/>
    </xf>
    <xf numFmtId="44" fontId="6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44" fontId="19" fillId="0" borderId="0" xfId="1" applyFont="1" applyBorder="1" applyAlignment="1">
      <alignment vertical="center"/>
    </xf>
    <xf numFmtId="44" fontId="19" fillId="0" borderId="0" xfId="1" applyFont="1" applyBorder="1"/>
    <xf numFmtId="166" fontId="6" fillId="0" borderId="0" xfId="1" applyNumberFormat="1" applyFont="1" applyBorder="1" applyAlignment="1">
      <alignment horizontal="center"/>
    </xf>
    <xf numFmtId="166" fontId="6" fillId="0" borderId="12" xfId="1" applyNumberFormat="1" applyFont="1" applyBorder="1" applyAlignment="1">
      <alignment horizontal="center"/>
    </xf>
    <xf numFmtId="166" fontId="6" fillId="0" borderId="18" xfId="1" applyNumberFormat="1" applyFont="1" applyBorder="1" applyAlignment="1">
      <alignment horizontal="center"/>
    </xf>
    <xf numFmtId="166" fontId="6" fillId="0" borderId="5" xfId="1" applyNumberFormat="1" applyFont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166" fontId="7" fillId="0" borderId="2" xfId="0" applyNumberFormat="1" applyFont="1" applyBorder="1" applyAlignment="1">
      <alignment horizontal="center"/>
    </xf>
    <xf numFmtId="166" fontId="7" fillId="0" borderId="4" xfId="0" applyNumberFormat="1" applyFont="1" applyBorder="1" applyAlignment="1">
      <alignment horizontal="center"/>
    </xf>
    <xf numFmtId="17" fontId="6" fillId="0" borderId="3" xfId="0" applyNumberFormat="1" applyFont="1" applyBorder="1" applyAlignment="1">
      <alignment horizontal="left"/>
    </xf>
    <xf numFmtId="166" fontId="6" fillId="0" borderId="2" xfId="0" applyNumberFormat="1" applyFont="1" applyBorder="1" applyAlignment="1">
      <alignment horizontal="center"/>
    </xf>
    <xf numFmtId="166" fontId="6" fillId="0" borderId="4" xfId="0" applyNumberFormat="1" applyFont="1" applyBorder="1" applyAlignment="1">
      <alignment horizontal="center"/>
    </xf>
    <xf numFmtId="166" fontId="34" fillId="0" borderId="14" xfId="0" applyNumberFormat="1" applyFont="1" applyBorder="1" applyAlignment="1">
      <alignment horizontal="center" vertical="center"/>
    </xf>
    <xf numFmtId="166" fontId="34" fillId="0" borderId="20" xfId="0" applyNumberFormat="1" applyFont="1" applyBorder="1" applyAlignment="1">
      <alignment horizontal="center" vertical="center"/>
    </xf>
    <xf numFmtId="0" fontId="7" fillId="3" borderId="17" xfId="0" applyFont="1" applyFill="1" applyBorder="1" applyAlignment="1">
      <alignment horizontal="center"/>
    </xf>
    <xf numFmtId="0" fontId="0" fillId="0" borderId="2" xfId="0" applyBorder="1"/>
    <xf numFmtId="166" fontId="1" fillId="0" borderId="0" xfId="0" applyNumberFormat="1" applyFont="1"/>
    <xf numFmtId="0" fontId="6" fillId="6" borderId="6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166" fontId="6" fillId="6" borderId="17" xfId="1" applyNumberFormat="1" applyFont="1" applyFill="1" applyBorder="1" applyAlignment="1">
      <alignment horizontal="center"/>
    </xf>
    <xf numFmtId="166" fontId="6" fillId="6" borderId="18" xfId="1" applyNumberFormat="1" applyFont="1" applyFill="1" applyBorder="1" applyAlignment="1">
      <alignment horizontal="center"/>
    </xf>
    <xf numFmtId="166" fontId="6" fillId="6" borderId="1" xfId="0" applyNumberFormat="1" applyFont="1" applyFill="1" applyBorder="1" applyAlignment="1">
      <alignment horizontal="center"/>
    </xf>
    <xf numFmtId="0" fontId="8" fillId="4" borderId="6" xfId="0" applyFont="1" applyFill="1" applyBorder="1" applyAlignment="1">
      <alignment vertical="center"/>
    </xf>
    <xf numFmtId="0" fontId="8" fillId="4" borderId="7" xfId="0" applyFont="1" applyFill="1" applyBorder="1" applyAlignment="1">
      <alignment vertical="center"/>
    </xf>
    <xf numFmtId="0" fontId="33" fillId="3" borderId="3" xfId="0" applyFont="1" applyFill="1" applyBorder="1" applyAlignment="1">
      <alignment horizontal="center"/>
    </xf>
    <xf numFmtId="10" fontId="0" fillId="0" borderId="0" xfId="0" applyNumberFormat="1"/>
    <xf numFmtId="166" fontId="7" fillId="0" borderId="0" xfId="0" applyNumberFormat="1" applyFont="1" applyAlignment="1">
      <alignment horizontal="center"/>
    </xf>
    <xf numFmtId="0" fontId="8" fillId="0" borderId="9" xfId="0" applyFont="1" applyBorder="1" applyAlignment="1">
      <alignment vertical="center"/>
    </xf>
    <xf numFmtId="0" fontId="7" fillId="0" borderId="9" xfId="0" applyFont="1" applyBorder="1" applyAlignment="1">
      <alignment horizontal="center"/>
    </xf>
    <xf numFmtId="166" fontId="7" fillId="0" borderId="9" xfId="0" applyNumberFormat="1" applyFont="1" applyBorder="1" applyAlignment="1">
      <alignment horizontal="center"/>
    </xf>
    <xf numFmtId="166" fontId="6" fillId="0" borderId="18" xfId="0" applyNumberFormat="1" applyFont="1" applyBorder="1" applyAlignment="1">
      <alignment horizontal="center"/>
    </xf>
    <xf numFmtId="17" fontId="6" fillId="6" borderId="17" xfId="0" applyNumberFormat="1" applyFont="1" applyFill="1" applyBorder="1" applyAlignment="1">
      <alignment horizontal="center"/>
    </xf>
    <xf numFmtId="166" fontId="6" fillId="6" borderId="9" xfId="0" applyNumberFormat="1" applyFont="1" applyFill="1" applyBorder="1" applyAlignment="1">
      <alignment horizontal="center"/>
    </xf>
    <xf numFmtId="17" fontId="6" fillId="6" borderId="18" xfId="0" applyNumberFormat="1" applyFont="1" applyFill="1" applyBorder="1" applyAlignment="1">
      <alignment horizontal="center"/>
    </xf>
    <xf numFmtId="17" fontId="6" fillId="6" borderId="5" xfId="0" applyNumberFormat="1" applyFont="1" applyFill="1" applyBorder="1" applyAlignment="1">
      <alignment horizontal="center"/>
    </xf>
    <xf numFmtId="9" fontId="6" fillId="6" borderId="17" xfId="2" applyFont="1" applyFill="1" applyBorder="1" applyAlignment="1">
      <alignment horizontal="center"/>
    </xf>
    <xf numFmtId="167" fontId="6" fillId="6" borderId="1" xfId="0" applyNumberFormat="1" applyFont="1" applyFill="1" applyBorder="1" applyAlignment="1">
      <alignment horizontal="center"/>
    </xf>
    <xf numFmtId="9" fontId="6" fillId="0" borderId="1" xfId="2" applyFont="1" applyFill="1" applyBorder="1" applyAlignment="1">
      <alignment horizontal="center"/>
    </xf>
    <xf numFmtId="0" fontId="6" fillId="3" borderId="9" xfId="0" applyFont="1" applyFill="1" applyBorder="1"/>
    <xf numFmtId="0" fontId="6" fillId="0" borderId="9" xfId="0" applyFont="1" applyBorder="1"/>
    <xf numFmtId="166" fontId="6" fillId="0" borderId="5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44" fontId="6" fillId="0" borderId="0" xfId="1" applyFont="1" applyBorder="1" applyAlignment="1">
      <alignment horizontal="center"/>
    </xf>
    <xf numFmtId="166" fontId="6" fillId="0" borderId="0" xfId="2" applyNumberFormat="1" applyFont="1" applyBorder="1" applyAlignment="1">
      <alignment horizontal="center"/>
    </xf>
    <xf numFmtId="0" fontId="9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44" fontId="6" fillId="0" borderId="12" xfId="1" applyFont="1" applyBorder="1" applyAlignment="1">
      <alignment horizontal="center"/>
    </xf>
    <xf numFmtId="17" fontId="6" fillId="0" borderId="12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6" fontId="6" fillId="0" borderId="10" xfId="1" applyNumberFormat="1" applyFont="1" applyFill="1" applyBorder="1" applyAlignment="1">
      <alignment horizontal="center"/>
    </xf>
    <xf numFmtId="166" fontId="6" fillId="0" borderId="13" xfId="1" applyNumberFormat="1" applyFont="1" applyFill="1" applyBorder="1" applyAlignment="1">
      <alignment horizontal="center"/>
    </xf>
    <xf numFmtId="166" fontId="19" fillId="0" borderId="0" xfId="1" applyNumberFormat="1" applyFont="1" applyBorder="1" applyAlignment="1">
      <alignment horizontal="center"/>
    </xf>
    <xf numFmtId="166" fontId="19" fillId="0" borderId="12" xfId="1" applyNumberFormat="1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44" fontId="29" fillId="6" borderId="2" xfId="0" applyNumberFormat="1" applyFont="1" applyFill="1" applyBorder="1" applyAlignment="1">
      <alignment vertical="center"/>
    </xf>
    <xf numFmtId="166" fontId="26" fillId="2" borderId="2" xfId="0" applyNumberFormat="1" applyFont="1" applyFill="1" applyBorder="1" applyAlignment="1">
      <alignment vertical="center"/>
    </xf>
    <xf numFmtId="166" fontId="27" fillId="0" borderId="0" xfId="1" applyNumberFormat="1" applyFont="1" applyFill="1" applyBorder="1" applyAlignment="1">
      <alignment horizontal="center" vertical="center"/>
    </xf>
    <xf numFmtId="166" fontId="27" fillId="0" borderId="0" xfId="1" applyNumberFormat="1" applyFont="1" applyBorder="1" applyAlignment="1">
      <alignment horizontal="center"/>
    </xf>
    <xf numFmtId="166" fontId="26" fillId="2" borderId="2" xfId="0" applyNumberFormat="1" applyFont="1" applyFill="1" applyBorder="1" applyAlignment="1">
      <alignment horizontal="center" vertical="center"/>
    </xf>
    <xf numFmtId="166" fontId="27" fillId="0" borderId="12" xfId="1" applyNumberFormat="1" applyFont="1" applyBorder="1" applyAlignment="1">
      <alignment horizontal="center"/>
    </xf>
    <xf numFmtId="166" fontId="27" fillId="0" borderId="10" xfId="1" applyNumberFormat="1" applyFont="1" applyFill="1" applyBorder="1" applyAlignment="1">
      <alignment horizontal="center" vertical="center"/>
    </xf>
    <xf numFmtId="166" fontId="27" fillId="0" borderId="10" xfId="0" applyNumberFormat="1" applyFont="1" applyBorder="1" applyAlignment="1">
      <alignment horizontal="center"/>
    </xf>
    <xf numFmtId="166" fontId="26" fillId="2" borderId="4" xfId="0" applyNumberFormat="1" applyFont="1" applyFill="1" applyBorder="1" applyAlignment="1">
      <alignment horizontal="center" vertical="center"/>
    </xf>
    <xf numFmtId="166" fontId="29" fillId="6" borderId="4" xfId="0" applyNumberFormat="1" applyFont="1" applyFill="1" applyBorder="1" applyAlignment="1">
      <alignment horizontal="center" vertical="center"/>
    </xf>
    <xf numFmtId="166" fontId="34" fillId="0" borderId="4" xfId="0" applyNumberFormat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2" fontId="6" fillId="0" borderId="0" xfId="1" applyNumberFormat="1" applyFont="1" applyBorder="1" applyAlignment="1">
      <alignment horizontal="center"/>
    </xf>
    <xf numFmtId="14" fontId="6" fillId="0" borderId="0" xfId="0" applyNumberFormat="1" applyFont="1" applyAlignment="1">
      <alignment horizontal="center"/>
    </xf>
    <xf numFmtId="0" fontId="31" fillId="0" borderId="0" xfId="0" applyFont="1" applyAlignment="1">
      <alignment horizontal="center"/>
    </xf>
    <xf numFmtId="166" fontId="6" fillId="0" borderId="10" xfId="1" applyNumberFormat="1" applyFont="1" applyFill="1" applyBorder="1" applyAlignment="1">
      <alignment horizontal="center" vertical="center"/>
    </xf>
    <xf numFmtId="166" fontId="6" fillId="0" borderId="6" xfId="1" applyNumberFormat="1" applyFont="1" applyFill="1" applyBorder="1" applyAlignment="1">
      <alignment horizontal="center" vertical="center"/>
    </xf>
    <xf numFmtId="166" fontId="6" fillId="0" borderId="9" xfId="1" applyNumberFormat="1" applyFont="1" applyFill="1" applyBorder="1" applyAlignment="1">
      <alignment horizontal="center" vertical="center"/>
    </xf>
    <xf numFmtId="0" fontId="6" fillId="0" borderId="36" xfId="0" applyFont="1" applyBorder="1" applyAlignment="1">
      <alignment horizontal="left" vertical="center"/>
    </xf>
    <xf numFmtId="0" fontId="7" fillId="0" borderId="3" xfId="0" applyFont="1" applyBorder="1" applyAlignment="1">
      <alignment horizontal="left"/>
    </xf>
    <xf numFmtId="44" fontId="7" fillId="0" borderId="2" xfId="1" applyFont="1" applyBorder="1" applyAlignment="1">
      <alignment horizontal="center"/>
    </xf>
    <xf numFmtId="44" fontId="7" fillId="0" borderId="4" xfId="1" applyFont="1" applyBorder="1" applyAlignment="1">
      <alignment horizontal="center"/>
    </xf>
    <xf numFmtId="0" fontId="6" fillId="0" borderId="9" xfId="0" applyFont="1" applyBorder="1" applyAlignment="1">
      <alignment horizontal="left"/>
    </xf>
    <xf numFmtId="0" fontId="6" fillId="0" borderId="37" xfId="0" applyFont="1" applyBorder="1" applyAlignment="1">
      <alignment horizontal="left" vertical="center"/>
    </xf>
    <xf numFmtId="0" fontId="33" fillId="3" borderId="2" xfId="0" applyFont="1" applyFill="1" applyBorder="1" applyAlignment="1">
      <alignment horizontal="center"/>
    </xf>
    <xf numFmtId="0" fontId="33" fillId="3" borderId="4" xfId="0" applyFont="1" applyFill="1" applyBorder="1" applyAlignment="1">
      <alignment horizontal="center"/>
    </xf>
    <xf numFmtId="166" fontId="34" fillId="0" borderId="3" xfId="0" applyNumberFormat="1" applyFont="1" applyBorder="1" applyAlignment="1">
      <alignment horizontal="center" vertical="center"/>
    </xf>
    <xf numFmtId="166" fontId="34" fillId="0" borderId="2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0" fontId="36" fillId="7" borderId="3" xfId="0" applyFont="1" applyFill="1" applyBorder="1" applyAlignment="1">
      <alignment horizontal="left" vertical="center"/>
    </xf>
    <xf numFmtId="0" fontId="36" fillId="7" borderId="2" xfId="0" applyFont="1" applyFill="1" applyBorder="1" applyAlignment="1">
      <alignment horizontal="left" vertical="center"/>
    </xf>
    <xf numFmtId="0" fontId="37" fillId="0" borderId="0" xfId="0" applyFont="1"/>
    <xf numFmtId="0" fontId="7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20" fillId="0" borderId="2" xfId="0" applyFont="1" applyBorder="1" applyAlignment="1">
      <alignment horizontal="center"/>
    </xf>
    <xf numFmtId="0" fontId="19" fillId="0" borderId="18" xfId="0" applyFont="1" applyBorder="1" applyAlignment="1">
      <alignment horizontal="center"/>
    </xf>
    <xf numFmtId="0" fontId="20" fillId="0" borderId="17" xfId="0" applyFont="1" applyBorder="1" applyAlignment="1">
      <alignment horizontal="center"/>
    </xf>
    <xf numFmtId="0" fontId="20" fillId="0" borderId="18" xfId="0" applyFont="1" applyBorder="1" applyAlignment="1">
      <alignment horizontal="center"/>
    </xf>
    <xf numFmtId="166" fontId="0" fillId="0" borderId="0" xfId="0" applyNumberFormat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/>
    </xf>
    <xf numFmtId="0" fontId="20" fillId="10" borderId="4" xfId="0" applyFont="1" applyFill="1" applyBorder="1" applyAlignment="1">
      <alignment horizontal="center"/>
    </xf>
    <xf numFmtId="15" fontId="19" fillId="0" borderId="40" xfId="0" applyNumberFormat="1" applyFont="1" applyBorder="1" applyAlignment="1">
      <alignment horizontal="center"/>
    </xf>
    <xf numFmtId="15" fontId="19" fillId="0" borderId="41" xfId="0" applyNumberFormat="1" applyFont="1" applyBorder="1" applyAlignment="1">
      <alignment horizontal="center"/>
    </xf>
    <xf numFmtId="15" fontId="19" fillId="8" borderId="41" xfId="0" applyNumberFormat="1" applyFont="1" applyFill="1" applyBorder="1" applyAlignment="1">
      <alignment horizontal="center"/>
    </xf>
    <xf numFmtId="15" fontId="19" fillId="0" borderId="43" xfId="0" applyNumberFormat="1" applyFont="1" applyBorder="1" applyAlignment="1">
      <alignment horizontal="center"/>
    </xf>
    <xf numFmtId="15" fontId="19" fillId="8" borderId="0" xfId="0" applyNumberFormat="1" applyFont="1" applyFill="1" applyAlignment="1">
      <alignment horizontal="center"/>
    </xf>
    <xf numFmtId="15" fontId="19" fillId="0" borderId="45" xfId="0" applyNumberFormat="1" applyFont="1" applyBorder="1" applyAlignment="1">
      <alignment horizontal="center"/>
    </xf>
    <xf numFmtId="15" fontId="19" fillId="0" borderId="46" xfId="0" applyNumberFormat="1" applyFont="1" applyBorder="1" applyAlignment="1">
      <alignment horizontal="center"/>
    </xf>
    <xf numFmtId="15" fontId="19" fillId="8" borderId="46" xfId="0" applyNumberFormat="1" applyFont="1" applyFill="1" applyBorder="1" applyAlignment="1">
      <alignment horizontal="center"/>
    </xf>
    <xf numFmtId="15" fontId="19" fillId="9" borderId="41" xfId="0" applyNumberFormat="1" applyFont="1" applyFill="1" applyBorder="1" applyAlignment="1">
      <alignment horizontal="center"/>
    </xf>
    <xf numFmtId="15" fontId="19" fillId="9" borderId="0" xfId="0" applyNumberFormat="1" applyFont="1" applyFill="1" applyAlignment="1">
      <alignment horizontal="center"/>
    </xf>
    <xf numFmtId="15" fontId="19" fillId="9" borderId="46" xfId="0" applyNumberFormat="1" applyFont="1" applyFill="1" applyBorder="1" applyAlignment="1">
      <alignment horizontal="center"/>
    </xf>
    <xf numFmtId="0" fontId="20" fillId="0" borderId="17" xfId="0" applyFont="1" applyBorder="1"/>
    <xf numFmtId="0" fontId="19" fillId="0" borderId="0" xfId="0" applyFont="1"/>
    <xf numFmtId="166" fontId="19" fillId="0" borderId="42" xfId="0" applyNumberFormat="1" applyFont="1" applyBorder="1" applyAlignment="1">
      <alignment horizontal="center"/>
    </xf>
    <xf numFmtId="166" fontId="19" fillId="0" borderId="44" xfId="0" applyNumberFormat="1" applyFont="1" applyBorder="1" applyAlignment="1">
      <alignment horizontal="center"/>
    </xf>
    <xf numFmtId="166" fontId="19" fillId="0" borderId="47" xfId="0" applyNumberFormat="1" applyFont="1" applyBorder="1" applyAlignment="1">
      <alignment horizontal="center"/>
    </xf>
    <xf numFmtId="0" fontId="22" fillId="6" borderId="39" xfId="0" applyFont="1" applyFill="1" applyBorder="1"/>
    <xf numFmtId="0" fontId="19" fillId="12" borderId="6" xfId="0" applyFont="1" applyFill="1" applyBorder="1" applyAlignment="1">
      <alignment horizontal="center"/>
    </xf>
    <xf numFmtId="0" fontId="19" fillId="12" borderId="17" xfId="0" applyFont="1" applyFill="1" applyBorder="1" applyAlignment="1">
      <alignment horizontal="center"/>
    </xf>
    <xf numFmtId="166" fontId="19" fillId="12" borderId="8" xfId="0" applyNumberFormat="1" applyFont="1" applyFill="1" applyBorder="1" applyAlignment="1">
      <alignment horizontal="center"/>
    </xf>
    <xf numFmtId="0" fontId="19" fillId="11" borderId="9" xfId="0" applyFont="1" applyFill="1" applyBorder="1" applyAlignment="1">
      <alignment horizontal="center"/>
    </xf>
    <xf numFmtId="0" fontId="19" fillId="11" borderId="18" xfId="0" applyFont="1" applyFill="1" applyBorder="1" applyAlignment="1">
      <alignment horizontal="center"/>
    </xf>
    <xf numFmtId="166" fontId="19" fillId="11" borderId="10" xfId="0" applyNumberFormat="1" applyFont="1" applyFill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12" borderId="9" xfId="0" applyFont="1" applyFill="1" applyBorder="1" applyAlignment="1">
      <alignment horizontal="center"/>
    </xf>
    <xf numFmtId="0" fontId="19" fillId="12" borderId="18" xfId="0" applyFont="1" applyFill="1" applyBorder="1" applyAlignment="1">
      <alignment horizontal="center"/>
    </xf>
    <xf numFmtId="166" fontId="19" fillId="12" borderId="10" xfId="0" applyNumberFormat="1" applyFont="1" applyFill="1" applyBorder="1" applyAlignment="1">
      <alignment horizontal="center"/>
    </xf>
    <xf numFmtId="0" fontId="19" fillId="0" borderId="11" xfId="0" applyFont="1" applyBorder="1" applyAlignment="1">
      <alignment horizontal="center"/>
    </xf>
    <xf numFmtId="9" fontId="20" fillId="6" borderId="38" xfId="0" applyNumberFormat="1" applyFont="1" applyFill="1" applyBorder="1" applyAlignment="1">
      <alignment horizontal="center"/>
    </xf>
    <xf numFmtId="0" fontId="19" fillId="6" borderId="9" xfId="0" applyFont="1" applyFill="1" applyBorder="1" applyAlignment="1">
      <alignment horizontal="center"/>
    </xf>
    <xf numFmtId="9" fontId="38" fillId="6" borderId="18" xfId="0" applyNumberFormat="1" applyFont="1" applyFill="1" applyBorder="1" applyAlignment="1">
      <alignment horizontal="center"/>
    </xf>
    <xf numFmtId="10" fontId="39" fillId="6" borderId="18" xfId="0" applyNumberFormat="1" applyFont="1" applyFill="1" applyBorder="1" applyAlignment="1">
      <alignment horizontal="center"/>
    </xf>
    <xf numFmtId="9" fontId="39" fillId="6" borderId="18" xfId="0" applyNumberFormat="1" applyFont="1" applyFill="1" applyBorder="1" applyAlignment="1">
      <alignment horizontal="center"/>
    </xf>
    <xf numFmtId="0" fontId="19" fillId="6" borderId="18" xfId="0" applyFont="1" applyFill="1" applyBorder="1" applyAlignment="1">
      <alignment horizontal="center"/>
    </xf>
    <xf numFmtId="0" fontId="19" fillId="6" borderId="11" xfId="0" applyFont="1" applyFill="1" applyBorder="1" applyAlignment="1">
      <alignment horizontal="center"/>
    </xf>
    <xf numFmtId="9" fontId="39" fillId="6" borderId="5" xfId="0" applyNumberFormat="1" applyFont="1" applyFill="1" applyBorder="1" applyAlignment="1">
      <alignment horizontal="center"/>
    </xf>
    <xf numFmtId="9" fontId="38" fillId="6" borderId="5" xfId="0" applyNumberFormat="1" applyFont="1" applyFill="1" applyBorder="1" applyAlignment="1">
      <alignment horizontal="center"/>
    </xf>
    <xf numFmtId="0" fontId="19" fillId="6" borderId="5" xfId="0" applyFont="1" applyFill="1" applyBorder="1" applyAlignment="1">
      <alignment horizontal="center"/>
    </xf>
    <xf numFmtId="44" fontId="6" fillId="0" borderId="0" xfId="1" applyFont="1" applyBorder="1"/>
    <xf numFmtId="0" fontId="43" fillId="0" borderId="0" xfId="0" applyFont="1"/>
    <xf numFmtId="10" fontId="19" fillId="0" borderId="0" xfId="0" applyNumberFormat="1" applyFont="1"/>
    <xf numFmtId="9" fontId="19" fillId="0" borderId="0" xfId="0" applyNumberFormat="1" applyFont="1"/>
    <xf numFmtId="0" fontId="44" fillId="0" borderId="0" xfId="7" applyFont="1" applyAlignment="1">
      <alignment horizontal="centerContinuous" vertical="center"/>
    </xf>
    <xf numFmtId="9" fontId="19" fillId="0" borderId="49" xfId="2" applyFont="1" applyBorder="1" applyAlignment="1">
      <alignment horizontal="center"/>
    </xf>
    <xf numFmtId="9" fontId="19" fillId="0" borderId="51" xfId="2" applyFont="1" applyBorder="1" applyAlignment="1">
      <alignment horizontal="center"/>
    </xf>
    <xf numFmtId="0" fontId="19" fillId="0" borderId="49" xfId="0" applyFont="1" applyBorder="1" applyAlignment="1">
      <alignment horizontal="center"/>
    </xf>
    <xf numFmtId="0" fontId="19" fillId="0" borderId="51" xfId="0" applyFont="1" applyBorder="1" applyAlignment="1">
      <alignment horizontal="center"/>
    </xf>
    <xf numFmtId="0" fontId="19" fillId="0" borderId="40" xfId="0" applyFont="1" applyBorder="1" applyAlignment="1">
      <alignment horizontal="center"/>
    </xf>
    <xf numFmtId="0" fontId="19" fillId="0" borderId="43" xfId="0" applyFont="1" applyBorder="1" applyAlignment="1">
      <alignment horizontal="center"/>
    </xf>
    <xf numFmtId="0" fontId="19" fillId="0" borderId="45" xfId="0" applyFont="1" applyBorder="1" applyAlignment="1">
      <alignment horizontal="center"/>
    </xf>
    <xf numFmtId="10" fontId="43" fillId="0" borderId="49" xfId="0" applyNumberFormat="1" applyFont="1" applyBorder="1" applyAlignment="1">
      <alignment horizontal="center"/>
    </xf>
    <xf numFmtId="0" fontId="19" fillId="0" borderId="50" xfId="0" applyFont="1" applyBorder="1" applyAlignment="1">
      <alignment horizontal="center"/>
    </xf>
    <xf numFmtId="10" fontId="43" fillId="0" borderId="51" xfId="0" applyNumberFormat="1" applyFont="1" applyBorder="1" applyAlignment="1">
      <alignment horizontal="center"/>
    </xf>
    <xf numFmtId="2" fontId="43" fillId="0" borderId="49" xfId="0" applyNumberFormat="1" applyFont="1" applyBorder="1" applyAlignment="1">
      <alignment horizontal="center"/>
    </xf>
    <xf numFmtId="10" fontId="43" fillId="0" borderId="50" xfId="0" applyNumberFormat="1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20" fillId="0" borderId="52" xfId="0" applyFont="1" applyBorder="1" applyAlignment="1">
      <alignment horizontal="center"/>
    </xf>
    <xf numFmtId="0" fontId="20" fillId="0" borderId="38" xfId="0" applyFont="1" applyBorder="1" applyAlignment="1">
      <alignment horizontal="center"/>
    </xf>
    <xf numFmtId="0" fontId="45" fillId="4" borderId="38" xfId="7" applyFont="1" applyFill="1" applyBorder="1" applyAlignment="1">
      <alignment horizontal="centerContinuous" vertical="center"/>
    </xf>
    <xf numFmtId="9" fontId="7" fillId="0" borderId="51" xfId="0" applyNumberFormat="1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166" fontId="19" fillId="0" borderId="8" xfId="1" applyNumberFormat="1" applyFont="1" applyFill="1" applyBorder="1" applyAlignment="1">
      <alignment horizontal="center"/>
    </xf>
    <xf numFmtId="166" fontId="19" fillId="0" borderId="10" xfId="1" applyNumberFormat="1" applyFont="1" applyFill="1" applyBorder="1" applyAlignment="1">
      <alignment horizontal="center"/>
    </xf>
    <xf numFmtId="0" fontId="19" fillId="0" borderId="12" xfId="0" applyFont="1" applyBorder="1" applyAlignment="1">
      <alignment horizontal="center"/>
    </xf>
    <xf numFmtId="166" fontId="19" fillId="0" borderId="13" xfId="1" applyNumberFormat="1" applyFont="1" applyFill="1" applyBorder="1" applyAlignment="1">
      <alignment horizontal="center"/>
    </xf>
    <xf numFmtId="166" fontId="19" fillId="0" borderId="17" xfId="0" applyNumberFormat="1" applyFont="1" applyBorder="1" applyAlignment="1">
      <alignment horizontal="center"/>
    </xf>
    <xf numFmtId="166" fontId="19" fillId="0" borderId="18" xfId="0" applyNumberFormat="1" applyFont="1" applyBorder="1" applyAlignment="1">
      <alignment horizontal="center"/>
    </xf>
    <xf numFmtId="166" fontId="19" fillId="0" borderId="5" xfId="0" applyNumberFormat="1" applyFont="1" applyBorder="1" applyAlignment="1">
      <alignment horizontal="center"/>
    </xf>
    <xf numFmtId="0" fontId="20" fillId="10" borderId="1" xfId="0" applyFont="1" applyFill="1" applyBorder="1" applyAlignment="1">
      <alignment horizontal="center"/>
    </xf>
    <xf numFmtId="44" fontId="6" fillId="0" borderId="0" xfId="0" applyNumberFormat="1" applyFont="1"/>
    <xf numFmtId="0" fontId="9" fillId="0" borderId="6" xfId="0" applyFont="1" applyBorder="1" applyAlignment="1">
      <alignment vertical="center"/>
    </xf>
    <xf numFmtId="9" fontId="6" fillId="0" borderId="7" xfId="1" applyNumberFormat="1" applyFont="1" applyBorder="1" applyAlignment="1">
      <alignment horizontal="center"/>
    </xf>
    <xf numFmtId="44" fontId="6" fillId="0" borderId="12" xfId="1" applyFont="1" applyBorder="1"/>
    <xf numFmtId="2" fontId="6" fillId="0" borderId="12" xfId="1" applyNumberFormat="1" applyFont="1" applyBorder="1" applyAlignment="1">
      <alignment horizontal="center"/>
    </xf>
    <xf numFmtId="2" fontId="6" fillId="0" borderId="13" xfId="1" applyNumberFormat="1" applyFont="1" applyBorder="1" applyAlignment="1">
      <alignment horizontal="center"/>
    </xf>
    <xf numFmtId="44" fontId="6" fillId="6" borderId="0" xfId="1" applyFont="1" applyFill="1" applyBorder="1"/>
    <xf numFmtId="166" fontId="7" fillId="6" borderId="0" xfId="3" applyNumberFormat="1" applyFont="1" applyFill="1" applyBorder="1" applyAlignment="1">
      <alignment horizontal="center"/>
    </xf>
    <xf numFmtId="166" fontId="6" fillId="0" borderId="0" xfId="3" applyNumberFormat="1" applyFont="1" applyFill="1" applyBorder="1" applyAlignment="1">
      <alignment horizontal="center"/>
    </xf>
    <xf numFmtId="0" fontId="6" fillId="3" borderId="6" xfId="0" applyFont="1" applyFill="1" applyBorder="1"/>
    <xf numFmtId="166" fontId="6" fillId="0" borderId="10" xfId="3" applyNumberFormat="1" applyFont="1" applyFill="1" applyBorder="1" applyAlignment="1">
      <alignment horizontal="center"/>
    </xf>
    <xf numFmtId="166" fontId="6" fillId="6" borderId="0" xfId="1" applyNumberFormat="1" applyFont="1" applyFill="1" applyBorder="1" applyAlignment="1">
      <alignment horizontal="center"/>
    </xf>
    <xf numFmtId="166" fontId="6" fillId="6" borderId="0" xfId="1" applyNumberFormat="1" applyFont="1" applyFill="1" applyBorder="1"/>
    <xf numFmtId="44" fontId="6" fillId="0" borderId="12" xfId="1" applyFont="1" applyFill="1" applyBorder="1"/>
    <xf numFmtId="0" fontId="7" fillId="6" borderId="9" xfId="0" applyFont="1" applyFill="1" applyBorder="1"/>
    <xf numFmtId="0" fontId="6" fillId="6" borderId="9" xfId="0" applyFont="1" applyFill="1" applyBorder="1"/>
    <xf numFmtId="0" fontId="9" fillId="6" borderId="0" xfId="0" applyFont="1" applyFill="1" applyAlignment="1">
      <alignment vertical="center"/>
    </xf>
    <xf numFmtId="0" fontId="6" fillId="6" borderId="0" xfId="0" applyFont="1" applyFill="1"/>
    <xf numFmtId="44" fontId="6" fillId="6" borderId="0" xfId="0" applyNumberFormat="1" applyFont="1" applyFill="1"/>
    <xf numFmtId="0" fontId="7" fillId="6" borderId="0" xfId="0" applyFont="1" applyFill="1"/>
    <xf numFmtId="166" fontId="6" fillId="6" borderId="0" xfId="3" applyNumberFormat="1" applyFont="1" applyFill="1" applyBorder="1" applyAlignment="1">
      <alignment horizontal="center"/>
    </xf>
    <xf numFmtId="0" fontId="0" fillId="6" borderId="10" xfId="0" applyFill="1" applyBorder="1"/>
    <xf numFmtId="44" fontId="7" fillId="0" borderId="29" xfId="1" applyFont="1" applyBorder="1"/>
    <xf numFmtId="166" fontId="20" fillId="0" borderId="7" xfId="0" applyNumberFormat="1" applyFont="1" applyBorder="1"/>
    <xf numFmtId="173" fontId="0" fillId="0" borderId="0" xfId="2" applyNumberFormat="1" applyFont="1"/>
    <xf numFmtId="169" fontId="0" fillId="0" borderId="0" xfId="0" applyNumberFormat="1"/>
    <xf numFmtId="0" fontId="7" fillId="0" borderId="6" xfId="0" applyFont="1" applyBorder="1" applyAlignment="1">
      <alignment horizontal="center"/>
    </xf>
    <xf numFmtId="169" fontId="6" fillId="0" borderId="10" xfId="0" applyNumberFormat="1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169" fontId="6" fillId="0" borderId="13" xfId="0" applyNumberFormat="1" applyFont="1" applyBorder="1" applyAlignment="1">
      <alignment horizontal="center"/>
    </xf>
    <xf numFmtId="0" fontId="1" fillId="0" borderId="0" xfId="0" applyFont="1"/>
    <xf numFmtId="166" fontId="7" fillId="6" borderId="10" xfId="3" applyNumberFormat="1" applyFont="1" applyFill="1" applyBorder="1" applyAlignment="1">
      <alignment horizontal="center"/>
    </xf>
    <xf numFmtId="166" fontId="6" fillId="6" borderId="10" xfId="3" applyNumberFormat="1" applyFont="1" applyFill="1" applyBorder="1" applyAlignment="1">
      <alignment horizontal="center"/>
    </xf>
    <xf numFmtId="0" fontId="46" fillId="0" borderId="3" xfId="0" applyFont="1" applyBorder="1"/>
    <xf numFmtId="166" fontId="46" fillId="0" borderId="4" xfId="0" applyNumberFormat="1" applyFont="1" applyBorder="1" applyAlignment="1">
      <alignment horizontal="center" vertical="center"/>
    </xf>
    <xf numFmtId="0" fontId="8" fillId="4" borderId="3" xfId="0" applyFont="1" applyFill="1" applyBorder="1" applyAlignment="1">
      <alignment vertical="center"/>
    </xf>
    <xf numFmtId="166" fontId="6" fillId="0" borderId="17" xfId="1" applyNumberFormat="1" applyFont="1" applyBorder="1" applyAlignment="1">
      <alignment horizontal="center" vertical="center"/>
    </xf>
    <xf numFmtId="44" fontId="6" fillId="0" borderId="17" xfId="1" applyFont="1" applyBorder="1" applyAlignment="1">
      <alignment horizontal="center" vertical="center"/>
    </xf>
    <xf numFmtId="44" fontId="6" fillId="0" borderId="18" xfId="1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10" fontId="14" fillId="0" borderId="0" xfId="0" applyNumberFormat="1" applyFont="1" applyAlignment="1">
      <alignment horizontal="center"/>
    </xf>
    <xf numFmtId="0" fontId="21" fillId="6" borderId="0" xfId="0" applyFont="1" applyFill="1" applyAlignment="1">
      <alignment vertical="center"/>
    </xf>
    <xf numFmtId="0" fontId="19" fillId="6" borderId="0" xfId="0" applyFont="1" applyFill="1"/>
    <xf numFmtId="0" fontId="20" fillId="6" borderId="0" xfId="0" applyFont="1" applyFill="1" applyAlignment="1">
      <alignment horizontal="center"/>
    </xf>
    <xf numFmtId="166" fontId="0" fillId="6" borderId="0" xfId="0" applyNumberFormat="1" applyFill="1"/>
    <xf numFmtId="0" fontId="19" fillId="6" borderId="48" xfId="0" applyFont="1" applyFill="1" applyBorder="1"/>
    <xf numFmtId="166" fontId="19" fillId="6" borderId="38" xfId="0" applyNumberFormat="1" applyFont="1" applyFill="1" applyBorder="1" applyAlignment="1">
      <alignment horizontal="center"/>
    </xf>
    <xf numFmtId="9" fontId="20" fillId="6" borderId="52" xfId="2" applyFont="1" applyFill="1" applyBorder="1" applyAlignment="1">
      <alignment horizontal="center"/>
    </xf>
    <xf numFmtId="0" fontId="21" fillId="4" borderId="6" xfId="0" applyFont="1" applyFill="1" applyBorder="1" applyAlignment="1">
      <alignment vertical="center"/>
    </xf>
    <xf numFmtId="0" fontId="21" fillId="4" borderId="7" xfId="0" applyFont="1" applyFill="1" applyBorder="1" applyAlignment="1">
      <alignment vertical="center"/>
    </xf>
    <xf numFmtId="0" fontId="21" fillId="4" borderId="8" xfId="0" applyFont="1" applyFill="1" applyBorder="1" applyAlignment="1">
      <alignment vertical="center"/>
    </xf>
    <xf numFmtId="166" fontId="19" fillId="10" borderId="10" xfId="0" applyNumberFormat="1" applyFont="1" applyFill="1" applyBorder="1" applyAlignment="1">
      <alignment horizontal="center"/>
    </xf>
    <xf numFmtId="166" fontId="19" fillId="10" borderId="13" xfId="0" applyNumberFormat="1" applyFont="1" applyFill="1" applyBorder="1" applyAlignment="1">
      <alignment horizontal="center"/>
    </xf>
    <xf numFmtId="0" fontId="9" fillId="6" borderId="12" xfId="0" applyFont="1" applyFill="1" applyBorder="1" applyAlignment="1">
      <alignment vertical="center"/>
    </xf>
    <xf numFmtId="44" fontId="6" fillId="6" borderId="12" xfId="1" applyFont="1" applyFill="1" applyBorder="1"/>
    <xf numFmtId="166" fontId="6" fillId="6" borderId="1" xfId="1" applyNumberFormat="1" applyFont="1" applyFill="1" applyBorder="1"/>
    <xf numFmtId="0" fontId="9" fillId="6" borderId="1" xfId="0" applyFont="1" applyFill="1" applyBorder="1" applyAlignment="1">
      <alignment vertical="center"/>
    </xf>
    <xf numFmtId="0" fontId="8" fillId="4" borderId="3" xfId="0" applyFont="1" applyFill="1" applyBorder="1"/>
    <xf numFmtId="0" fontId="46" fillId="0" borderId="0" xfId="0" applyFont="1"/>
    <xf numFmtId="166" fontId="34" fillId="0" borderId="0" xfId="0" applyNumberFormat="1" applyFont="1" applyAlignment="1">
      <alignment horizontal="center" vertical="center"/>
    </xf>
    <xf numFmtId="166" fontId="46" fillId="0" borderId="0" xfId="0" applyNumberFormat="1" applyFont="1" applyAlignment="1">
      <alignment horizontal="center" vertical="center"/>
    </xf>
    <xf numFmtId="166" fontId="7" fillId="6" borderId="0" xfId="0" applyNumberFormat="1" applyFont="1" applyFill="1" applyAlignment="1">
      <alignment horizontal="center"/>
    </xf>
    <xf numFmtId="0" fontId="6" fillId="6" borderId="6" xfId="0" applyFont="1" applyFill="1" applyBorder="1"/>
    <xf numFmtId="166" fontId="6" fillId="6" borderId="7" xfId="3" applyNumberFormat="1" applyFont="1" applyFill="1" applyBorder="1" applyAlignment="1">
      <alignment horizontal="center" vertical="center"/>
    </xf>
    <xf numFmtId="166" fontId="6" fillId="6" borderId="8" xfId="3" applyNumberFormat="1" applyFont="1" applyFill="1" applyBorder="1" applyAlignment="1">
      <alignment horizontal="center" vertical="center"/>
    </xf>
    <xf numFmtId="166" fontId="7" fillId="6" borderId="10" xfId="0" applyNumberFormat="1" applyFont="1" applyFill="1" applyBorder="1" applyAlignment="1">
      <alignment horizontal="center"/>
    </xf>
    <xf numFmtId="0" fontId="10" fillId="3" borderId="59" xfId="0" applyFont="1" applyFill="1" applyBorder="1" applyAlignment="1">
      <alignment horizontal="center"/>
    </xf>
    <xf numFmtId="0" fontId="10" fillId="3" borderId="60" xfId="0" applyFont="1" applyFill="1" applyBorder="1" applyAlignment="1">
      <alignment horizontal="center"/>
    </xf>
    <xf numFmtId="0" fontId="7" fillId="6" borderId="55" xfId="0" applyFont="1" applyFill="1" applyBorder="1" applyAlignment="1">
      <alignment horizontal="left"/>
    </xf>
    <xf numFmtId="166" fontId="7" fillId="6" borderId="57" xfId="0" applyNumberFormat="1" applyFont="1" applyFill="1" applyBorder="1" applyAlignment="1">
      <alignment horizontal="center"/>
    </xf>
    <xf numFmtId="166" fontId="7" fillId="6" borderId="58" xfId="0" applyNumberFormat="1" applyFont="1" applyFill="1" applyBorder="1" applyAlignment="1">
      <alignment horizontal="center"/>
    </xf>
    <xf numFmtId="0" fontId="6" fillId="3" borderId="3" xfId="0" applyFont="1" applyFill="1" applyBorder="1"/>
    <xf numFmtId="0" fontId="10" fillId="3" borderId="2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0" fillId="3" borderId="8" xfId="0" applyFont="1" applyFill="1" applyBorder="1" applyAlignment="1">
      <alignment horizontal="center"/>
    </xf>
    <xf numFmtId="0" fontId="6" fillId="0" borderId="6" xfId="0" applyFont="1" applyBorder="1"/>
    <xf numFmtId="166" fontId="6" fillId="0" borderId="7" xfId="3" applyNumberFormat="1" applyFont="1" applyFill="1" applyBorder="1" applyAlignment="1">
      <alignment horizontal="center"/>
    </xf>
    <xf numFmtId="166" fontId="6" fillId="0" borderId="8" xfId="3" applyNumberFormat="1" applyFont="1" applyFill="1" applyBorder="1" applyAlignment="1">
      <alignment horizontal="center"/>
    </xf>
    <xf numFmtId="0" fontId="9" fillId="0" borderId="9" xfId="0" applyFont="1" applyBorder="1" applyAlignment="1">
      <alignment vertical="center"/>
    </xf>
    <xf numFmtId="44" fontId="6" fillId="0" borderId="10" xfId="0" applyNumberFormat="1" applyFont="1" applyBorder="1" applyAlignment="1">
      <alignment horizontal="center"/>
    </xf>
    <xf numFmtId="44" fontId="6" fillId="0" borderId="13" xfId="1" applyFont="1" applyFill="1" applyBorder="1" applyAlignment="1">
      <alignment horizontal="center"/>
    </xf>
    <xf numFmtId="44" fontId="6" fillId="6" borderId="0" xfId="1" applyFont="1" applyFill="1" applyBorder="1" applyAlignment="1">
      <alignment horizontal="center"/>
    </xf>
    <xf numFmtId="166" fontId="7" fillId="0" borderId="29" xfId="0" applyNumberFormat="1" applyFont="1" applyBorder="1" applyAlignment="1">
      <alignment horizontal="center"/>
    </xf>
    <xf numFmtId="166" fontId="20" fillId="0" borderId="7" xfId="0" applyNumberFormat="1" applyFont="1" applyBorder="1" applyAlignment="1">
      <alignment horizontal="center"/>
    </xf>
    <xf numFmtId="44" fontId="31" fillId="0" borderId="0" xfId="1" applyFont="1"/>
    <xf numFmtId="10" fontId="6" fillId="0" borderId="7" xfId="1" applyNumberFormat="1" applyFont="1" applyBorder="1" applyAlignment="1">
      <alignment horizontal="center"/>
    </xf>
    <xf numFmtId="10" fontId="6" fillId="0" borderId="8" xfId="1" applyNumberFormat="1" applyFont="1" applyBorder="1" applyAlignment="1">
      <alignment horizontal="center"/>
    </xf>
    <xf numFmtId="9" fontId="0" fillId="6" borderId="0" xfId="0" applyNumberFormat="1" applyFill="1"/>
    <xf numFmtId="0" fontId="10" fillId="0" borderId="1" xfId="0" applyFont="1" applyBorder="1" applyAlignment="1">
      <alignment vertical="center"/>
    </xf>
    <xf numFmtId="166" fontId="7" fillId="6" borderId="3" xfId="1" applyNumberFormat="1" applyFont="1" applyFill="1" applyBorder="1" applyAlignment="1">
      <alignment horizontal="center"/>
    </xf>
    <xf numFmtId="166" fontId="7" fillId="6" borderId="2" xfId="1" applyNumberFormat="1" applyFont="1" applyFill="1" applyBorder="1" applyAlignment="1">
      <alignment horizontal="center"/>
    </xf>
    <xf numFmtId="166" fontId="7" fillId="6" borderId="4" xfId="1" applyNumberFormat="1" applyFont="1" applyFill="1" applyBorder="1" applyAlignment="1">
      <alignment horizontal="center"/>
    </xf>
    <xf numFmtId="0" fontId="9" fillId="0" borderId="3" xfId="0" applyFont="1" applyBorder="1" applyAlignment="1">
      <alignment vertical="center"/>
    </xf>
    <xf numFmtId="166" fontId="6" fillId="0" borderId="2" xfId="1" applyNumberFormat="1" applyFont="1" applyFill="1" applyBorder="1"/>
    <xf numFmtId="166" fontId="6" fillId="0" borderId="2" xfId="1" applyNumberFormat="1" applyFont="1" applyFill="1" applyBorder="1" applyAlignment="1">
      <alignment horizontal="center"/>
    </xf>
    <xf numFmtId="166" fontId="6" fillId="0" borderId="4" xfId="1" applyNumberFormat="1" applyFont="1" applyFill="1" applyBorder="1" applyAlignment="1">
      <alignment horizontal="center"/>
    </xf>
    <xf numFmtId="0" fontId="10" fillId="3" borderId="23" xfId="0" applyFont="1" applyFill="1" applyBorder="1" applyAlignment="1">
      <alignment horizontal="center"/>
    </xf>
    <xf numFmtId="0" fontId="10" fillId="3" borderId="26" xfId="0" applyFont="1" applyFill="1" applyBorder="1" applyAlignment="1">
      <alignment horizontal="center"/>
    </xf>
    <xf numFmtId="0" fontId="10" fillId="3" borderId="24" xfId="0" applyFont="1" applyFill="1" applyBorder="1" applyAlignment="1">
      <alignment horizontal="center"/>
    </xf>
    <xf numFmtId="0" fontId="10" fillId="3" borderId="25" xfId="0" applyFont="1" applyFill="1" applyBorder="1" applyAlignment="1">
      <alignment horizontal="center"/>
    </xf>
    <xf numFmtId="0" fontId="9" fillId="0" borderId="9" xfId="0" applyFont="1" applyBorder="1"/>
    <xf numFmtId="3" fontId="9" fillId="0" borderId="0" xfId="0" applyNumberFormat="1" applyFont="1" applyAlignment="1">
      <alignment horizontal="center"/>
    </xf>
    <xf numFmtId="1" fontId="9" fillId="0" borderId="22" xfId="3" applyNumberFormat="1" applyFont="1" applyFill="1" applyBorder="1" applyAlignment="1">
      <alignment horizontal="center" vertical="center"/>
    </xf>
    <xf numFmtId="1" fontId="9" fillId="0" borderId="27" xfId="3" applyNumberFormat="1" applyFont="1" applyFill="1" applyBorder="1" applyAlignment="1">
      <alignment horizontal="center" vertical="center"/>
    </xf>
    <xf numFmtId="167" fontId="9" fillId="0" borderId="0" xfId="0" applyNumberFormat="1" applyFont="1" applyAlignment="1">
      <alignment horizontal="center"/>
    </xf>
    <xf numFmtId="0" fontId="7" fillId="0" borderId="21" xfId="0" applyFont="1" applyBorder="1"/>
    <xf numFmtId="1" fontId="7" fillId="0" borderId="14" xfId="0" applyNumberFormat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6" fillId="7" borderId="9" xfId="0" applyFont="1" applyFill="1" applyBorder="1"/>
    <xf numFmtId="0" fontId="6" fillId="7" borderId="0" xfId="0" applyFont="1" applyFill="1"/>
    <xf numFmtId="0" fontId="6" fillId="7" borderId="10" xfId="0" applyFont="1" applyFill="1" applyBorder="1"/>
    <xf numFmtId="10" fontId="9" fillId="0" borderId="0" xfId="3" applyNumberFormat="1" applyFont="1" applyFill="1" applyBorder="1" applyAlignment="1">
      <alignment horizontal="center" vertical="center"/>
    </xf>
    <xf numFmtId="10" fontId="9" fillId="0" borderId="8" xfId="3" applyNumberFormat="1" applyFont="1" applyFill="1" applyBorder="1" applyAlignment="1">
      <alignment horizontal="center" vertical="center"/>
    </xf>
    <xf numFmtId="166" fontId="7" fillId="0" borderId="14" xfId="0" applyNumberFormat="1" applyFont="1" applyBorder="1" applyAlignment="1">
      <alignment horizontal="center" vertical="center"/>
    </xf>
    <xf numFmtId="166" fontId="7" fillId="0" borderId="20" xfId="0" applyNumberFormat="1" applyFont="1" applyBorder="1" applyAlignment="1">
      <alignment horizontal="center" vertical="center"/>
    </xf>
    <xf numFmtId="3" fontId="9" fillId="0" borderId="0" xfId="3" applyNumberFormat="1" applyFont="1" applyFill="1" applyBorder="1" applyAlignment="1">
      <alignment horizontal="center" vertical="center"/>
    </xf>
    <xf numFmtId="3" fontId="9" fillId="0" borderId="8" xfId="3" applyNumberFormat="1" applyFont="1" applyFill="1" applyBorder="1" applyAlignment="1">
      <alignment horizontal="center" vertical="center"/>
    </xf>
    <xf numFmtId="166" fontId="9" fillId="0" borderId="0" xfId="1" applyNumberFormat="1" applyFont="1" applyBorder="1" applyAlignment="1">
      <alignment horizontal="center"/>
    </xf>
    <xf numFmtId="166" fontId="9" fillId="0" borderId="28" xfId="1" applyNumberFormat="1" applyFont="1" applyBorder="1" applyAlignment="1">
      <alignment horizontal="center"/>
    </xf>
    <xf numFmtId="0" fontId="7" fillId="0" borderId="62" xfId="0" applyFont="1" applyBorder="1"/>
    <xf numFmtId="166" fontId="7" fillId="0" borderId="62" xfId="1" applyNumberFormat="1" applyFont="1" applyBorder="1" applyAlignment="1">
      <alignment horizontal="center"/>
    </xf>
    <xf numFmtId="166" fontId="7" fillId="0" borderId="61" xfId="1" applyNumberFormat="1" applyFont="1" applyBorder="1" applyAlignment="1">
      <alignment horizontal="center"/>
    </xf>
    <xf numFmtId="10" fontId="9" fillId="0" borderId="28" xfId="3" applyNumberFormat="1" applyFont="1" applyFill="1" applyBorder="1" applyAlignment="1">
      <alignment horizontal="center" vertical="center"/>
    </xf>
    <xf numFmtId="166" fontId="7" fillId="0" borderId="63" xfId="0" applyNumberFormat="1" applyFont="1" applyBorder="1" applyAlignment="1">
      <alignment horizontal="center" vertical="center"/>
    </xf>
    <xf numFmtId="166" fontId="7" fillId="0" borderId="64" xfId="0" applyNumberFormat="1" applyFont="1" applyBorder="1" applyAlignment="1">
      <alignment horizontal="center" vertical="center"/>
    </xf>
    <xf numFmtId="171" fontId="31" fillId="0" borderId="0" xfId="0" applyNumberFormat="1" applyFont="1" applyAlignment="1">
      <alignment horizontal="center"/>
    </xf>
    <xf numFmtId="166" fontId="31" fillId="0" borderId="0" xfId="0" applyNumberFormat="1" applyFont="1" applyAlignment="1">
      <alignment horizontal="center"/>
    </xf>
    <xf numFmtId="166" fontId="31" fillId="0" borderId="8" xfId="0" applyNumberFormat="1" applyFont="1" applyBorder="1" applyAlignment="1">
      <alignment horizontal="center"/>
    </xf>
    <xf numFmtId="10" fontId="9" fillId="0" borderId="10" xfId="3" applyNumberFormat="1" applyFont="1" applyFill="1" applyBorder="1" applyAlignment="1">
      <alignment horizontal="center" vertical="center"/>
    </xf>
    <xf numFmtId="171" fontId="7" fillId="0" borderId="14" xfId="0" applyNumberFormat="1" applyFont="1" applyBorder="1" applyAlignment="1">
      <alignment horizontal="center" vertical="center"/>
    </xf>
    <xf numFmtId="166" fontId="6" fillId="0" borderId="0" xfId="0" applyNumberFormat="1" applyFont="1"/>
    <xf numFmtId="0" fontId="10" fillId="3" borderId="32" xfId="0" applyFont="1" applyFill="1" applyBorder="1" applyAlignment="1">
      <alignment horizontal="center"/>
    </xf>
    <xf numFmtId="3" fontId="31" fillId="0" borderId="0" xfId="0" applyNumberFormat="1" applyFont="1" applyAlignment="1">
      <alignment horizontal="center"/>
    </xf>
    <xf numFmtId="3" fontId="31" fillId="0" borderId="8" xfId="0" applyNumberFormat="1" applyFont="1" applyBorder="1" applyAlignment="1">
      <alignment horizontal="center"/>
    </xf>
    <xf numFmtId="166" fontId="31" fillId="0" borderId="0" xfId="1" applyNumberFormat="1" applyFont="1" applyBorder="1" applyAlignment="1">
      <alignment horizontal="center"/>
    </xf>
    <xf numFmtId="166" fontId="31" fillId="0" borderId="28" xfId="1" applyNumberFormat="1" applyFont="1" applyBorder="1" applyAlignment="1">
      <alignment horizontal="center"/>
    </xf>
    <xf numFmtId="0" fontId="9" fillId="0" borderId="6" xfId="0" applyFont="1" applyBorder="1"/>
    <xf numFmtId="3" fontId="31" fillId="0" borderId="7" xfId="0" applyNumberFormat="1" applyFont="1" applyBorder="1" applyAlignment="1">
      <alignment horizontal="center"/>
    </xf>
    <xf numFmtId="2" fontId="31" fillId="0" borderId="0" xfId="0" applyNumberFormat="1" applyFont="1" applyAlignment="1">
      <alignment horizontal="center"/>
    </xf>
    <xf numFmtId="0" fontId="10" fillId="3" borderId="33" xfId="0" applyFont="1" applyFill="1" applyBorder="1" applyAlignment="1">
      <alignment horizontal="center"/>
    </xf>
    <xf numFmtId="0" fontId="10" fillId="3" borderId="34" xfId="0" applyFont="1" applyFill="1" applyBorder="1" applyAlignment="1">
      <alignment horizontal="center"/>
    </xf>
    <xf numFmtId="0" fontId="10" fillId="3" borderId="35" xfId="0" applyFont="1" applyFill="1" applyBorder="1" applyAlignment="1">
      <alignment horizontal="center"/>
    </xf>
    <xf numFmtId="166" fontId="6" fillId="0" borderId="7" xfId="0" applyNumberFormat="1" applyFont="1" applyBorder="1" applyAlignment="1">
      <alignment horizontal="center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0" borderId="10" xfId="0" applyNumberFormat="1" applyFont="1" applyBorder="1" applyAlignment="1">
      <alignment horizontal="center" vertical="center"/>
    </xf>
    <xf numFmtId="0" fontId="6" fillId="0" borderId="11" xfId="0" applyFont="1" applyBorder="1"/>
    <xf numFmtId="166" fontId="6" fillId="0" borderId="12" xfId="0" applyNumberFormat="1" applyFont="1" applyBorder="1" applyAlignment="1">
      <alignment horizontal="center" vertical="center"/>
    </xf>
    <xf numFmtId="166" fontId="6" fillId="0" borderId="13" xfId="0" applyNumberFormat="1" applyFont="1" applyBorder="1" applyAlignment="1">
      <alignment horizontal="center" vertical="center"/>
    </xf>
    <xf numFmtId="166" fontId="7" fillId="0" borderId="31" xfId="0" applyNumberFormat="1" applyFont="1" applyBorder="1" applyAlignment="1">
      <alignment horizontal="center" vertical="center"/>
    </xf>
    <xf numFmtId="0" fontId="10" fillId="3" borderId="3" xfId="0" applyFont="1" applyFill="1" applyBorder="1" applyAlignment="1">
      <alignment horizontal="center"/>
    </xf>
    <xf numFmtId="166" fontId="7" fillId="0" borderId="57" xfId="0" applyNumberFormat="1" applyFont="1" applyBorder="1" applyAlignment="1">
      <alignment horizontal="center"/>
    </xf>
    <xf numFmtId="166" fontId="7" fillId="0" borderId="58" xfId="0" applyNumberFormat="1" applyFont="1" applyBorder="1" applyAlignment="1">
      <alignment horizontal="center"/>
    </xf>
    <xf numFmtId="10" fontId="6" fillId="0" borderId="0" xfId="0" applyNumberFormat="1" applyFont="1" applyAlignment="1">
      <alignment horizontal="center"/>
    </xf>
    <xf numFmtId="10" fontId="6" fillId="0" borderId="10" xfId="0" applyNumberFormat="1" applyFont="1" applyBorder="1" applyAlignment="1">
      <alignment horizontal="center"/>
    </xf>
    <xf numFmtId="0" fontId="7" fillId="0" borderId="55" xfId="0" applyFont="1" applyBorder="1" applyAlignment="1">
      <alignment horizontal="left" vertical="center"/>
    </xf>
    <xf numFmtId="166" fontId="7" fillId="0" borderId="57" xfId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6" fontId="7" fillId="0" borderId="0" xfId="1" applyNumberFormat="1" applyFont="1" applyBorder="1" applyAlignment="1">
      <alignment horizontal="center" vertical="center"/>
    </xf>
    <xf numFmtId="0" fontId="7" fillId="0" borderId="53" xfId="0" applyFont="1" applyBorder="1" applyAlignment="1">
      <alignment horizontal="left" vertical="center"/>
    </xf>
    <xf numFmtId="166" fontId="7" fillId="0" borderId="54" xfId="1" applyNumberFormat="1" applyFont="1" applyBorder="1" applyAlignment="1">
      <alignment horizontal="center" vertical="center"/>
    </xf>
    <xf numFmtId="166" fontId="7" fillId="0" borderId="54" xfId="0" applyNumberFormat="1" applyFont="1" applyBorder="1" applyAlignment="1">
      <alignment horizontal="center"/>
    </xf>
    <xf numFmtId="166" fontId="7" fillId="0" borderId="56" xfId="0" applyNumberFormat="1" applyFont="1" applyBorder="1" applyAlignment="1">
      <alignment horizontal="center"/>
    </xf>
    <xf numFmtId="0" fontId="7" fillId="0" borderId="0" xfId="0" applyFont="1" applyAlignment="1">
      <alignment horizontal="left"/>
    </xf>
    <xf numFmtId="0" fontId="9" fillId="0" borderId="9" xfId="0" applyFont="1" applyBorder="1" applyAlignment="1">
      <alignment horizontal="left"/>
    </xf>
    <xf numFmtId="9" fontId="6" fillId="0" borderId="0" xfId="2" applyFont="1" applyFill="1" applyBorder="1" applyAlignment="1">
      <alignment horizontal="center"/>
    </xf>
    <xf numFmtId="0" fontId="7" fillId="0" borderId="55" xfId="0" applyFont="1" applyBorder="1" applyAlignment="1">
      <alignment horizontal="left"/>
    </xf>
    <xf numFmtId="10" fontId="7" fillId="0" borderId="57" xfId="0" applyNumberFormat="1" applyFont="1" applyBorder="1" applyAlignment="1">
      <alignment horizontal="center"/>
    </xf>
    <xf numFmtId="10" fontId="7" fillId="0" borderId="58" xfId="0" applyNumberFormat="1" applyFont="1" applyBorder="1" applyAlignment="1">
      <alignment horizontal="center"/>
    </xf>
    <xf numFmtId="164" fontId="7" fillId="0" borderId="57" xfId="0" applyNumberFormat="1" applyFont="1" applyBorder="1" applyAlignment="1">
      <alignment horizontal="center"/>
    </xf>
    <xf numFmtId="164" fontId="7" fillId="0" borderId="58" xfId="0" applyNumberFormat="1" applyFont="1" applyBorder="1" applyAlignment="1">
      <alignment horizontal="center"/>
    </xf>
    <xf numFmtId="3" fontId="9" fillId="0" borderId="7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3" fontId="9" fillId="0" borderId="12" xfId="0" applyNumberFormat="1" applyFont="1" applyBorder="1" applyAlignment="1">
      <alignment horizontal="center"/>
    </xf>
    <xf numFmtId="0" fontId="9" fillId="0" borderId="6" xfId="0" applyFont="1" applyBorder="1" applyAlignment="1">
      <alignment horizontal="left"/>
    </xf>
    <xf numFmtId="3" fontId="9" fillId="0" borderId="57" xfId="0" applyNumberFormat="1" applyFont="1" applyBorder="1" applyAlignment="1">
      <alignment horizontal="center"/>
    </xf>
    <xf numFmtId="0" fontId="10" fillId="3" borderId="55" xfId="0" applyFont="1" applyFill="1" applyBorder="1" applyAlignment="1">
      <alignment horizontal="center"/>
    </xf>
    <xf numFmtId="0" fontId="10" fillId="3" borderId="57" xfId="0" applyFont="1" applyFill="1" applyBorder="1" applyAlignment="1">
      <alignment horizontal="center"/>
    </xf>
    <xf numFmtId="0" fontId="10" fillId="3" borderId="58" xfId="0" applyFont="1" applyFill="1" applyBorder="1" applyAlignment="1">
      <alignment horizontal="center"/>
    </xf>
    <xf numFmtId="0" fontId="10" fillId="3" borderId="6" xfId="0" applyFont="1" applyFill="1" applyBorder="1" applyAlignment="1">
      <alignment horizontal="center"/>
    </xf>
    <xf numFmtId="9" fontId="9" fillId="0" borderId="0" xfId="2" applyFont="1" applyBorder="1" applyAlignment="1">
      <alignment horizontal="center"/>
    </xf>
    <xf numFmtId="10" fontId="9" fillId="0" borderId="7" xfId="3" applyNumberFormat="1" applyFont="1" applyFill="1" applyBorder="1" applyAlignment="1">
      <alignment horizontal="center" vertical="center"/>
    </xf>
    <xf numFmtId="10" fontId="9" fillId="0" borderId="12" xfId="3" applyNumberFormat="1" applyFont="1" applyFill="1" applyBorder="1" applyAlignment="1">
      <alignment horizontal="center" vertical="center"/>
    </xf>
    <xf numFmtId="166" fontId="6" fillId="0" borderId="7" xfId="0" applyNumberFormat="1" applyFont="1" applyBorder="1" applyAlignment="1">
      <alignment horizontal="center"/>
    </xf>
    <xf numFmtId="0" fontId="7" fillId="0" borderId="55" xfId="0" applyFont="1" applyBorder="1"/>
    <xf numFmtId="166" fontId="7" fillId="0" borderId="57" xfId="0" applyNumberFormat="1" applyFont="1" applyBorder="1" applyAlignment="1">
      <alignment horizontal="center" vertical="center"/>
    </xf>
    <xf numFmtId="166" fontId="7" fillId="0" borderId="58" xfId="0" applyNumberFormat="1" applyFont="1" applyBorder="1" applyAlignment="1">
      <alignment horizontal="center" vertical="center"/>
    </xf>
    <xf numFmtId="0" fontId="7" fillId="3" borderId="6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15" fontId="6" fillId="0" borderId="7" xfId="0" applyNumberFormat="1" applyFont="1" applyBorder="1" applyAlignment="1">
      <alignment horizontal="center"/>
    </xf>
    <xf numFmtId="10" fontId="6" fillId="0" borderId="7" xfId="2" applyNumberFormat="1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44" fontId="6" fillId="0" borderId="0" xfId="1" applyFont="1"/>
    <xf numFmtId="15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10" fontId="6" fillId="0" borderId="0" xfId="2" applyNumberFormat="1" applyFont="1" applyBorder="1" applyAlignment="1">
      <alignment horizontal="center"/>
    </xf>
    <xf numFmtId="0" fontId="6" fillId="0" borderId="0" xfId="2" applyNumberFormat="1" applyFont="1" applyAlignment="1">
      <alignment horizontal="center"/>
    </xf>
    <xf numFmtId="166" fontId="6" fillId="0" borderId="0" xfId="2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2" fontId="6" fillId="0" borderId="0" xfId="2" applyNumberFormat="1" applyFont="1" applyAlignment="1">
      <alignment horizontal="center"/>
    </xf>
    <xf numFmtId="0" fontId="13" fillId="0" borderId="6" xfId="0" applyFont="1" applyBorder="1" applyAlignment="1">
      <alignment horizontal="center"/>
    </xf>
    <xf numFmtId="1" fontId="6" fillId="0" borderId="7" xfId="0" applyNumberFormat="1" applyFont="1" applyBorder="1" applyAlignment="1">
      <alignment horizontal="center"/>
    </xf>
    <xf numFmtId="10" fontId="6" fillId="0" borderId="7" xfId="2" applyNumberFormat="1" applyFont="1" applyBorder="1" applyAlignment="1">
      <alignment horizontal="center"/>
    </xf>
    <xf numFmtId="2" fontId="6" fillId="0" borderId="7" xfId="0" applyNumberFormat="1" applyFont="1" applyBorder="1" applyAlignment="1">
      <alignment horizontal="center"/>
    </xf>
    <xf numFmtId="168" fontId="6" fillId="0" borderId="7" xfId="0" applyNumberFormat="1" applyFont="1" applyBorder="1" applyAlignment="1">
      <alignment horizontal="center"/>
    </xf>
    <xf numFmtId="44" fontId="6" fillId="0" borderId="7" xfId="1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168" fontId="6" fillId="0" borderId="0" xfId="0" applyNumberFormat="1" applyFont="1" applyAlignment="1">
      <alignment horizontal="center"/>
    </xf>
    <xf numFmtId="0" fontId="13" fillId="0" borderId="11" xfId="0" applyFont="1" applyBorder="1" applyAlignment="1">
      <alignment horizontal="center"/>
    </xf>
    <xf numFmtId="1" fontId="6" fillId="0" borderId="12" xfId="0" applyNumberFormat="1" applyFont="1" applyBorder="1" applyAlignment="1">
      <alignment horizontal="center"/>
    </xf>
    <xf numFmtId="10" fontId="6" fillId="0" borderId="12" xfId="2" applyNumberFormat="1" applyFont="1" applyBorder="1" applyAlignment="1">
      <alignment horizontal="center"/>
    </xf>
    <xf numFmtId="168" fontId="6" fillId="0" borderId="12" xfId="0" applyNumberFormat="1" applyFont="1" applyBorder="1" applyAlignment="1">
      <alignment horizontal="center"/>
    </xf>
    <xf numFmtId="15" fontId="16" fillId="0" borderId="17" xfId="0" applyNumberFormat="1" applyFont="1" applyBorder="1" applyAlignment="1">
      <alignment horizontal="center"/>
    </xf>
    <xf numFmtId="15" fontId="16" fillId="0" borderId="8" xfId="0" applyNumberFormat="1" applyFont="1" applyBorder="1" applyAlignment="1">
      <alignment horizontal="center"/>
    </xf>
    <xf numFmtId="15" fontId="16" fillId="0" borderId="18" xfId="0" applyNumberFormat="1" applyFont="1" applyBorder="1" applyAlignment="1">
      <alignment horizontal="center"/>
    </xf>
    <xf numFmtId="15" fontId="16" fillId="0" borderId="10" xfId="0" applyNumberFormat="1" applyFont="1" applyBorder="1" applyAlignment="1">
      <alignment horizontal="center"/>
    </xf>
    <xf numFmtId="15" fontId="16" fillId="0" borderId="5" xfId="0" applyNumberFormat="1" applyFont="1" applyBorder="1" applyAlignment="1">
      <alignment horizontal="center"/>
    </xf>
    <xf numFmtId="15" fontId="6" fillId="0" borderId="17" xfId="0" applyNumberFormat="1" applyFont="1" applyBorder="1" applyAlignment="1">
      <alignment horizontal="center"/>
    </xf>
    <xf numFmtId="15" fontId="6" fillId="0" borderId="18" xfId="0" applyNumberFormat="1" applyFont="1" applyBorder="1" applyAlignment="1">
      <alignment horizontal="center"/>
    </xf>
    <xf numFmtId="15" fontId="6" fillId="0" borderId="5" xfId="0" applyNumberFormat="1" applyFont="1" applyBorder="1" applyAlignment="1">
      <alignment horizontal="center"/>
    </xf>
    <xf numFmtId="15" fontId="6" fillId="0" borderId="9" xfId="0" applyNumberFormat="1" applyFont="1" applyBorder="1" applyAlignment="1">
      <alignment horizontal="center"/>
    </xf>
    <xf numFmtId="15" fontId="6" fillId="0" borderId="11" xfId="0" applyNumberFormat="1" applyFont="1" applyBorder="1" applyAlignment="1">
      <alignment horizontal="center"/>
    </xf>
    <xf numFmtId="0" fontId="6" fillId="6" borderId="41" xfId="0" applyFont="1" applyFill="1" applyBorder="1" applyAlignment="1">
      <alignment horizontal="center"/>
    </xf>
    <xf numFmtId="0" fontId="6" fillId="6" borderId="0" xfId="0" applyFont="1" applyFill="1" applyAlignment="1">
      <alignment horizontal="center"/>
    </xf>
    <xf numFmtId="9" fontId="6" fillId="6" borderId="44" xfId="2" applyFont="1" applyFill="1" applyBorder="1" applyAlignment="1">
      <alignment horizontal="center"/>
    </xf>
    <xf numFmtId="9" fontId="6" fillId="6" borderId="0" xfId="2" applyFont="1" applyFill="1" applyBorder="1" applyAlignment="1">
      <alignment horizontal="center"/>
    </xf>
    <xf numFmtId="0" fontId="6" fillId="6" borderId="42" xfId="0" applyFont="1" applyFill="1" applyBorder="1" applyAlignment="1">
      <alignment horizontal="center"/>
    </xf>
    <xf numFmtId="0" fontId="6" fillId="6" borderId="44" xfId="0" applyFont="1" applyFill="1" applyBorder="1" applyAlignment="1">
      <alignment horizontal="center"/>
    </xf>
    <xf numFmtId="0" fontId="6" fillId="6" borderId="46" xfId="0" applyFont="1" applyFill="1" applyBorder="1" applyAlignment="1">
      <alignment horizontal="center"/>
    </xf>
    <xf numFmtId="0" fontId="6" fillId="6" borderId="47" xfId="0" applyFont="1" applyFill="1" applyBorder="1" applyAlignment="1">
      <alignment horizontal="center"/>
    </xf>
    <xf numFmtId="0" fontId="7" fillId="13" borderId="1" xfId="0" applyFont="1" applyFill="1" applyBorder="1" applyAlignment="1">
      <alignment horizontal="center"/>
    </xf>
    <xf numFmtId="9" fontId="49" fillId="0" borderId="6" xfId="0" applyNumberFormat="1" applyFont="1" applyBorder="1" applyAlignment="1">
      <alignment horizontal="center"/>
    </xf>
    <xf numFmtId="0" fontId="49" fillId="0" borderId="8" xfId="0" applyFont="1" applyBorder="1" applyAlignment="1">
      <alignment horizontal="center"/>
    </xf>
    <xf numFmtId="0" fontId="49" fillId="0" borderId="11" xfId="0" applyFont="1" applyBorder="1" applyAlignment="1">
      <alignment horizontal="center"/>
    </xf>
    <xf numFmtId="0" fontId="49" fillId="0" borderId="13" xfId="0" applyFont="1" applyBorder="1" applyAlignment="1">
      <alignment horizontal="center"/>
    </xf>
    <xf numFmtId="0" fontId="50" fillId="0" borderId="9" xfId="0" applyFont="1" applyBorder="1" applyAlignment="1">
      <alignment horizontal="right"/>
    </xf>
    <xf numFmtId="9" fontId="6" fillId="0" borderId="0" xfId="0" applyNumberFormat="1" applyFont="1" applyAlignment="1">
      <alignment horizontal="center"/>
    </xf>
    <xf numFmtId="167" fontId="9" fillId="0" borderId="7" xfId="0" applyNumberFormat="1" applyFont="1" applyBorder="1" applyAlignment="1">
      <alignment horizontal="center"/>
    </xf>
    <xf numFmtId="9" fontId="9" fillId="0" borderId="7" xfId="2" applyFont="1" applyFill="1" applyBorder="1" applyAlignment="1">
      <alignment horizontal="center"/>
    </xf>
    <xf numFmtId="0" fontId="50" fillId="0" borderId="11" xfId="0" applyFont="1" applyBorder="1" applyAlignment="1">
      <alignment horizontal="right"/>
    </xf>
    <xf numFmtId="10" fontId="9" fillId="0" borderId="12" xfId="2" applyNumberFormat="1" applyFont="1" applyFill="1" applyBorder="1" applyAlignment="1">
      <alignment horizontal="center" vertical="center"/>
    </xf>
    <xf numFmtId="167" fontId="9" fillId="0" borderId="12" xfId="2" applyNumberFormat="1" applyFont="1" applyFill="1" applyBorder="1" applyAlignment="1">
      <alignment horizontal="center" vertical="center"/>
    </xf>
    <xf numFmtId="9" fontId="9" fillId="0" borderId="12" xfId="2" applyFont="1" applyFill="1" applyBorder="1" applyAlignment="1">
      <alignment horizontal="center" vertical="center"/>
    </xf>
    <xf numFmtId="167" fontId="9" fillId="0" borderId="13" xfId="2" applyNumberFormat="1" applyFont="1" applyFill="1" applyBorder="1" applyAlignment="1">
      <alignment horizontal="center" vertical="center"/>
    </xf>
    <xf numFmtId="0" fontId="10" fillId="0" borderId="55" xfId="0" applyFont="1" applyBorder="1" applyAlignment="1">
      <alignment horizontal="left"/>
    </xf>
    <xf numFmtId="0" fontId="10" fillId="3" borderId="6" xfId="0" applyFont="1" applyFill="1" applyBorder="1" applyAlignment="1">
      <alignment horizontal="left"/>
    </xf>
    <xf numFmtId="9" fontId="9" fillId="0" borderId="0" xfId="2" applyFont="1" applyAlignment="1">
      <alignment horizont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169" fontId="6" fillId="0" borderId="18" xfId="0" applyNumberFormat="1" applyFont="1" applyBorder="1" applyAlignment="1">
      <alignment horizontal="center" vertical="center"/>
    </xf>
    <xf numFmtId="169" fontId="6" fillId="0" borderId="5" xfId="0" applyNumberFormat="1" applyFont="1" applyBorder="1" applyAlignment="1">
      <alignment horizontal="center" vertical="center"/>
    </xf>
    <xf numFmtId="169" fontId="6" fillId="6" borderId="17" xfId="0" applyNumberFormat="1" applyFont="1" applyFill="1" applyBorder="1" applyAlignment="1">
      <alignment horizontal="center" vertical="center"/>
    </xf>
    <xf numFmtId="169" fontId="6" fillId="6" borderId="18" xfId="0" applyNumberFormat="1" applyFont="1" applyFill="1" applyBorder="1" applyAlignment="1">
      <alignment horizontal="center" vertical="center"/>
    </xf>
    <xf numFmtId="169" fontId="6" fillId="6" borderId="5" xfId="0" applyNumberFormat="1" applyFont="1" applyFill="1" applyBorder="1" applyAlignment="1">
      <alignment horizontal="center" vertical="center"/>
    </xf>
    <xf numFmtId="0" fontId="8" fillId="4" borderId="0" xfId="0" applyFont="1" applyFill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horizontal="left" vertical="center"/>
    </xf>
    <xf numFmtId="0" fontId="21" fillId="4" borderId="3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32" fillId="4" borderId="6" xfId="0" applyFont="1" applyFill="1" applyBorder="1" applyAlignment="1">
      <alignment horizontal="center" vertical="center"/>
    </xf>
    <xf numFmtId="0" fontId="32" fillId="4" borderId="7" xfId="0" applyFont="1" applyFill="1" applyBorder="1" applyAlignment="1">
      <alignment horizontal="center" vertical="center"/>
    </xf>
    <xf numFmtId="0" fontId="32" fillId="4" borderId="8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21" fillId="4" borderId="3" xfId="0" applyFont="1" applyFill="1" applyBorder="1" applyAlignment="1">
      <alignment horizontal="left" vertical="center"/>
    </xf>
    <xf numFmtId="0" fontId="21" fillId="4" borderId="2" xfId="0" applyFont="1" applyFill="1" applyBorder="1" applyAlignment="1">
      <alignment horizontal="left" vertical="center"/>
    </xf>
    <xf numFmtId="0" fontId="21" fillId="4" borderId="4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6" fillId="6" borderId="9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30" fillId="4" borderId="3" xfId="0" applyFont="1" applyFill="1" applyBorder="1" applyAlignment="1">
      <alignment horizontal="left" vertical="center"/>
    </xf>
    <xf numFmtId="0" fontId="30" fillId="4" borderId="2" xfId="0" applyFont="1" applyFill="1" applyBorder="1" applyAlignment="1">
      <alignment horizontal="left" vertical="center"/>
    </xf>
    <xf numFmtId="0" fontId="30" fillId="4" borderId="4" xfId="0" applyFont="1" applyFill="1" applyBorder="1" applyAlignment="1">
      <alignment horizontal="left" vertical="center"/>
    </xf>
    <xf numFmtId="9" fontId="6" fillId="0" borderId="1" xfId="2" applyFont="1" applyFill="1" applyBorder="1" applyAlignment="1">
      <alignment horizontal="center"/>
    </xf>
    <xf numFmtId="166" fontId="11" fillId="0" borderId="1" xfId="0" applyNumberFormat="1" applyFont="1" applyBorder="1" applyAlignment="1">
      <alignment horizontal="center"/>
    </xf>
    <xf numFmtId="0" fontId="11" fillId="6" borderId="6" xfId="0" applyFont="1" applyFill="1" applyBorder="1" applyAlignment="1">
      <alignment horizontal="center"/>
    </xf>
    <xf numFmtId="0" fontId="11" fillId="6" borderId="8" xfId="0" applyFont="1" applyFill="1" applyBorder="1" applyAlignment="1">
      <alignment horizontal="center"/>
    </xf>
    <xf numFmtId="0" fontId="11" fillId="6" borderId="3" xfId="0" applyFont="1" applyFill="1" applyBorder="1" applyAlignment="1">
      <alignment horizontal="center"/>
    </xf>
    <xf numFmtId="0" fontId="11" fillId="6" borderId="4" xfId="0" applyFont="1" applyFill="1" applyBorder="1" applyAlignment="1">
      <alignment horizontal="center"/>
    </xf>
    <xf numFmtId="0" fontId="21" fillId="4" borderId="9" xfId="0" applyFont="1" applyFill="1" applyBorder="1" applyAlignment="1">
      <alignment horizontal="center" vertical="center"/>
    </xf>
    <xf numFmtId="0" fontId="21" fillId="4" borderId="0" xfId="0" applyFont="1" applyFill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8" fillId="4" borderId="3" xfId="0" applyFont="1" applyFill="1" applyBorder="1" applyAlignment="1">
      <alignment vertical="center"/>
    </xf>
    <xf numFmtId="0" fontId="8" fillId="4" borderId="2" xfId="0" applyFont="1" applyFill="1" applyBorder="1" applyAlignment="1">
      <alignment vertical="center"/>
    </xf>
    <xf numFmtId="0" fontId="8" fillId="4" borderId="4" xfId="0" applyFont="1" applyFill="1" applyBorder="1" applyAlignment="1">
      <alignment vertical="center"/>
    </xf>
    <xf numFmtId="0" fontId="19" fillId="0" borderId="49" xfId="0" applyFont="1" applyBorder="1" applyAlignment="1">
      <alignment horizontal="center" vertical="center"/>
    </xf>
    <xf numFmtId="0" fontId="19" fillId="0" borderId="51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0" fontId="19" fillId="0" borderId="43" xfId="0" applyFont="1" applyBorder="1" applyAlignment="1">
      <alignment horizontal="center" vertical="center"/>
    </xf>
    <xf numFmtId="10" fontId="19" fillId="0" borderId="49" xfId="0" applyNumberFormat="1" applyFont="1" applyBorder="1" applyAlignment="1">
      <alignment horizontal="center" vertical="center"/>
    </xf>
    <xf numFmtId="0" fontId="19" fillId="0" borderId="50" xfId="0" applyFont="1" applyBorder="1" applyAlignment="1">
      <alignment horizontal="center" vertical="center"/>
    </xf>
    <xf numFmtId="0" fontId="47" fillId="4" borderId="0" xfId="0" applyFont="1" applyFill="1" applyAlignment="1">
      <alignment horizontal="center"/>
    </xf>
    <xf numFmtId="0" fontId="48" fillId="0" borderId="50" xfId="10" applyFont="1" applyBorder="1" applyAlignment="1">
      <alignment horizontal="center" vertical="center" wrapText="1"/>
    </xf>
    <xf numFmtId="0" fontId="48" fillId="0" borderId="50" xfId="1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30" fillId="4" borderId="3" xfId="0" applyFont="1" applyFill="1" applyBorder="1" applyAlignment="1">
      <alignment horizontal="center" vertical="center"/>
    </xf>
    <xf numFmtId="0" fontId="30" fillId="4" borderId="2" xfId="0" applyFont="1" applyFill="1" applyBorder="1" applyAlignment="1">
      <alignment horizontal="center" vertical="center"/>
    </xf>
    <xf numFmtId="44" fontId="27" fillId="0" borderId="10" xfId="1" applyFont="1" applyFill="1" applyBorder="1" applyAlignment="1">
      <alignment horizontal="center" vertical="center"/>
    </xf>
    <xf numFmtId="44" fontId="27" fillId="0" borderId="13" xfId="1" applyFont="1" applyFill="1" applyBorder="1" applyAlignment="1">
      <alignment horizontal="center" vertical="center"/>
    </xf>
    <xf numFmtId="9" fontId="0" fillId="0" borderId="0" xfId="2" applyFont="1"/>
    <xf numFmtId="0" fontId="10" fillId="3" borderId="1" xfId="0" applyFont="1" applyFill="1" applyBorder="1" applyAlignment="1">
      <alignment horizontal="center"/>
    </xf>
    <xf numFmtId="9" fontId="6" fillId="0" borderId="9" xfId="2" applyFont="1" applyBorder="1" applyAlignment="1">
      <alignment horizontal="center"/>
    </xf>
    <xf numFmtId="9" fontId="6" fillId="0" borderId="11" xfId="2" applyFont="1" applyBorder="1" applyAlignment="1">
      <alignment horizontal="center"/>
    </xf>
    <xf numFmtId="9" fontId="9" fillId="0" borderId="9" xfId="2" applyFont="1" applyFill="1" applyBorder="1" applyAlignment="1">
      <alignment horizontal="center"/>
    </xf>
    <xf numFmtId="166" fontId="9" fillId="0" borderId="18" xfId="0" applyNumberFormat="1" applyFont="1" applyFill="1" applyBorder="1" applyAlignment="1">
      <alignment horizontal="center"/>
    </xf>
    <xf numFmtId="9" fontId="9" fillId="0" borderId="11" xfId="2" applyFont="1" applyFill="1" applyBorder="1" applyAlignment="1">
      <alignment horizontal="center"/>
    </xf>
    <xf numFmtId="166" fontId="9" fillId="0" borderId="5" xfId="0" applyNumberFormat="1" applyFont="1" applyFill="1" applyBorder="1" applyAlignment="1">
      <alignment horizontal="center"/>
    </xf>
    <xf numFmtId="166" fontId="0" fillId="0" borderId="0" xfId="2" applyNumberFormat="1" applyFont="1"/>
  </cellXfs>
  <cellStyles count="11">
    <cellStyle name="Comma 2" xfId="9" xr:uid="{BE5CCB7F-87B1-471D-8452-6237951A11CA}"/>
    <cellStyle name="Hipervínculo" xfId="10" builtinId="8"/>
    <cellStyle name="Millares" xfId="3" builtinId="3"/>
    <cellStyle name="Millares 2" xfId="4" xr:uid="{1677EF7E-48E7-46F6-85BB-59EA1EB29212}"/>
    <cellStyle name="Moneda" xfId="1" builtinId="4"/>
    <cellStyle name="Normal" xfId="0" builtinId="0"/>
    <cellStyle name="Normal 2" xfId="5" xr:uid="{3CACED42-999D-44E7-8F28-9401BA9CF26A}"/>
    <cellStyle name="Normal 3" xfId="6" xr:uid="{5DA5CD63-88C9-4402-8CA4-5D0676CF316C}"/>
    <cellStyle name="Normal_Beta_empresas privadas_30 jun-1 jul 2011" xfId="7" xr:uid="{2B464A12-209D-449E-8BCA-82340748168B}"/>
    <cellStyle name="Percent 2" xfId="8" xr:uid="{C52D07AA-9A45-41E8-9FD0-D83BFEA00A1F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7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AR" sz="1700" b="1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Cantidad de aves ingresadas y egresadas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7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'Precios y Cant. hist.'!$G$2</c:f>
              <c:strCache>
                <c:ptCount val="1"/>
                <c:pt idx="0">
                  <c:v>Aves ingresadas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'Precios y Cant. hist.'!$G$3:$G$28</c:f>
              <c:numCache>
                <c:formatCode>0</c:formatCode>
                <c:ptCount val="26"/>
                <c:pt idx="0" formatCode="General">
                  <c:v>74436</c:v>
                </c:pt>
                <c:pt idx="1">
                  <c:v>109038</c:v>
                </c:pt>
                <c:pt idx="2">
                  <c:v>107372</c:v>
                </c:pt>
                <c:pt idx="3">
                  <c:v>104043</c:v>
                </c:pt>
                <c:pt idx="4">
                  <c:v>103993</c:v>
                </c:pt>
                <c:pt idx="5">
                  <c:v>113742</c:v>
                </c:pt>
                <c:pt idx="6">
                  <c:v>113020</c:v>
                </c:pt>
                <c:pt idx="7">
                  <c:v>114302</c:v>
                </c:pt>
                <c:pt idx="8">
                  <c:v>108378</c:v>
                </c:pt>
                <c:pt idx="9">
                  <c:v>107956</c:v>
                </c:pt>
                <c:pt idx="10">
                  <c:v>110678</c:v>
                </c:pt>
                <c:pt idx="11">
                  <c:v>113991</c:v>
                </c:pt>
                <c:pt idx="12">
                  <c:v>114053</c:v>
                </c:pt>
                <c:pt idx="13">
                  <c:v>114644</c:v>
                </c:pt>
                <c:pt idx="14">
                  <c:v>110080</c:v>
                </c:pt>
                <c:pt idx="15">
                  <c:v>110110</c:v>
                </c:pt>
                <c:pt idx="16">
                  <c:v>114155</c:v>
                </c:pt>
                <c:pt idx="17">
                  <c:v>114183</c:v>
                </c:pt>
                <c:pt idx="18">
                  <c:v>114015</c:v>
                </c:pt>
                <c:pt idx="19">
                  <c:v>110010</c:v>
                </c:pt>
                <c:pt idx="20">
                  <c:v>110226</c:v>
                </c:pt>
                <c:pt idx="21">
                  <c:v>115333</c:v>
                </c:pt>
                <c:pt idx="22">
                  <c:v>115839</c:v>
                </c:pt>
                <c:pt idx="23">
                  <c:v>115496</c:v>
                </c:pt>
                <c:pt idx="24">
                  <c:v>111800</c:v>
                </c:pt>
                <c:pt idx="25" formatCode="General">
                  <c:v>112830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'Precios y Cantidades'!#REF!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E95-4DA8-9F55-078B5F329507}"/>
            </c:ext>
          </c:extLst>
        </c:ser>
        <c:ser>
          <c:idx val="1"/>
          <c:order val="1"/>
          <c:tx>
            <c:strRef>
              <c:f>'Precios y Cant. hist.'!$H$2</c:f>
              <c:strCache>
                <c:ptCount val="1"/>
                <c:pt idx="0">
                  <c:v>Aves cargadas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'Precios y Cant. hist.'!$H$3:$H$28</c:f>
              <c:numCache>
                <c:formatCode>General</c:formatCode>
                <c:ptCount val="26"/>
                <c:pt idx="0">
                  <c:v>71883</c:v>
                </c:pt>
                <c:pt idx="1">
                  <c:v>104567</c:v>
                </c:pt>
                <c:pt idx="2">
                  <c:v>103016</c:v>
                </c:pt>
                <c:pt idx="3">
                  <c:v>100407</c:v>
                </c:pt>
                <c:pt idx="4">
                  <c:v>100287</c:v>
                </c:pt>
                <c:pt idx="5">
                  <c:v>109945</c:v>
                </c:pt>
                <c:pt idx="6">
                  <c:v>109800</c:v>
                </c:pt>
                <c:pt idx="7">
                  <c:v>108865</c:v>
                </c:pt>
                <c:pt idx="8">
                  <c:v>104196</c:v>
                </c:pt>
                <c:pt idx="9">
                  <c:v>101756</c:v>
                </c:pt>
                <c:pt idx="10">
                  <c:v>106860</c:v>
                </c:pt>
                <c:pt idx="11">
                  <c:v>108975</c:v>
                </c:pt>
                <c:pt idx="12">
                  <c:v>108882</c:v>
                </c:pt>
                <c:pt idx="13">
                  <c:v>109496</c:v>
                </c:pt>
                <c:pt idx="14">
                  <c:v>103331</c:v>
                </c:pt>
                <c:pt idx="15">
                  <c:v>105854</c:v>
                </c:pt>
                <c:pt idx="16">
                  <c:v>109102</c:v>
                </c:pt>
                <c:pt idx="17">
                  <c:v>105406</c:v>
                </c:pt>
                <c:pt idx="18">
                  <c:v>106151</c:v>
                </c:pt>
                <c:pt idx="19">
                  <c:v>101070</c:v>
                </c:pt>
                <c:pt idx="20">
                  <c:v>103797</c:v>
                </c:pt>
                <c:pt idx="21">
                  <c:v>109200</c:v>
                </c:pt>
                <c:pt idx="22">
                  <c:v>105943</c:v>
                </c:pt>
                <c:pt idx="23">
                  <c:v>101401</c:v>
                </c:pt>
                <c:pt idx="24">
                  <c:v>98229</c:v>
                </c:pt>
                <c:pt idx="25">
                  <c:v>100690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'Precios y Cantidades'!#REF!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E95-4DA8-9F55-078B5F329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633856"/>
        <c:axId val="207632416"/>
      </c:lineChart>
      <c:catAx>
        <c:axId val="207633856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accent2">
                <a:alpha val="83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07632416"/>
        <c:crosses val="autoZero"/>
        <c:auto val="0"/>
        <c:lblAlgn val="ctr"/>
        <c:lblOffset val="100"/>
        <c:noMultiLvlLbl val="0"/>
      </c:catAx>
      <c:valAx>
        <c:axId val="207632416"/>
        <c:scaling>
          <c:orientation val="minMax"/>
          <c:max val="116000"/>
          <c:min val="7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07633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400" b="1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Costos de energía eléctrica ajustados por IPC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'Costos hist. - Energ. Eléctrica'!$K$2</c:f>
              <c:strCache>
                <c:ptCount val="1"/>
                <c:pt idx="0">
                  <c:v>Electricidad 2020 IPC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'Costos hist. - Energ. Eléctrica'!$I$3:$I$14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Energ. Eléctrica'!$K$3:$K$14</c:f>
              <c:numCache>
                <c:formatCode>"$"\ #,##0.00</c:formatCode>
                <c:ptCount val="12"/>
                <c:pt idx="0">
                  <c:v>68013.398252407642</c:v>
                </c:pt>
                <c:pt idx="1">
                  <c:v>202586.81539708714</c:v>
                </c:pt>
                <c:pt idx="2">
                  <c:v>143307.52135023166</c:v>
                </c:pt>
                <c:pt idx="3">
                  <c:v>105416.59220698892</c:v>
                </c:pt>
                <c:pt idx="4">
                  <c:v>55154.625807477678</c:v>
                </c:pt>
                <c:pt idx="5">
                  <c:v>71992.064138501722</c:v>
                </c:pt>
                <c:pt idx="6">
                  <c:v>59673.252404633589</c:v>
                </c:pt>
                <c:pt idx="7">
                  <c:v>69839.571826677275</c:v>
                </c:pt>
                <c:pt idx="8">
                  <c:v>71582.233064047745</c:v>
                </c:pt>
                <c:pt idx="9">
                  <c:v>59319.990598562123</c:v>
                </c:pt>
                <c:pt idx="10">
                  <c:v>78143.569801899735</c:v>
                </c:pt>
                <c:pt idx="11">
                  <c:v>70016.692463705811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60-4F85-A93B-7AA3EB5881BE}"/>
            </c:ext>
          </c:extLst>
        </c:ser>
        <c:ser>
          <c:idx val="1"/>
          <c:order val="1"/>
          <c:tx>
            <c:strRef>
              <c:f>'Costos hist. - Energ. Eléctrica'!$M$2</c:f>
              <c:strCache>
                <c:ptCount val="1"/>
                <c:pt idx="0">
                  <c:v>Electricidad 2021 IPC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'Costos hist. - Energ. Eléctrica'!$I$3:$I$14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Energ. Eléctrica'!$M$3:$M$14</c:f>
              <c:numCache>
                <c:formatCode>"$"\ #,##0.00</c:formatCode>
                <c:ptCount val="12"/>
                <c:pt idx="0">
                  <c:v>92012.127256478052</c:v>
                </c:pt>
                <c:pt idx="1">
                  <c:v>108916.1584294624</c:v>
                </c:pt>
                <c:pt idx="2">
                  <c:v>45973.881036904124</c:v>
                </c:pt>
                <c:pt idx="3">
                  <c:v>83934.115337506271</c:v>
                </c:pt>
                <c:pt idx="4">
                  <c:v>40205.827543326675</c:v>
                </c:pt>
                <c:pt idx="5">
                  <c:v>54696.061476706942</c:v>
                </c:pt>
                <c:pt idx="6">
                  <c:v>43323.036117751864</c:v>
                </c:pt>
                <c:pt idx="7">
                  <c:v>52513.633529967949</c:v>
                </c:pt>
                <c:pt idx="8">
                  <c:v>47193.29260844129</c:v>
                </c:pt>
                <c:pt idx="9">
                  <c:v>45617.563970725147</c:v>
                </c:pt>
                <c:pt idx="10">
                  <c:v>38210.46320506397</c:v>
                </c:pt>
                <c:pt idx="11">
                  <c:v>27843.744188027948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60-4F85-A93B-7AA3EB5881BE}"/>
            </c:ext>
          </c:extLst>
        </c:ser>
        <c:ser>
          <c:idx val="2"/>
          <c:order val="2"/>
          <c:tx>
            <c:strRef>
              <c:f>'Costos hist. - Energ. Eléctrica'!$O$2</c:f>
              <c:strCache>
                <c:ptCount val="1"/>
                <c:pt idx="0">
                  <c:v>Electricidad 2022 IPC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'Costos hist. - Energ. Eléctrica'!$I$3:$I$14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Energ. Eléctrica'!$O$3:$O$14</c:f>
              <c:numCache>
                <c:formatCode>"$"\ #,##0.00</c:formatCode>
                <c:ptCount val="12"/>
                <c:pt idx="0">
                  <c:v>72300.421049509619</c:v>
                </c:pt>
                <c:pt idx="1">
                  <c:v>32924.777854199034</c:v>
                </c:pt>
                <c:pt idx="2">
                  <c:v>72464.200404030256</c:v>
                </c:pt>
                <c:pt idx="3">
                  <c:v>26384.043889054097</c:v>
                </c:pt>
                <c:pt idx="4">
                  <c:v>38795.83789606957</c:v>
                </c:pt>
                <c:pt idx="5">
                  <c:v>39818.367070362307</c:v>
                </c:pt>
                <c:pt idx="6">
                  <c:v>28154.169113583885</c:v>
                </c:pt>
                <c:pt idx="7">
                  <c:v>41434.094202114487</c:v>
                </c:pt>
                <c:pt idx="8">
                  <c:v>38953.378675885891</c:v>
                </c:pt>
                <c:pt idx="9">
                  <c:v>41223.237925101297</c:v>
                </c:pt>
                <c:pt idx="10">
                  <c:v>48145.566051893446</c:v>
                </c:pt>
                <c:pt idx="11">
                  <c:v>72992.549587792557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60-4F85-A93B-7AA3EB588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9836464"/>
        <c:axId val="2049837904"/>
      </c:lineChart>
      <c:catAx>
        <c:axId val="204983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049837904"/>
        <c:crosses val="autoZero"/>
        <c:auto val="1"/>
        <c:lblAlgn val="ctr"/>
        <c:lblOffset val="100"/>
        <c:noMultiLvlLbl val="0"/>
      </c:catAx>
      <c:valAx>
        <c:axId val="2049837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049836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6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Evolución de Tasa Vial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'Impuestos históricos'!$M$2</c:f>
              <c:strCache>
                <c:ptCount val="1"/>
                <c:pt idx="0">
                  <c:v>Tasa Vial 2020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'Impuestos históricos'!$L$3:$L$14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'Impuestos históricos'!$M$3:$M$14</c:f>
              <c:numCache>
                <c:formatCode>"$"\ #,##0.00</c:formatCode>
                <c:ptCount val="12"/>
                <c:pt idx="0">
                  <c:v>11532.608523137193</c:v>
                </c:pt>
                <c:pt idx="1">
                  <c:v>11304.968359567893</c:v>
                </c:pt>
                <c:pt idx="2">
                  <c:v>10961.498470797887</c:v>
                </c:pt>
                <c:pt idx="3">
                  <c:v>10799.87056802708</c:v>
                </c:pt>
                <c:pt idx="4">
                  <c:v>10635.788404702696</c:v>
                </c:pt>
                <c:pt idx="5">
                  <c:v>10402.406344864086</c:v>
                </c:pt>
                <c:pt idx="6">
                  <c:v>10205.021367977104</c:v>
                </c:pt>
                <c:pt idx="7">
                  <c:v>9936.7189891984654</c:v>
                </c:pt>
                <c:pt idx="8">
                  <c:v>11096.427954245088</c:v>
                </c:pt>
                <c:pt idx="9">
                  <c:v>10694.221508270382</c:v>
                </c:pt>
                <c:pt idx="10">
                  <c:v>11146.458887378643</c:v>
                </c:pt>
                <c:pt idx="11">
                  <c:v>10717.175217281112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4B-4308-8F85-A53D377B866E}"/>
            </c:ext>
          </c:extLst>
        </c:ser>
        <c:ser>
          <c:idx val="1"/>
          <c:order val="1"/>
          <c:tx>
            <c:strRef>
              <c:f>'Impuestos históricos'!$N$2</c:f>
              <c:strCache>
                <c:ptCount val="1"/>
                <c:pt idx="0">
                  <c:v>Tasa Vial 2021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'Impuestos históricos'!$L$3:$L$14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'Impuestos históricos'!$N$3:$N$14</c:f>
              <c:numCache>
                <c:formatCode>"$"\ #,##0.00</c:formatCode>
                <c:ptCount val="12"/>
                <c:pt idx="0">
                  <c:v>8709.1826645157726</c:v>
                </c:pt>
                <c:pt idx="1">
                  <c:v>8408.6059714879666</c:v>
                </c:pt>
                <c:pt idx="2">
                  <c:v>8033.0639116590282</c:v>
                </c:pt>
                <c:pt idx="3">
                  <c:v>7718.1410989918895</c:v>
                </c:pt>
                <c:pt idx="4">
                  <c:v>8835.125873379915</c:v>
                </c:pt>
                <c:pt idx="5">
                  <c:v>8563.2804278864842</c:v>
                </c:pt>
                <c:pt idx="6">
                  <c:v>8737.7815882675459</c:v>
                </c:pt>
                <c:pt idx="7">
                  <c:v>8527.2866541195035</c:v>
                </c:pt>
                <c:pt idx="8">
                  <c:v>8632.3632186609266</c:v>
                </c:pt>
                <c:pt idx="9">
                  <c:v>8339.1362683204406</c:v>
                </c:pt>
                <c:pt idx="10">
                  <c:v>8756.406078852111</c:v>
                </c:pt>
                <c:pt idx="11">
                  <c:v>8432.5968632904551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4B-4308-8F85-A53D377B866E}"/>
            </c:ext>
          </c:extLst>
        </c:ser>
        <c:ser>
          <c:idx val="2"/>
          <c:order val="2"/>
          <c:tx>
            <c:strRef>
              <c:f>'Impuestos históricos'!$O$2</c:f>
              <c:strCache>
                <c:ptCount val="1"/>
                <c:pt idx="0">
                  <c:v>Tasa Vial 2022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'Impuestos históricos'!$L$3:$L$14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'Impuestos históricos'!$O$3:$O$14</c:f>
              <c:numCache>
                <c:formatCode>"$"\ #,##0.00</c:formatCode>
                <c:ptCount val="12"/>
                <c:pt idx="0">
                  <c:v>11883.478150814248</c:v>
                </c:pt>
                <c:pt idx="1">
                  <c:v>11350.63771827251</c:v>
                </c:pt>
                <c:pt idx="2">
                  <c:v>10635.028172937</c:v>
                </c:pt>
                <c:pt idx="3">
                  <c:v>10028.568625487298</c:v>
                </c:pt>
                <c:pt idx="4">
                  <c:v>11744.379450492401</c:v>
                </c:pt>
                <c:pt idx="5">
                  <c:v>11153.76302066586</c:v>
                </c:pt>
                <c:pt idx="6">
                  <c:v>10384.655026468694</c:v>
                </c:pt>
                <c:pt idx="7">
                  <c:v>9707.9764876994723</c:v>
                </c:pt>
                <c:pt idx="8">
                  <c:v>11040.823144054695</c:v>
                </c:pt>
                <c:pt idx="9">
                  <c:v>10381.850730432216</c:v>
                </c:pt>
                <c:pt idx="10">
                  <c:v>11694.061367096378</c:v>
                </c:pt>
                <c:pt idx="11">
                  <c:v>11124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4B-4308-8F85-A53D377B8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5883456"/>
        <c:axId val="755878176"/>
      </c:lineChart>
      <c:catAx>
        <c:axId val="75588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5878176"/>
        <c:crosses val="autoZero"/>
        <c:auto val="1"/>
        <c:lblAlgn val="ctr"/>
        <c:lblOffset val="100"/>
        <c:noMultiLvlLbl val="0"/>
      </c:catAx>
      <c:valAx>
        <c:axId val="755878176"/>
        <c:scaling>
          <c:orientation val="minMax"/>
          <c:max val="12000"/>
          <c:min val="7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5883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AR" sz="18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Evolución de Impuesto</a:t>
            </a:r>
            <a:r>
              <a:rPr lang="es-AR" sz="18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Inmobiliario Rural</a:t>
            </a:r>
            <a:endParaRPr lang="es-AR" sz="18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'Impuestos históricos'!$P$2</c:f>
              <c:strCache>
                <c:ptCount val="1"/>
                <c:pt idx="0">
                  <c:v>Inm. Rural 2020 (IPC)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'Impuestos históricos'!$L$3:$L$14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'Impuestos históricos'!$P$3:$P$14</c:f>
              <c:numCache>
                <c:formatCode>"$"\ 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348525.8938918644</c:v>
                </c:pt>
                <c:pt idx="3">
                  <c:v>0</c:v>
                </c:pt>
                <c:pt idx="4">
                  <c:v>0</c:v>
                </c:pt>
                <c:pt idx="5">
                  <c:v>330749.30217148107</c:v>
                </c:pt>
                <c:pt idx="6">
                  <c:v>0</c:v>
                </c:pt>
                <c:pt idx="7">
                  <c:v>0</c:v>
                </c:pt>
                <c:pt idx="8">
                  <c:v>307230.95783806336</c:v>
                </c:pt>
                <c:pt idx="9">
                  <c:v>0</c:v>
                </c:pt>
                <c:pt idx="10">
                  <c:v>287025.7504694477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E4-4A86-BAB4-3467803E4B02}"/>
            </c:ext>
          </c:extLst>
        </c:ser>
        <c:ser>
          <c:idx val="1"/>
          <c:order val="1"/>
          <c:tx>
            <c:strRef>
              <c:f>'Impuestos históricos'!$Q$2</c:f>
              <c:strCache>
                <c:ptCount val="1"/>
                <c:pt idx="0">
                  <c:v>Inm. Rural 2021 (IPC)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'Impuestos históricos'!$L$3:$L$14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'Impuestos históricos'!$Q$3:$Q$14</c:f>
              <c:numCache>
                <c:formatCode>"$"\ 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322508.25335934904</c:v>
                </c:pt>
                <c:pt idx="3">
                  <c:v>0</c:v>
                </c:pt>
                <c:pt idx="4">
                  <c:v>0</c:v>
                </c:pt>
                <c:pt idx="5">
                  <c:v>290671.75623375614</c:v>
                </c:pt>
                <c:pt idx="6">
                  <c:v>0</c:v>
                </c:pt>
                <c:pt idx="7">
                  <c:v>0</c:v>
                </c:pt>
                <c:pt idx="8">
                  <c:v>265981.33726874035</c:v>
                </c:pt>
                <c:pt idx="9">
                  <c:v>0</c:v>
                </c:pt>
                <c:pt idx="10">
                  <c:v>250607.37106547051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E4-4A86-BAB4-3467803E4B02}"/>
            </c:ext>
          </c:extLst>
        </c:ser>
        <c:ser>
          <c:idx val="2"/>
          <c:order val="2"/>
          <c:tx>
            <c:strRef>
              <c:f>'Impuestos históricos'!$R$2</c:f>
              <c:strCache>
                <c:ptCount val="1"/>
                <c:pt idx="0">
                  <c:v>Inm. Rural 2022 (IPC)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'Impuestos históricos'!$L$3:$L$14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'Impuestos históricos'!$R$3:$R$14</c:f>
              <c:numCache>
                <c:formatCode>"$"\ 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300858.18369164655</c:v>
                </c:pt>
                <c:pt idx="3">
                  <c:v>0</c:v>
                </c:pt>
                <c:pt idx="4">
                  <c:v>0</c:v>
                </c:pt>
                <c:pt idx="5">
                  <c:v>256481.75353846364</c:v>
                </c:pt>
                <c:pt idx="6">
                  <c:v>0</c:v>
                </c:pt>
                <c:pt idx="7">
                  <c:v>0</c:v>
                </c:pt>
                <c:pt idx="8">
                  <c:v>210271.43873236398</c:v>
                </c:pt>
                <c:pt idx="9">
                  <c:v>0</c:v>
                </c:pt>
                <c:pt idx="10">
                  <c:v>188456.56895549779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E4-4A86-BAB4-3467803E4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2"/>
        <c:axId val="2059465008"/>
        <c:axId val="2059469328"/>
      </c:barChart>
      <c:catAx>
        <c:axId val="205946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059469328"/>
        <c:crosses val="autoZero"/>
        <c:auto val="1"/>
        <c:lblAlgn val="ctr"/>
        <c:lblOffset val="100"/>
        <c:noMultiLvlLbl val="0"/>
      </c:catAx>
      <c:valAx>
        <c:axId val="2059469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059465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6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Aves faenadas por</a:t>
            </a:r>
            <a:r>
              <a:rPr lang="es-AR" sz="16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año</a:t>
            </a:r>
            <a:r>
              <a:rPr lang="es-AR" sz="16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'SENASA - Faena de aves'!$C$2</c:f>
              <c:strCache>
                <c:ptCount val="1"/>
                <c:pt idx="0">
                  <c:v>Pollos Parrilleros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'SENASA - Faena de aves'!$B$3:$B$8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'SENASA - Faena de aves'!$C$3:$C$8</c:f>
              <c:numCache>
                <c:formatCode>General</c:formatCode>
                <c:ptCount val="6"/>
                <c:pt idx="0">
                  <c:v>768816219</c:v>
                </c:pt>
                <c:pt idx="1">
                  <c:v>752948910</c:v>
                </c:pt>
                <c:pt idx="2">
                  <c:v>746159036</c:v>
                </c:pt>
                <c:pt idx="3">
                  <c:v>731958612</c:v>
                </c:pt>
                <c:pt idx="4">
                  <c:v>736204222</c:v>
                </c:pt>
                <c:pt idx="5">
                  <c:v>613144308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08-4E8A-BEE9-13FD8B1B8AE9}"/>
            </c:ext>
          </c:extLst>
        </c:ser>
        <c:ser>
          <c:idx val="1"/>
          <c:order val="1"/>
          <c:tx>
            <c:strRef>
              <c:f>'SENASA - Faena de aves'!$O$2</c:f>
              <c:strCache>
                <c:ptCount val="1"/>
                <c:pt idx="0">
                  <c:v>Total Aves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'SENASA - Faena de aves'!$B$3:$B$8</c:f>
              <c:numCache>
                <c:formatCode>General</c:formatCode>
                <c:ptCount val="6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</c:numCache>
            </c:numRef>
          </c:cat>
          <c:val>
            <c:numRef>
              <c:f>'SENASA - Faena de aves'!$O$3:$O$8</c:f>
              <c:numCache>
                <c:formatCode>General</c:formatCode>
                <c:ptCount val="6"/>
                <c:pt idx="0">
                  <c:v>787488901</c:v>
                </c:pt>
                <c:pt idx="1">
                  <c:v>773198177</c:v>
                </c:pt>
                <c:pt idx="2">
                  <c:v>767837344</c:v>
                </c:pt>
                <c:pt idx="3">
                  <c:v>752987799</c:v>
                </c:pt>
                <c:pt idx="4">
                  <c:v>767918145</c:v>
                </c:pt>
                <c:pt idx="5">
                  <c:v>632618729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08-4E8A-BEE9-13FD8B1B8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1"/>
        <c:overlap val="5"/>
        <c:axId val="727466799"/>
        <c:axId val="727471119"/>
      </c:barChart>
      <c:catAx>
        <c:axId val="727466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27471119"/>
        <c:crosses val="autoZero"/>
        <c:auto val="1"/>
        <c:lblAlgn val="ctr"/>
        <c:lblOffset val="100"/>
        <c:noMultiLvlLbl val="0"/>
      </c:catAx>
      <c:valAx>
        <c:axId val="727471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274667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AR" sz="15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Valor Actual y Tasa de Descuento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'Analisis de Sensibilidad'!$B$1</c:f>
              <c:strCache>
                <c:ptCount val="1"/>
                <c:pt idx="0">
                  <c:v>Valor Actual (USD)</c:v>
                </c:pt>
              </c:strCache>
            </c:strRef>
          </c:tx>
          <c:spPr>
            <a:ln w="38100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'Analisis de Sensibilidad'!$A$2:$A$22</c:f>
              <c:numCache>
                <c:formatCode>0%</c:formatCode>
                <c:ptCount val="21"/>
                <c:pt idx="0">
                  <c:v>0.1</c:v>
                </c:pt>
                <c:pt idx="1">
                  <c:v>0.11</c:v>
                </c:pt>
                <c:pt idx="2">
                  <c:v>0.12</c:v>
                </c:pt>
                <c:pt idx="3">
                  <c:v>0.13</c:v>
                </c:pt>
                <c:pt idx="4">
                  <c:v>0.14000000000000001</c:v>
                </c:pt>
                <c:pt idx="5">
                  <c:v>0.15</c:v>
                </c:pt>
                <c:pt idx="6">
                  <c:v>0.16</c:v>
                </c:pt>
                <c:pt idx="7">
                  <c:v>0.17</c:v>
                </c:pt>
                <c:pt idx="8">
                  <c:v>0.18</c:v>
                </c:pt>
                <c:pt idx="9">
                  <c:v>0.19</c:v>
                </c:pt>
                <c:pt idx="10">
                  <c:v>0.2</c:v>
                </c:pt>
                <c:pt idx="11">
                  <c:v>0.21</c:v>
                </c:pt>
                <c:pt idx="12">
                  <c:v>0.22</c:v>
                </c:pt>
                <c:pt idx="13">
                  <c:v>0.23</c:v>
                </c:pt>
                <c:pt idx="14">
                  <c:v>0.24</c:v>
                </c:pt>
                <c:pt idx="15">
                  <c:v>0.25</c:v>
                </c:pt>
                <c:pt idx="16">
                  <c:v>0.26</c:v>
                </c:pt>
                <c:pt idx="17">
                  <c:v>0.27</c:v>
                </c:pt>
                <c:pt idx="18">
                  <c:v>0.28000000000000003</c:v>
                </c:pt>
                <c:pt idx="19">
                  <c:v>0.28999999999999998</c:v>
                </c:pt>
                <c:pt idx="20">
                  <c:v>0.3</c:v>
                </c:pt>
              </c:numCache>
            </c:numRef>
          </c:cat>
          <c:val>
            <c:numRef>
              <c:f>'Analisis de Sensibilidad'!$B$2:$B$22</c:f>
              <c:numCache>
                <c:formatCode>"$"\ #,##0.00</c:formatCode>
                <c:ptCount val="21"/>
                <c:pt idx="0">
                  <c:v>434725.80180289387</c:v>
                </c:pt>
                <c:pt idx="1">
                  <c:v>415438.61105575017</c:v>
                </c:pt>
                <c:pt idx="2">
                  <c:v>397377.73632792814</c:v>
                </c:pt>
                <c:pt idx="3">
                  <c:v>380443.39041353815</c:v>
                </c:pt>
                <c:pt idx="4">
                  <c:v>364545.66530439357</c:v>
                </c:pt>
                <c:pt idx="5">
                  <c:v>349603.37957479816</c:v>
                </c:pt>
                <c:pt idx="6">
                  <c:v>335543.08056438231</c:v>
                </c:pt>
                <c:pt idx="7">
                  <c:v>322298.17786911264</c:v>
                </c:pt>
                <c:pt idx="8">
                  <c:v>309808.18861703045</c:v>
                </c:pt>
                <c:pt idx="9">
                  <c:v>298018.07823584252</c:v>
                </c:pt>
                <c:pt idx="10">
                  <c:v>286877.68306256563</c:v>
                </c:pt>
                <c:pt idx="11">
                  <c:v>276341.20331721735</c:v>
                </c:pt>
                <c:pt idx="12">
                  <c:v>266366.75675443315</c:v>
                </c:pt>
                <c:pt idx="13">
                  <c:v>256915.98479120215</c:v>
                </c:pt>
                <c:pt idx="14">
                  <c:v>247953.70414307818</c:v>
                </c:pt>
                <c:pt idx="15">
                  <c:v>239447.59803114642</c:v>
                </c:pt>
                <c:pt idx="16">
                  <c:v>231367.9418844844</c:v>
                </c:pt>
                <c:pt idx="17">
                  <c:v>223687.35918751595</c:v>
                </c:pt>
                <c:pt idx="18">
                  <c:v>216380.60373248241</c:v>
                </c:pt>
                <c:pt idx="19">
                  <c:v>209424.36505372752</c:v>
                </c:pt>
                <c:pt idx="20">
                  <c:v>202797.09425848644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6D-4968-A712-2000480B5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982207"/>
        <c:axId val="119971647"/>
      </c:lineChart>
      <c:catAx>
        <c:axId val="119982207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119971647"/>
        <c:crosses val="autoZero"/>
        <c:auto val="1"/>
        <c:lblAlgn val="ctr"/>
        <c:lblOffset val="100"/>
        <c:tickLblSkip val="2"/>
        <c:noMultiLvlLbl val="0"/>
      </c:catAx>
      <c:valAx>
        <c:axId val="119971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11998220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Valor Actual y Tasa de Mortandad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'Analisis de Sensibilidad'!$E$1</c:f>
              <c:strCache>
                <c:ptCount val="1"/>
                <c:pt idx="0">
                  <c:v>Valor Actual (USD)</c:v>
                </c:pt>
              </c:strCache>
            </c:strRef>
          </c:tx>
          <c:spPr>
            <a:ln w="38100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'Analisis de Sensibilidad'!$D$2:$D$14</c:f>
              <c:numCache>
                <c:formatCode>0%</c:formatCode>
                <c:ptCount val="13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</c:numCache>
            </c:numRef>
          </c:cat>
          <c:val>
            <c:numRef>
              <c:f>'Analisis de Sensibilidad'!$E$2:$E$14</c:f>
              <c:numCache>
                <c:formatCode>"$"\ #,##0.00</c:formatCode>
                <c:ptCount val="13"/>
                <c:pt idx="0">
                  <c:v>244095.64496486247</c:v>
                </c:pt>
                <c:pt idx="1">
                  <c:v>240602.74682867879</c:v>
                </c:pt>
                <c:pt idx="2">
                  <c:v>237109.84869249508</c:v>
                </c:pt>
                <c:pt idx="3">
                  <c:v>233616.95055631144</c:v>
                </c:pt>
                <c:pt idx="4">
                  <c:v>230124.05242012773</c:v>
                </c:pt>
                <c:pt idx="5">
                  <c:v>226631.15428394405</c:v>
                </c:pt>
                <c:pt idx="6">
                  <c:v>223138.2561477604</c:v>
                </c:pt>
                <c:pt idx="7">
                  <c:v>219645.3580115767</c:v>
                </c:pt>
                <c:pt idx="8">
                  <c:v>216152.45987539302</c:v>
                </c:pt>
                <c:pt idx="9">
                  <c:v>212659.56173920931</c:v>
                </c:pt>
                <c:pt idx="10">
                  <c:v>209166.66360302563</c:v>
                </c:pt>
                <c:pt idx="11">
                  <c:v>205673.76546684196</c:v>
                </c:pt>
                <c:pt idx="12">
                  <c:v>202180.86733065831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08-4007-AC83-806DD6BFA3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9251391"/>
        <c:axId val="249251871"/>
      </c:lineChart>
      <c:catAx>
        <c:axId val="249251391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49251871"/>
        <c:crosses val="autoZero"/>
        <c:auto val="1"/>
        <c:lblAlgn val="ctr"/>
        <c:lblOffset val="100"/>
        <c:noMultiLvlLbl val="0"/>
      </c:catAx>
      <c:valAx>
        <c:axId val="2492518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49251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AR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Valor Actual e</a:t>
            </a:r>
            <a:r>
              <a:rPr lang="es-AR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Incremento en Tarifa</a:t>
            </a:r>
            <a:endParaRPr lang="es-AR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'Analisis de Sensibilidad'!$H$1</c:f>
              <c:strCache>
                <c:ptCount val="1"/>
                <c:pt idx="0">
                  <c:v>Valor Actual (USD)</c:v>
                </c:pt>
              </c:strCache>
            </c:strRef>
          </c:tx>
          <c:spPr>
            <a:ln w="38100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'Analisis de Sensibilidad'!$G$2:$G$22</c:f>
              <c:numCache>
                <c:formatCode>0%</c:formatCode>
                <c:ptCount val="2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</c:numCache>
            </c:numRef>
          </c:cat>
          <c:val>
            <c:numRef>
              <c:f>'Analisis de Sensibilidad'!$H$2:$H$22</c:f>
              <c:numCache>
                <c:formatCode>"$"\ #,##0.00</c:formatCode>
                <c:ptCount val="21"/>
                <c:pt idx="0">
                  <c:v>177438.64538974749</c:v>
                </c:pt>
                <c:pt idx="1">
                  <c:v>182868.78928435312</c:v>
                </c:pt>
                <c:pt idx="2">
                  <c:v>188396.30793422152</c:v>
                </c:pt>
                <c:pt idx="3">
                  <c:v>194022.63080237861</c:v>
                </c:pt>
                <c:pt idx="4">
                  <c:v>199749.20185705891</c:v>
                </c:pt>
                <c:pt idx="5">
                  <c:v>205577.47964669662</c:v>
                </c:pt>
                <c:pt idx="6">
                  <c:v>211508.93737491764</c:v>
                </c:pt>
                <c:pt idx="7">
                  <c:v>217545.06297552993</c:v>
                </c:pt>
                <c:pt idx="8">
                  <c:v>223687.35918751595</c:v>
                </c:pt>
                <c:pt idx="9">
                  <c:v>229937.34363002295</c:v>
                </c:pt>
                <c:pt idx="10">
                  <c:v>236296.54887735489</c:v>
                </c:pt>
                <c:pt idx="11">
                  <c:v>242766.52253396384</c:v>
                </c:pt>
                <c:pt idx="12">
                  <c:v>249348.82730944047</c:v>
                </c:pt>
                <c:pt idx="13">
                  <c:v>256045.04109350691</c:v>
                </c:pt>
                <c:pt idx="14">
                  <c:v>262856.75703100651</c:v>
                </c:pt>
                <c:pt idx="15">
                  <c:v>269785.58359689591</c:v>
                </c:pt>
                <c:pt idx="16">
                  <c:v>276833.14467123663</c:v>
                </c:pt>
                <c:pt idx="17">
                  <c:v>284001.0796141855</c:v>
                </c:pt>
                <c:pt idx="18">
                  <c:v>291291.043340987</c:v>
                </c:pt>
                <c:pt idx="19">
                  <c:v>298704.70639696397</c:v>
                </c:pt>
                <c:pt idx="20">
                  <c:v>306243.75503250898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CC-428E-BA47-DB5EDEC05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9239391"/>
        <c:axId val="249227871"/>
      </c:lineChart>
      <c:catAx>
        <c:axId val="249239391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49227871"/>
        <c:crosses val="autoZero"/>
        <c:auto val="1"/>
        <c:lblAlgn val="ctr"/>
        <c:lblOffset val="100"/>
        <c:tickLblSkip val="2"/>
        <c:noMultiLvlLbl val="0"/>
      </c:catAx>
      <c:valAx>
        <c:axId val="2492278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492393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Valor Actual y</a:t>
            </a:r>
            <a:r>
              <a:rPr lang="es-AR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Precio de la Energía</a:t>
            </a:r>
            <a:endParaRPr lang="es-AR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'Analisis de Sensibilidad'!$K$1</c:f>
              <c:strCache>
                <c:ptCount val="1"/>
                <c:pt idx="0">
                  <c:v>Valor Actual (USD)</c:v>
                </c:pt>
              </c:strCache>
            </c:strRef>
          </c:tx>
          <c:spPr>
            <a:ln w="38100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'Analisis de Sensibilidad'!$J$2:$J$22</c:f>
              <c:numCache>
                <c:formatCode>0%</c:formatCode>
                <c:ptCount val="2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</c:numCache>
            </c:numRef>
          </c:cat>
          <c:val>
            <c:numRef>
              <c:f>'Analisis de Sensibilidad'!$K$2:$K$22</c:f>
              <c:numCache>
                <c:formatCode>"$"\ #,##0.00</c:formatCode>
                <c:ptCount val="21"/>
                <c:pt idx="0">
                  <c:v>223687.35918751595</c:v>
                </c:pt>
                <c:pt idx="1">
                  <c:v>222949.96438852066</c:v>
                </c:pt>
                <c:pt idx="2">
                  <c:v>222199.38383332689</c:v>
                </c:pt>
                <c:pt idx="3">
                  <c:v>221435.42414157104</c:v>
                </c:pt>
                <c:pt idx="4">
                  <c:v>220657.88997123385</c:v>
                </c:pt>
                <c:pt idx="5">
                  <c:v>219866.58400849887</c:v>
                </c:pt>
                <c:pt idx="6">
                  <c:v>219061.3069576108</c:v>
                </c:pt>
                <c:pt idx="7">
                  <c:v>218241.85753073372</c:v>
                </c:pt>
                <c:pt idx="8">
                  <c:v>217408.03243780957</c:v>
                </c:pt>
                <c:pt idx="9">
                  <c:v>216559.6263764161</c:v>
                </c:pt>
                <c:pt idx="10">
                  <c:v>215696.43202162578</c:v>
                </c:pt>
                <c:pt idx="11">
                  <c:v>214818.2400158635</c:v>
                </c:pt>
                <c:pt idx="12">
                  <c:v>213924.83895876553</c:v>
                </c:pt>
                <c:pt idx="13">
                  <c:v>213016.015397037</c:v>
                </c:pt>
                <c:pt idx="14">
                  <c:v>212091.55381431128</c:v>
                </c:pt>
                <c:pt idx="15">
                  <c:v>211151.23662100732</c:v>
                </c:pt>
                <c:pt idx="16">
                  <c:v>210194.8441441886</c:v>
                </c:pt>
                <c:pt idx="17">
                  <c:v>209222.15461742121</c:v>
                </c:pt>
                <c:pt idx="18">
                  <c:v>208232.94417063217</c:v>
                </c:pt>
                <c:pt idx="19">
                  <c:v>207226.98681996786</c:v>
                </c:pt>
                <c:pt idx="20">
                  <c:v>206204.05445765224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03-493A-9EDF-C55BFDE195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9234591"/>
        <c:axId val="249236991"/>
      </c:lineChart>
      <c:catAx>
        <c:axId val="249234591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49236991"/>
        <c:crosses val="autoZero"/>
        <c:auto val="1"/>
        <c:lblAlgn val="ctr"/>
        <c:lblOffset val="100"/>
        <c:tickLblSkip val="2"/>
        <c:noMultiLvlLbl val="0"/>
      </c:catAx>
      <c:valAx>
        <c:axId val="2492369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492345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7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7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Índice</a:t>
            </a:r>
            <a:r>
              <a:rPr lang="en-US" sz="17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de </a:t>
            </a:r>
            <a:r>
              <a:rPr lang="en-US" sz="17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Mortandad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7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'Precios y Cant. hist.'!$I$2</c:f>
              <c:strCache>
                <c:ptCount val="1"/>
                <c:pt idx="0">
                  <c:v>Mortandad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12700">
                <a:solidFill>
                  <a:schemeClr val="accent6"/>
                </a:solidFill>
              </a:ln>
              <a:effectLst/>
            </c:spPr>
          </c:marker>
          <c:val>
            <c:numRef>
              <c:f>'Precios y Cant. hist.'!$I$3:$I$28</c:f>
              <c:numCache>
                <c:formatCode>0.00%</c:formatCode>
                <c:ptCount val="26"/>
                <c:pt idx="0">
                  <c:v>3.4297920361115564E-2</c:v>
                </c:pt>
                <c:pt idx="1">
                  <c:v>4.1004053632678561E-2</c:v>
                </c:pt>
                <c:pt idx="2">
                  <c:v>4.0569235927429892E-2</c:v>
                </c:pt>
                <c:pt idx="3">
                  <c:v>3.4947089184279578E-2</c:v>
                </c:pt>
                <c:pt idx="4">
                  <c:v>3.563701402979047E-2</c:v>
                </c:pt>
                <c:pt idx="5">
                  <c:v>3.3382567565191423E-2</c:v>
                </c:pt>
                <c:pt idx="6">
                  <c:v>2.8490532649088629E-2</c:v>
                </c:pt>
                <c:pt idx="7">
                  <c:v>4.7566971706531791E-2</c:v>
                </c:pt>
                <c:pt idx="8">
                  <c:v>3.8587167137241862E-2</c:v>
                </c:pt>
                <c:pt idx="9">
                  <c:v>5.7430805142835939E-2</c:v>
                </c:pt>
                <c:pt idx="10">
                  <c:v>3.4496467229259697E-2</c:v>
                </c:pt>
                <c:pt idx="11">
                  <c:v>4.4003473958470374E-2</c:v>
                </c:pt>
                <c:pt idx="12">
                  <c:v>4.5338570664515632E-2</c:v>
                </c:pt>
                <c:pt idx="13">
                  <c:v>4.49042252538292E-2</c:v>
                </c:pt>
                <c:pt idx="14">
                  <c:v>6.1309956395348864E-2</c:v>
                </c:pt>
                <c:pt idx="15">
                  <c:v>3.8652256834075027E-2</c:v>
                </c:pt>
                <c:pt idx="16">
                  <c:v>4.4264377381630249E-2</c:v>
                </c:pt>
                <c:pt idx="17">
                  <c:v>7.6867834966676263E-2</c:v>
                </c:pt>
                <c:pt idx="18">
                  <c:v>6.8973380695522502E-2</c:v>
                </c:pt>
                <c:pt idx="19">
                  <c:v>8.1265339514589585E-2</c:v>
                </c:pt>
                <c:pt idx="20">
                  <c:v>5.8325621904087965E-2</c:v>
                </c:pt>
                <c:pt idx="21">
                  <c:v>5.317645426720885E-2</c:v>
                </c:pt>
                <c:pt idx="22">
                  <c:v>8.542891426894228E-2</c:v>
                </c:pt>
                <c:pt idx="23">
                  <c:v>0.12203885848860563</c:v>
                </c:pt>
                <c:pt idx="24">
                  <c:v>0.12138640429338099</c:v>
                </c:pt>
                <c:pt idx="25">
                  <c:v>0.10759549765133392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'Precios y Cantidades'!#REF!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9491-462A-853D-DE263EA8F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106880"/>
        <c:axId val="164107360"/>
      </c:lineChart>
      <c:catAx>
        <c:axId val="164106880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164107360"/>
        <c:crosses val="autoZero"/>
        <c:auto val="0"/>
        <c:lblAlgn val="ctr"/>
        <c:lblOffset val="100"/>
        <c:noMultiLvlLbl val="0"/>
      </c:catAx>
      <c:valAx>
        <c:axId val="164107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16410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7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Conversión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'Precios y Cant. hist.'!$L$2</c:f>
              <c:strCache>
                <c:ptCount val="1"/>
                <c:pt idx="0">
                  <c:v>Conversion</c:v>
                </c:pt>
              </c:strCache>
            </c:strRef>
          </c:tx>
          <c:spPr>
            <a:ln w="22225" cap="rnd">
              <a:solidFill>
                <a:schemeClr val="tx1">
                  <a:alpha val="76000"/>
                </a:schemeClr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bg2"/>
              </a:solidFill>
              <a:ln w="15875">
                <a:solidFill>
                  <a:schemeClr val="tx1">
                    <a:alpha val="79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8"/>
              <c:spPr>
                <a:solidFill>
                  <a:srgbClr val="92D050"/>
                </a:solidFill>
                <a:ln w="15875">
                  <a:solidFill>
                    <a:srgbClr val="92D050">
                      <a:alpha val="76000"/>
                    </a:srgbClr>
                  </a:solidFill>
                </a:ln>
                <a:effectLst/>
              </c:spPr>
            </c:marker>
            <c:bubble3D val="0"/>
            <c:spPr>
              <a:ln w="22225" cap="rnd">
                <a:solidFill>
                  <a:srgbClr val="92D050">
                    <a:alpha val="76000"/>
                  </a:srgb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B832-4687-AEC3-A8F46CDBFE26}"/>
              </c:ext>
            </c:extLst>
          </c:dPt>
          <c:dPt>
            <c:idx val="1"/>
            <c:marker>
              <c:symbol val="circle"/>
              <c:size val="8"/>
              <c:spPr>
                <a:solidFill>
                  <a:srgbClr val="FFC000"/>
                </a:solidFill>
                <a:ln w="15875">
                  <a:solidFill>
                    <a:srgbClr val="FFC00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B832-4687-AEC3-A8F46CDBFE26}"/>
              </c:ext>
            </c:extLst>
          </c:dPt>
          <c:dPt>
            <c:idx val="2"/>
            <c:marker>
              <c:symbol val="circle"/>
              <c:size val="8"/>
              <c:spPr>
                <a:solidFill>
                  <a:srgbClr val="92D050"/>
                </a:solidFill>
                <a:ln w="15875">
                  <a:solidFill>
                    <a:srgbClr val="92D05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832-4687-AEC3-A8F46CDBFE26}"/>
              </c:ext>
            </c:extLst>
          </c:dPt>
          <c:dPt>
            <c:idx val="3"/>
            <c:marker>
              <c:symbol val="circle"/>
              <c:size val="8"/>
              <c:spPr>
                <a:solidFill>
                  <a:srgbClr val="FFC000"/>
                </a:solidFill>
                <a:ln w="15875">
                  <a:solidFill>
                    <a:srgbClr val="FFC00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B832-4687-AEC3-A8F46CDBFE26}"/>
              </c:ext>
            </c:extLst>
          </c:dPt>
          <c:dPt>
            <c:idx val="4"/>
            <c:marker>
              <c:symbol val="circle"/>
              <c:size val="8"/>
              <c:spPr>
                <a:solidFill>
                  <a:srgbClr val="92D050"/>
                </a:solidFill>
                <a:ln w="15875">
                  <a:solidFill>
                    <a:srgbClr val="92D05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B832-4687-AEC3-A8F46CDBFE26}"/>
              </c:ext>
            </c:extLst>
          </c:dPt>
          <c:dPt>
            <c:idx val="5"/>
            <c:marker>
              <c:symbol val="circle"/>
              <c:size val="8"/>
              <c:spPr>
                <a:solidFill>
                  <a:srgbClr val="92D050"/>
                </a:solidFill>
                <a:ln w="15875">
                  <a:solidFill>
                    <a:srgbClr val="92D05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B832-4687-AEC3-A8F46CDBFE26}"/>
              </c:ext>
            </c:extLst>
          </c:dPt>
          <c:dPt>
            <c:idx val="6"/>
            <c:marker>
              <c:symbol val="circle"/>
              <c:size val="8"/>
              <c:spPr>
                <a:solidFill>
                  <a:schemeClr val="accent4">
                    <a:lumMod val="60000"/>
                    <a:lumOff val="40000"/>
                  </a:schemeClr>
                </a:solidFill>
                <a:ln w="15875">
                  <a:solidFill>
                    <a:schemeClr val="accent4">
                      <a:lumMod val="60000"/>
                      <a:lumOff val="40000"/>
                      <a:alpha val="79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B832-4687-AEC3-A8F46CDBFE26}"/>
              </c:ext>
            </c:extLst>
          </c:dPt>
          <c:dPt>
            <c:idx val="7"/>
            <c:marker>
              <c:symbol val="circle"/>
              <c:size val="8"/>
              <c:spPr>
                <a:solidFill>
                  <a:schemeClr val="accent4">
                    <a:lumMod val="60000"/>
                    <a:lumOff val="40000"/>
                  </a:schemeClr>
                </a:solidFill>
                <a:ln w="15875">
                  <a:solidFill>
                    <a:schemeClr val="accent4">
                      <a:lumMod val="60000"/>
                      <a:lumOff val="40000"/>
                      <a:alpha val="79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B832-4687-AEC3-A8F46CDBFE26}"/>
              </c:ext>
            </c:extLst>
          </c:dPt>
          <c:dPt>
            <c:idx val="8"/>
            <c:marker>
              <c:symbol val="circle"/>
              <c:size val="8"/>
              <c:spPr>
                <a:solidFill>
                  <a:srgbClr val="FFC000"/>
                </a:solidFill>
                <a:ln w="15875">
                  <a:solidFill>
                    <a:srgbClr val="FFC00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B832-4687-AEC3-A8F46CDBFE26}"/>
              </c:ext>
            </c:extLst>
          </c:dPt>
          <c:dPt>
            <c:idx val="9"/>
            <c:marker>
              <c:symbol val="circle"/>
              <c:size val="8"/>
              <c:spPr>
                <a:solidFill>
                  <a:schemeClr val="accent2"/>
                </a:solidFill>
                <a:ln w="15875">
                  <a:solidFill>
                    <a:schemeClr val="accent2">
                      <a:alpha val="79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7-B832-4687-AEC3-A8F46CDBFE26}"/>
              </c:ext>
            </c:extLst>
          </c:dPt>
          <c:dPt>
            <c:idx val="10"/>
            <c:marker>
              <c:symbol val="circle"/>
              <c:size val="8"/>
              <c:spPr>
                <a:solidFill>
                  <a:srgbClr val="92D050"/>
                </a:solidFill>
                <a:ln w="15875">
                  <a:solidFill>
                    <a:srgbClr val="92D05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B832-4687-AEC3-A8F46CDBFE26}"/>
              </c:ext>
            </c:extLst>
          </c:dPt>
          <c:dPt>
            <c:idx val="11"/>
            <c:marker>
              <c:symbol val="circle"/>
              <c:size val="8"/>
              <c:spPr>
                <a:solidFill>
                  <a:srgbClr val="FFC000"/>
                </a:solidFill>
                <a:ln w="15875">
                  <a:solidFill>
                    <a:srgbClr val="FFC00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B832-4687-AEC3-A8F46CDBFE26}"/>
              </c:ext>
            </c:extLst>
          </c:dPt>
          <c:dPt>
            <c:idx val="12"/>
            <c:marker>
              <c:symbol val="circle"/>
              <c:size val="8"/>
              <c:spPr>
                <a:solidFill>
                  <a:srgbClr val="FFC000"/>
                </a:solidFill>
                <a:ln w="15875">
                  <a:solidFill>
                    <a:srgbClr val="FFC00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B832-4687-AEC3-A8F46CDBFE26}"/>
              </c:ext>
            </c:extLst>
          </c:dPt>
          <c:dPt>
            <c:idx val="13"/>
            <c:marker>
              <c:symbol val="circle"/>
              <c:size val="8"/>
              <c:spPr>
                <a:solidFill>
                  <a:srgbClr val="FFC000"/>
                </a:solidFill>
                <a:ln w="15875">
                  <a:solidFill>
                    <a:srgbClr val="FFC00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B832-4687-AEC3-A8F46CDBFE26}"/>
              </c:ext>
            </c:extLst>
          </c:dPt>
          <c:dPt>
            <c:idx val="14"/>
            <c:marker>
              <c:symbol val="circle"/>
              <c:size val="8"/>
              <c:spPr>
                <a:solidFill>
                  <a:schemeClr val="tx2">
                    <a:lumMod val="60000"/>
                    <a:lumOff val="40000"/>
                  </a:schemeClr>
                </a:solidFill>
                <a:ln w="15875">
                  <a:solidFill>
                    <a:schemeClr val="tx2">
                      <a:lumMod val="60000"/>
                      <a:lumOff val="40000"/>
                      <a:alpha val="79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9-B832-4687-AEC3-A8F46CDBFE26}"/>
              </c:ext>
            </c:extLst>
          </c:dPt>
          <c:dPt>
            <c:idx val="15"/>
            <c:marker>
              <c:symbol val="circle"/>
              <c:size val="8"/>
              <c:spPr>
                <a:solidFill>
                  <a:srgbClr val="92D050"/>
                </a:solidFill>
                <a:ln w="15875">
                  <a:solidFill>
                    <a:srgbClr val="92D05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B832-4687-AEC3-A8F46CDBFE26}"/>
              </c:ext>
            </c:extLst>
          </c:dPt>
          <c:dPt>
            <c:idx val="16"/>
            <c:marker>
              <c:symbol val="circle"/>
              <c:size val="8"/>
              <c:spPr>
                <a:solidFill>
                  <a:srgbClr val="FFC000"/>
                </a:solidFill>
                <a:ln w="15875">
                  <a:solidFill>
                    <a:srgbClr val="FFC00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B832-4687-AEC3-A8F46CDBFE26}"/>
              </c:ext>
            </c:extLst>
          </c:dPt>
          <c:dPt>
            <c:idx val="17"/>
            <c:marker>
              <c:symbol val="circle"/>
              <c:size val="8"/>
              <c:spPr>
                <a:solidFill>
                  <a:schemeClr val="accent2"/>
                </a:solidFill>
                <a:ln w="15875">
                  <a:solidFill>
                    <a:schemeClr val="accent2">
                      <a:alpha val="79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8-B832-4687-AEC3-A8F46CDBFE26}"/>
              </c:ext>
            </c:extLst>
          </c:dPt>
          <c:dPt>
            <c:idx val="18"/>
            <c:marker>
              <c:symbol val="circle"/>
              <c:size val="8"/>
              <c:spPr>
                <a:solidFill>
                  <a:srgbClr val="92D050"/>
                </a:solidFill>
                <a:ln w="15875">
                  <a:solidFill>
                    <a:srgbClr val="92D05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B832-4687-AEC3-A8F46CDBFE26}"/>
              </c:ext>
            </c:extLst>
          </c:dPt>
          <c:dPt>
            <c:idx val="19"/>
            <c:marker>
              <c:symbol val="circle"/>
              <c:size val="8"/>
              <c:spPr>
                <a:solidFill>
                  <a:srgbClr val="FFC000"/>
                </a:solidFill>
                <a:ln w="15875">
                  <a:solidFill>
                    <a:srgbClr val="FFC00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B832-4687-AEC3-A8F46CDBFE26}"/>
              </c:ext>
            </c:extLst>
          </c:dPt>
          <c:dPt>
            <c:idx val="22"/>
            <c:marker>
              <c:symbol val="circle"/>
              <c:size val="8"/>
              <c:spPr>
                <a:solidFill>
                  <a:srgbClr val="FFC000"/>
                </a:solidFill>
                <a:ln w="15875">
                  <a:solidFill>
                    <a:srgbClr val="FFC00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B832-4687-AEC3-A8F46CDBFE26}"/>
              </c:ext>
            </c:extLst>
          </c:dPt>
          <c:dPt>
            <c:idx val="23"/>
            <c:marker>
              <c:symbol val="circle"/>
              <c:size val="8"/>
              <c:spPr>
                <a:solidFill>
                  <a:srgbClr val="92D050"/>
                </a:solidFill>
                <a:ln w="15875">
                  <a:solidFill>
                    <a:srgbClr val="92D05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B832-4687-AEC3-A8F46CDBFE26}"/>
              </c:ext>
            </c:extLst>
          </c:dPt>
          <c:dPt>
            <c:idx val="24"/>
            <c:marker>
              <c:symbol val="circle"/>
              <c:size val="8"/>
              <c:spPr>
                <a:solidFill>
                  <a:srgbClr val="92D050"/>
                </a:solidFill>
                <a:ln w="15875">
                  <a:solidFill>
                    <a:srgbClr val="92D050">
                      <a:alpha val="79000"/>
                    </a:srgb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B832-4687-AEC3-A8F46CDBFE26}"/>
              </c:ext>
            </c:extLst>
          </c:dPt>
          <c:dPt>
            <c:idx val="25"/>
            <c:marker>
              <c:symbol val="circle"/>
              <c:size val="8"/>
              <c:spPr>
                <a:solidFill>
                  <a:schemeClr val="accent4">
                    <a:lumMod val="60000"/>
                    <a:lumOff val="40000"/>
                  </a:schemeClr>
                </a:solidFill>
                <a:ln w="15875">
                  <a:solidFill>
                    <a:schemeClr val="accent4">
                      <a:lumMod val="60000"/>
                      <a:lumOff val="40000"/>
                      <a:alpha val="79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B832-4687-AEC3-A8F46CDBFE26}"/>
              </c:ext>
            </c:extLst>
          </c:dPt>
          <c:val>
            <c:numRef>
              <c:f>'Precios y Cant. hist.'!$L$3:$L$28</c:f>
              <c:numCache>
                <c:formatCode>General</c:formatCode>
                <c:ptCount val="26"/>
                <c:pt idx="0">
                  <c:v>1.83</c:v>
                </c:pt>
                <c:pt idx="1">
                  <c:v>1.9</c:v>
                </c:pt>
                <c:pt idx="2">
                  <c:v>1.85</c:v>
                </c:pt>
                <c:pt idx="3">
                  <c:v>1.87</c:v>
                </c:pt>
                <c:pt idx="4">
                  <c:v>1.8169999999999999</c:v>
                </c:pt>
                <c:pt idx="5">
                  <c:v>1.85</c:v>
                </c:pt>
                <c:pt idx="6">
                  <c:v>1.9139999999999999</c:v>
                </c:pt>
                <c:pt idx="7">
                  <c:v>1.907</c:v>
                </c:pt>
                <c:pt idx="8">
                  <c:v>1.89</c:v>
                </c:pt>
                <c:pt idx="9">
                  <c:v>1.9770000000000001</c:v>
                </c:pt>
                <c:pt idx="10">
                  <c:v>1.835</c:v>
                </c:pt>
                <c:pt idx="11">
                  <c:v>1.8759999999999999</c:v>
                </c:pt>
                <c:pt idx="12">
                  <c:v>1.861</c:v>
                </c:pt>
                <c:pt idx="13">
                  <c:v>1.87</c:v>
                </c:pt>
                <c:pt idx="14">
                  <c:v>2.0350000000000001</c:v>
                </c:pt>
                <c:pt idx="15">
                  <c:v>1.8520000000000001</c:v>
                </c:pt>
                <c:pt idx="16">
                  <c:v>1.863</c:v>
                </c:pt>
                <c:pt idx="17">
                  <c:v>1.962</c:v>
                </c:pt>
                <c:pt idx="18">
                  <c:v>1.847</c:v>
                </c:pt>
                <c:pt idx="19">
                  <c:v>1.86</c:v>
                </c:pt>
                <c:pt idx="20">
                  <c:v>1.794</c:v>
                </c:pt>
                <c:pt idx="21">
                  <c:v>1.792</c:v>
                </c:pt>
                <c:pt idx="22">
                  <c:v>1.8640000000000001</c:v>
                </c:pt>
                <c:pt idx="23">
                  <c:v>1.829</c:v>
                </c:pt>
                <c:pt idx="24">
                  <c:v>1.845</c:v>
                </c:pt>
                <c:pt idx="25">
                  <c:v>1.946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'Precios y Cantidades'!#REF!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832-4687-AEC3-A8F46CDBF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158416"/>
        <c:axId val="287164176"/>
      </c:lineChart>
      <c:catAx>
        <c:axId val="287158416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87164176"/>
        <c:crosses val="autoZero"/>
        <c:auto val="0"/>
        <c:lblAlgn val="ctr"/>
        <c:lblOffset val="100"/>
        <c:noMultiLvlLbl val="0"/>
      </c:catAx>
      <c:valAx>
        <c:axId val="287164176"/>
        <c:scaling>
          <c:orientation val="minMax"/>
          <c:min val="1.750000000000000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28715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7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Tarifas abonadas por crianza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'Precios y Cant. hist.'!$M$2</c:f>
              <c:strCache>
                <c:ptCount val="1"/>
                <c:pt idx="0">
                  <c:v>Tarifa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'Precios y Cant. hist.'!$M$3:$M$28</c:f>
              <c:numCache>
                <c:formatCode>"$"\ #,##0.00</c:formatCode>
                <c:ptCount val="26"/>
                <c:pt idx="0">
                  <c:v>6.6</c:v>
                </c:pt>
                <c:pt idx="1">
                  <c:v>6.8</c:v>
                </c:pt>
                <c:pt idx="2">
                  <c:v>7.8</c:v>
                </c:pt>
                <c:pt idx="3">
                  <c:v>8.6</c:v>
                </c:pt>
                <c:pt idx="4">
                  <c:v>9.5</c:v>
                </c:pt>
                <c:pt idx="5">
                  <c:v>12</c:v>
                </c:pt>
                <c:pt idx="6">
                  <c:v>12.3</c:v>
                </c:pt>
                <c:pt idx="7">
                  <c:v>12.5</c:v>
                </c:pt>
                <c:pt idx="8">
                  <c:v>16.5</c:v>
                </c:pt>
                <c:pt idx="9">
                  <c:v>16.5</c:v>
                </c:pt>
                <c:pt idx="10">
                  <c:v>17.5</c:v>
                </c:pt>
                <c:pt idx="11">
                  <c:v>18.5</c:v>
                </c:pt>
                <c:pt idx="12">
                  <c:v>19.5</c:v>
                </c:pt>
                <c:pt idx="13">
                  <c:v>21</c:v>
                </c:pt>
                <c:pt idx="14">
                  <c:v>23</c:v>
                </c:pt>
                <c:pt idx="15">
                  <c:v>27</c:v>
                </c:pt>
                <c:pt idx="16">
                  <c:v>30</c:v>
                </c:pt>
                <c:pt idx="17">
                  <c:v>31.5</c:v>
                </c:pt>
                <c:pt idx="18">
                  <c:v>33.5</c:v>
                </c:pt>
                <c:pt idx="19">
                  <c:v>38.5</c:v>
                </c:pt>
                <c:pt idx="20">
                  <c:v>43</c:v>
                </c:pt>
                <c:pt idx="21">
                  <c:v>50</c:v>
                </c:pt>
                <c:pt idx="22">
                  <c:v>65</c:v>
                </c:pt>
                <c:pt idx="23">
                  <c:v>73</c:v>
                </c:pt>
                <c:pt idx="24">
                  <c:v>80</c:v>
                </c:pt>
                <c:pt idx="25">
                  <c:v>94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'Precios y Cantidades'!#REF!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A05-4445-9446-92CBD28AD42E}"/>
            </c:ext>
          </c:extLst>
        </c:ser>
        <c:ser>
          <c:idx val="1"/>
          <c:order val="1"/>
          <c:tx>
            <c:strRef>
              <c:f>'Precios y Cant. hist.'!$N$2</c:f>
              <c:strCache>
                <c:ptCount val="1"/>
                <c:pt idx="0">
                  <c:v>Tarifa ajustada (Dic2022)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'Precios y Cant. hist.'!$N$3:$N$28</c:f>
              <c:numCache>
                <c:formatCode>"$"\ #,##0.00</c:formatCode>
                <c:ptCount val="26"/>
                <c:pt idx="0">
                  <c:v>54.758404313819547</c:v>
                </c:pt>
                <c:pt idx="1">
                  <c:v>53.279783267601402</c:v>
                </c:pt>
                <c:pt idx="2">
                  <c:v>53.557695159052109</c:v>
                </c:pt>
                <c:pt idx="3">
                  <c:v>51.460615758337781</c:v>
                </c:pt>
                <c:pt idx="4">
                  <c:v>52.334108656608592</c:v>
                </c:pt>
                <c:pt idx="5">
                  <c:v>60.367256813737882</c:v>
                </c:pt>
                <c:pt idx="6">
                  <c:v>58.242812104953231</c:v>
                </c:pt>
                <c:pt idx="7">
                  <c:v>54.11742972479081</c:v>
                </c:pt>
                <c:pt idx="8">
                  <c:v>66.047192886642236</c:v>
                </c:pt>
                <c:pt idx="9">
                  <c:v>61.268538200597945</c:v>
                </c:pt>
                <c:pt idx="10">
                  <c:v>64.02362294731499</c:v>
                </c:pt>
                <c:pt idx="11">
                  <c:v>63.954232827769786</c:v>
                </c:pt>
                <c:pt idx="12">
                  <c:v>63.82901035627706</c:v>
                </c:pt>
                <c:pt idx="13">
                  <c:v>61.745042404088707</c:v>
                </c:pt>
                <c:pt idx="14">
                  <c:v>62.750790831999751</c:v>
                </c:pt>
                <c:pt idx="15">
                  <c:v>67.527482071542778</c:v>
                </c:pt>
                <c:pt idx="16">
                  <c:v>68.335101055272773</c:v>
                </c:pt>
                <c:pt idx="17">
                  <c:v>67.624829989509877</c:v>
                </c:pt>
                <c:pt idx="18">
                  <c:v>67.761516202713267</c:v>
                </c:pt>
                <c:pt idx="19">
                  <c:v>72.197239830574162</c:v>
                </c:pt>
                <c:pt idx="20">
                  <c:v>72.164464484186681</c:v>
                </c:pt>
                <c:pt idx="21">
                  <c:v>71.535165602012952</c:v>
                </c:pt>
                <c:pt idx="22">
                  <c:v>80.941312429510731</c:v>
                </c:pt>
                <c:pt idx="23">
                  <c:v>80.513662309736716</c:v>
                </c:pt>
                <c:pt idx="24">
                  <c:v>84.822298853107412</c:v>
                </c:pt>
                <c:pt idx="25">
                  <c:v>114.4284150847775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'Precios y Cantidades'!#REF!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A05-4445-9446-92CBD28AD4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045840"/>
        <c:axId val="698046320"/>
      </c:lineChart>
      <c:catAx>
        <c:axId val="698045840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698046320"/>
        <c:crosses val="autoZero"/>
        <c:auto val="0"/>
        <c:lblAlgn val="ctr"/>
        <c:lblOffset val="100"/>
        <c:noMultiLvlLbl val="0"/>
      </c:catAx>
      <c:valAx>
        <c:axId val="69804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698045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7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Tarifa ajustada (Dic 2022)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'Precios y Cant. hist.'!$N$2</c:f>
              <c:strCache>
                <c:ptCount val="1"/>
                <c:pt idx="0">
                  <c:v>Tarifa ajustada (Dic2022)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'Precios y Cant. hist.'!$N$3:$N$28</c:f>
              <c:numCache>
                <c:formatCode>"$"\ #,##0.00</c:formatCode>
                <c:ptCount val="26"/>
                <c:pt idx="0">
                  <c:v>54.758404313819547</c:v>
                </c:pt>
                <c:pt idx="1">
                  <c:v>53.279783267601402</c:v>
                </c:pt>
                <c:pt idx="2">
                  <c:v>53.557695159052109</c:v>
                </c:pt>
                <c:pt idx="3">
                  <c:v>51.460615758337781</c:v>
                </c:pt>
                <c:pt idx="4">
                  <c:v>52.334108656608592</c:v>
                </c:pt>
                <c:pt idx="5">
                  <c:v>60.367256813737882</c:v>
                </c:pt>
                <c:pt idx="6">
                  <c:v>58.242812104953231</c:v>
                </c:pt>
                <c:pt idx="7">
                  <c:v>54.11742972479081</c:v>
                </c:pt>
                <c:pt idx="8">
                  <c:v>66.047192886642236</c:v>
                </c:pt>
                <c:pt idx="9">
                  <c:v>61.268538200597945</c:v>
                </c:pt>
                <c:pt idx="10">
                  <c:v>64.02362294731499</c:v>
                </c:pt>
                <c:pt idx="11">
                  <c:v>63.954232827769786</c:v>
                </c:pt>
                <c:pt idx="12">
                  <c:v>63.82901035627706</c:v>
                </c:pt>
                <c:pt idx="13">
                  <c:v>61.745042404088707</c:v>
                </c:pt>
                <c:pt idx="14">
                  <c:v>62.750790831999751</c:v>
                </c:pt>
                <c:pt idx="15">
                  <c:v>67.527482071542778</c:v>
                </c:pt>
                <c:pt idx="16">
                  <c:v>68.335101055272773</c:v>
                </c:pt>
                <c:pt idx="17">
                  <c:v>67.624829989509877</c:v>
                </c:pt>
                <c:pt idx="18">
                  <c:v>67.761516202713267</c:v>
                </c:pt>
                <c:pt idx="19">
                  <c:v>72.197239830574162</c:v>
                </c:pt>
                <c:pt idx="20">
                  <c:v>72.164464484186681</c:v>
                </c:pt>
                <c:pt idx="21">
                  <c:v>71.535165602012952</c:v>
                </c:pt>
                <c:pt idx="22">
                  <c:v>80.941312429510731</c:v>
                </c:pt>
                <c:pt idx="23">
                  <c:v>80.513662309736716</c:v>
                </c:pt>
                <c:pt idx="24">
                  <c:v>84.822298853107412</c:v>
                </c:pt>
                <c:pt idx="25">
                  <c:v>114.4284150847775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'Precios y Cantidades'!#REF!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3988-4457-ADD6-E7C008042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4696704"/>
        <c:axId val="754684704"/>
      </c:lineChart>
      <c:catAx>
        <c:axId val="754696704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4684704"/>
        <c:crosses val="autoZero"/>
        <c:auto val="0"/>
        <c:lblAlgn val="ctr"/>
        <c:lblOffset val="100"/>
        <c:noMultiLvlLbl val="0"/>
      </c:catAx>
      <c:valAx>
        <c:axId val="754684704"/>
        <c:scaling>
          <c:orientation val="minMax"/>
          <c:max val="12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469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7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Ingreso Total ajustado (Dic2022)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'Precios y Cant. hist.'!$S$2</c:f>
              <c:strCache>
                <c:ptCount val="1"/>
                <c:pt idx="0">
                  <c:v>Ingreso Total ajustado (Dic2022)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'Precios y Cant. hist.'!$S$3:$S$28</c:f>
              <c:numCache>
                <c:formatCode>"$"\ #,##0.00</c:formatCode>
                <c:ptCount val="26"/>
                <c:pt idx="0">
                  <c:v>3936198.3772902908</c:v>
                </c:pt>
                <c:pt idx="1">
                  <c:v>5571307.096943276</c:v>
                </c:pt>
                <c:pt idx="2">
                  <c:v>5517299.5245049112</c:v>
                </c:pt>
                <c:pt idx="3">
                  <c:v>5167006.0464474205</c:v>
                </c:pt>
                <c:pt idx="4">
                  <c:v>5248430.7548453063</c:v>
                </c:pt>
                <c:pt idx="5">
                  <c:v>6637078.0503864121</c:v>
                </c:pt>
                <c:pt idx="6">
                  <c:v>6395060.7691238653</c:v>
                </c:pt>
                <c:pt idx="7">
                  <c:v>5891493.9869893519</c:v>
                </c:pt>
                <c:pt idx="8">
                  <c:v>6881853.3100165743</c:v>
                </c:pt>
                <c:pt idx="9">
                  <c:v>6234441.3731400445</c:v>
                </c:pt>
                <c:pt idx="10">
                  <c:v>6841564.348150081</c:v>
                </c:pt>
                <c:pt idx="11">
                  <c:v>6969412.5224062121</c:v>
                </c:pt>
                <c:pt idx="12">
                  <c:v>6949830.305612159</c:v>
                </c:pt>
                <c:pt idx="13">
                  <c:v>6760835.1630780967</c:v>
                </c:pt>
                <c:pt idx="14">
                  <c:v>6484101.9674613662</c:v>
                </c:pt>
                <c:pt idx="15">
                  <c:v>7148054.0872010887</c:v>
                </c:pt>
                <c:pt idx="16">
                  <c:v>7455496.1953323716</c:v>
                </c:pt>
                <c:pt idx="17">
                  <c:v>7128062.829874278</c:v>
                </c:pt>
                <c:pt idx="18">
                  <c:v>7192952.7064342154</c:v>
                </c:pt>
                <c:pt idx="19">
                  <c:v>7296975.029676131</c:v>
                </c:pt>
                <c:pt idx="20">
                  <c:v>7490454.9200651255</c:v>
                </c:pt>
                <c:pt idx="21">
                  <c:v>7811640.0837398153</c:v>
                </c:pt>
                <c:pt idx="22">
                  <c:v>8575165.4627196565</c:v>
                </c:pt>
                <c:pt idx="23">
                  <c:v>8164165.8718696125</c:v>
                </c:pt>
                <c:pt idx="24">
                  <c:v>8332009.5940418877</c:v>
                </c:pt>
                <c:pt idx="25">
                  <c:v>11521797.114886247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'Precios y Cantidades'!#REF!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30D-4393-A3C8-A9D779A07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54885264"/>
        <c:axId val="754882384"/>
      </c:lineChart>
      <c:catAx>
        <c:axId val="754885264"/>
        <c:scaling>
          <c:orientation val="minMax"/>
        </c:scaling>
        <c:delete val="0"/>
        <c:axPos val="b"/>
        <c:numFmt formatCode="d\-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4882384"/>
        <c:crosses val="autoZero"/>
        <c:auto val="0"/>
        <c:lblAlgn val="ctr"/>
        <c:lblOffset val="100"/>
        <c:noMultiLvlLbl val="0"/>
      </c:catAx>
      <c:valAx>
        <c:axId val="754882384"/>
        <c:scaling>
          <c:orientation val="minMax"/>
          <c:max val="12000000"/>
          <c:min val="3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4885264"/>
        <c:crosses val="autoZero"/>
        <c:crossBetween val="between"/>
        <c:majorUnit val="100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AR" sz="17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Salarios ajustados por IPC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'Costos hist. - Mano de Obra'!$S$2</c:f>
              <c:strCache>
                <c:ptCount val="1"/>
                <c:pt idx="0">
                  <c:v>Salarios 2020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'Costos hist. - Mano de Obra'!$R$3:$R$14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Mano de Obra'!$S$3:$S$14</c:f>
              <c:numCache>
                <c:formatCode>"$"\ #,##0.00</c:formatCode>
                <c:ptCount val="12"/>
                <c:pt idx="0">
                  <c:v>256143.31804002426</c:v>
                </c:pt>
                <c:pt idx="1">
                  <c:v>330429.87472141004</c:v>
                </c:pt>
                <c:pt idx="2">
                  <c:v>294272.13076378917</c:v>
                </c:pt>
                <c:pt idx="3">
                  <c:v>303386.84845828806</c:v>
                </c:pt>
                <c:pt idx="4">
                  <c:v>306577.47423946986</c:v>
                </c:pt>
                <c:pt idx="5">
                  <c:v>461980.11384396639</c:v>
                </c:pt>
                <c:pt idx="6">
                  <c:v>310453.37268512277</c:v>
                </c:pt>
                <c:pt idx="7">
                  <c:v>302014.21028370282</c:v>
                </c:pt>
                <c:pt idx="8">
                  <c:v>296683.71145021159</c:v>
                </c:pt>
                <c:pt idx="9">
                  <c:v>350534.57660282956</c:v>
                </c:pt>
                <c:pt idx="10">
                  <c:v>323219.89527700125</c:v>
                </c:pt>
                <c:pt idx="11">
                  <c:v>475744.7241158816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1-418D-9EB5-0CEEBF85423F}"/>
            </c:ext>
          </c:extLst>
        </c:ser>
        <c:ser>
          <c:idx val="1"/>
          <c:order val="1"/>
          <c:tx>
            <c:strRef>
              <c:f>'Costos hist. - Mano de Obra'!$T$2</c:f>
              <c:strCache>
                <c:ptCount val="1"/>
                <c:pt idx="0">
                  <c:v>Salarios 2021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'Costos hist. - Mano de Obra'!$R$3:$R$14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Mano de Obra'!$T$3:$T$14</c:f>
              <c:numCache>
                <c:formatCode>"$"\ #,##0.00</c:formatCode>
                <c:ptCount val="12"/>
                <c:pt idx="0">
                  <c:v>363869.37871136749</c:v>
                </c:pt>
                <c:pt idx="1">
                  <c:v>321213.60816426075</c:v>
                </c:pt>
                <c:pt idx="2">
                  <c:v>294387.83290435077</c:v>
                </c:pt>
                <c:pt idx="3">
                  <c:v>312744.48807014327</c:v>
                </c:pt>
                <c:pt idx="4">
                  <c:v>265394.54220973689</c:v>
                </c:pt>
                <c:pt idx="5">
                  <c:v>404280.08633258572</c:v>
                </c:pt>
                <c:pt idx="6">
                  <c:v>249799.10554959823</c:v>
                </c:pt>
                <c:pt idx="7">
                  <c:v>314430.21048722824</c:v>
                </c:pt>
                <c:pt idx="8">
                  <c:v>305765.76246324048</c:v>
                </c:pt>
                <c:pt idx="9">
                  <c:v>343872.58902121976</c:v>
                </c:pt>
                <c:pt idx="10">
                  <c:v>336248.83397833415</c:v>
                </c:pt>
                <c:pt idx="11">
                  <c:v>548268.20419192291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1-418D-9EB5-0CEEBF85423F}"/>
            </c:ext>
          </c:extLst>
        </c:ser>
        <c:ser>
          <c:idx val="2"/>
          <c:order val="2"/>
          <c:tx>
            <c:strRef>
              <c:f>'Costos hist. - Mano de Obra'!$U$2</c:f>
              <c:strCache>
                <c:ptCount val="1"/>
                <c:pt idx="0">
                  <c:v>Salarios 2022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'Costos hist. - Mano de Obra'!$R$3:$R$14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Mano de Obra'!$U$3:$U$14</c:f>
              <c:numCache>
                <c:formatCode>"$"\ #,##0.00</c:formatCode>
                <c:ptCount val="12"/>
                <c:pt idx="0">
                  <c:v>412318.30835093884</c:v>
                </c:pt>
                <c:pt idx="1">
                  <c:v>297344.0478316946</c:v>
                </c:pt>
                <c:pt idx="2">
                  <c:v>291968.2109499647</c:v>
                </c:pt>
                <c:pt idx="3">
                  <c:v>262760.75909161411</c:v>
                </c:pt>
                <c:pt idx="4">
                  <c:v>250794.38537179388</c:v>
                </c:pt>
                <c:pt idx="5">
                  <c:v>373185.58525427978</c:v>
                </c:pt>
                <c:pt idx="6">
                  <c:v>287902.30298310542</c:v>
                </c:pt>
                <c:pt idx="7">
                  <c:v>317750.07281216263</c:v>
                </c:pt>
                <c:pt idx="8">
                  <c:v>302489.30129019899</c:v>
                </c:pt>
                <c:pt idx="9">
                  <c:v>303180.1698147381</c:v>
                </c:pt>
                <c:pt idx="10">
                  <c:v>288744.73140236142</c:v>
                </c:pt>
                <c:pt idx="11">
                  <c:v>610092.03135080705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1-418D-9EB5-0CEEBF854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1419648"/>
        <c:axId val="751420128"/>
      </c:lineChart>
      <c:catAx>
        <c:axId val="75141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1420128"/>
        <c:crosses val="autoZero"/>
        <c:auto val="1"/>
        <c:lblAlgn val="ctr"/>
        <c:lblOffset val="100"/>
        <c:noMultiLvlLbl val="0"/>
      </c:catAx>
      <c:valAx>
        <c:axId val="75142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1419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7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Cargas sociales ajustadas por</a:t>
            </a:r>
            <a:r>
              <a:rPr lang="es-AR" sz="1700" b="1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 IPC</a:t>
            </a:r>
            <a:endParaRPr lang="es-AR" sz="17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'Costos hist. - Mano de Obra'!$V$2</c:f>
              <c:strCache>
                <c:ptCount val="1"/>
                <c:pt idx="0">
                  <c:v>Cargas Sociales 2020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'Costos hist. - Mano de Obra'!$R$3:$R$14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Mano de Obra'!$V$3:$V$14</c:f>
              <c:numCache>
                <c:formatCode>"$"\ #,##0.00</c:formatCode>
                <c:ptCount val="12"/>
                <c:pt idx="0">
                  <c:v>95374.5393655933</c:v>
                </c:pt>
                <c:pt idx="1">
                  <c:v>111947.61044965156</c:v>
                </c:pt>
                <c:pt idx="2">
                  <c:v>100170.03814760012</c:v>
                </c:pt>
                <c:pt idx="3">
                  <c:v>101997.77916943902</c:v>
                </c:pt>
                <c:pt idx="4">
                  <c:v>103634.45662170251</c:v>
                </c:pt>
                <c:pt idx="5">
                  <c:v>163405.47996148255</c:v>
                </c:pt>
                <c:pt idx="6">
                  <c:v>106005.18412487824</c:v>
                </c:pt>
                <c:pt idx="7">
                  <c:v>103123.6082009806</c:v>
                </c:pt>
                <c:pt idx="8">
                  <c:v>101495.09589706134</c:v>
                </c:pt>
                <c:pt idx="9">
                  <c:v>124220.48554799342</c:v>
                </c:pt>
                <c:pt idx="10">
                  <c:v>113596.72759677735</c:v>
                </c:pt>
                <c:pt idx="11">
                  <c:v>173095.99469381705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C9-4573-808D-F7E421184012}"/>
            </c:ext>
          </c:extLst>
        </c:ser>
        <c:ser>
          <c:idx val="1"/>
          <c:order val="1"/>
          <c:tx>
            <c:strRef>
              <c:f>'Costos hist. - Mano de Obra'!$W$2</c:f>
              <c:strCache>
                <c:ptCount val="1"/>
                <c:pt idx="0">
                  <c:v>Cargas Sociales 2021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'Costos hist. - Mano de Obra'!$R$3:$R$14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Mano de Obra'!$W$3:$W$14</c:f>
              <c:numCache>
                <c:formatCode>"$"\ #,##0.00</c:formatCode>
                <c:ptCount val="12"/>
                <c:pt idx="0">
                  <c:v>108758.94726770428</c:v>
                </c:pt>
                <c:pt idx="1">
                  <c:v>103662.25176796979</c:v>
                </c:pt>
                <c:pt idx="2">
                  <c:v>104689.18692406881</c:v>
                </c:pt>
                <c:pt idx="3">
                  <c:v>112823.15372073262</c:v>
                </c:pt>
                <c:pt idx="4">
                  <c:v>93941.093687607499</c:v>
                </c:pt>
                <c:pt idx="5">
                  <c:v>148292.44483882203</c:v>
                </c:pt>
                <c:pt idx="6">
                  <c:v>88420.812960690993</c:v>
                </c:pt>
                <c:pt idx="7">
                  <c:v>115223.43871495014</c:v>
                </c:pt>
                <c:pt idx="8">
                  <c:v>112168.87174361877</c:v>
                </c:pt>
                <c:pt idx="9">
                  <c:v>110376.48902239397</c:v>
                </c:pt>
                <c:pt idx="10">
                  <c:v>110828.76277889869</c:v>
                </c:pt>
                <c:pt idx="11">
                  <c:v>166071.97290586433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C9-4573-808D-F7E421184012}"/>
            </c:ext>
          </c:extLst>
        </c:ser>
        <c:ser>
          <c:idx val="2"/>
          <c:order val="2"/>
          <c:tx>
            <c:strRef>
              <c:f>'Costos hist. - Mano de Obra'!$X$2</c:f>
              <c:strCache>
                <c:ptCount val="1"/>
                <c:pt idx="0">
                  <c:v>Cargas Sociales 2022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'Costos hist. - Mano de Obra'!$R$3:$R$14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Mano de Obra'!$X$3:$X$14</c:f>
              <c:numCache>
                <c:formatCode>"$"\ #,##0.00</c:formatCode>
                <c:ptCount val="12"/>
                <c:pt idx="0">
                  <c:v>121121.44517248182</c:v>
                </c:pt>
                <c:pt idx="1">
                  <c:v>98042.109466193986</c:v>
                </c:pt>
                <c:pt idx="2">
                  <c:v>94916.703835790424</c:v>
                </c:pt>
                <c:pt idx="3">
                  <c:v>98195.497150089155</c:v>
                </c:pt>
                <c:pt idx="4">
                  <c:v>93723.581249999159</c:v>
                </c:pt>
                <c:pt idx="5">
                  <c:v>135532.34440240456</c:v>
                </c:pt>
                <c:pt idx="6">
                  <c:v>109986.26129136549</c:v>
                </c:pt>
                <c:pt idx="7">
                  <c:v>122786.64282374523</c:v>
                </c:pt>
                <c:pt idx="8">
                  <c:v>116954.0647532642</c:v>
                </c:pt>
                <c:pt idx="9">
                  <c:v>117675.58226179813</c:v>
                </c:pt>
                <c:pt idx="10">
                  <c:v>116511.44775423993</c:v>
                </c:pt>
                <c:pt idx="11">
                  <c:v>177288.85135664989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CC9-4573-808D-F7E421184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6171040"/>
        <c:axId val="756165760"/>
      </c:lineChart>
      <c:catAx>
        <c:axId val="75617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6165760"/>
        <c:crosses val="autoZero"/>
        <c:auto val="1"/>
        <c:lblAlgn val="ctr"/>
        <c:lblOffset val="100"/>
        <c:noMultiLvlLbl val="0"/>
      </c:catAx>
      <c:valAx>
        <c:axId val="756165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6171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700" b="1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Cargas sindicales ajustadas por IPC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'Costos hist. - Mano de Obra'!$Y$2</c:f>
              <c:strCache>
                <c:ptCount val="1"/>
                <c:pt idx="0">
                  <c:v>Cargas Sindicales 2020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'Costos hist. - Mano de Obra'!$R$3:$R$14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Mano de Obra'!$Y$3:$Y$14</c:f>
              <c:numCache>
                <c:formatCode>"$"\ #,##0.00</c:formatCode>
                <c:ptCount val="12"/>
                <c:pt idx="0">
                  <c:v>4027.3732998174814</c:v>
                </c:pt>
                <c:pt idx="1">
                  <c:v>5195.4172465268375</c:v>
                </c:pt>
                <c:pt idx="2">
                  <c:v>4711.9028742926694</c:v>
                </c:pt>
                <c:pt idx="3">
                  <c:v>4770.2180979630175</c:v>
                </c:pt>
                <c:pt idx="4">
                  <c:v>4820.3853994089213</c:v>
                </c:pt>
                <c:pt idx="5">
                  <c:v>7263.8508552566727</c:v>
                </c:pt>
                <c:pt idx="6">
                  <c:v>4881.3277424847165</c:v>
                </c:pt>
                <c:pt idx="7">
                  <c:v>4748.6369065079834</c:v>
                </c:pt>
                <c:pt idx="8">
                  <c:v>4664.8612555807831</c:v>
                </c:pt>
                <c:pt idx="9">
                  <c:v>5511.5378193224433</c:v>
                </c:pt>
                <c:pt idx="10">
                  <c:v>5082.0447746742366</c:v>
                </c:pt>
                <c:pt idx="11">
                  <c:v>7480.2894531159873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AD-4F22-B8D4-F8611F94DDCD}"/>
            </c:ext>
          </c:extLst>
        </c:ser>
        <c:ser>
          <c:idx val="1"/>
          <c:order val="1"/>
          <c:tx>
            <c:strRef>
              <c:f>'Costos hist. - Mano de Obra'!$Z$2</c:f>
              <c:strCache>
                <c:ptCount val="1"/>
                <c:pt idx="0">
                  <c:v>Cargas Sindicales 2021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'Costos hist. - Mano de Obra'!$R$3:$R$14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Mano de Obra'!$Z$3:$Z$14</c:f>
              <c:numCache>
                <c:formatCode>"$"\ #,##0.00</c:formatCode>
                <c:ptCount val="12"/>
                <c:pt idx="0">
                  <c:v>4743.9689915454128</c:v>
                </c:pt>
                <c:pt idx="1">
                  <c:v>4578.8940603550955</c:v>
                </c:pt>
                <c:pt idx="2">
                  <c:v>4628.7643923168107</c:v>
                </c:pt>
                <c:pt idx="3">
                  <c:v>4917.3661646248947</c:v>
                </c:pt>
                <c:pt idx="4">
                  <c:v>4172.870160530455</c:v>
                </c:pt>
                <c:pt idx="5">
                  <c:v>6356.605131015498</c:v>
                </c:pt>
                <c:pt idx="6">
                  <c:v>3927.6588922892806</c:v>
                </c:pt>
                <c:pt idx="7">
                  <c:v>4943.8718073025693</c:v>
                </c:pt>
                <c:pt idx="8">
                  <c:v>4807.4028793571142</c:v>
                </c:pt>
                <c:pt idx="9">
                  <c:v>5290.7575660856564</c:v>
                </c:pt>
                <c:pt idx="10">
                  <c:v>5173.4599361991359</c:v>
                </c:pt>
                <c:pt idx="11">
                  <c:v>7457.2650867840011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AD-4F22-B8D4-F8611F94DDCD}"/>
            </c:ext>
          </c:extLst>
        </c:ser>
        <c:ser>
          <c:idx val="2"/>
          <c:order val="2"/>
          <c:tx>
            <c:strRef>
              <c:f>'Costos hist. - Mano de Obra'!$AA$2</c:f>
              <c:strCache>
                <c:ptCount val="1"/>
                <c:pt idx="0">
                  <c:v>Cargas Sindicales 2022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'Costos hist. - Mano de Obra'!$R$3:$R$14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'Costos hist. - Mano de Obra'!$AA$3:$AA$14</c:f>
              <c:numCache>
                <c:formatCode>"$"\ #,##0.00</c:formatCode>
                <c:ptCount val="12"/>
                <c:pt idx="0">
                  <c:v>5453.3520632622431</c:v>
                </c:pt>
                <c:pt idx="1">
                  <c:v>4574.8783736263313</c:v>
                </c:pt>
                <c:pt idx="2">
                  <c:v>4496.6341588393352</c:v>
                </c:pt>
                <c:pt idx="3">
                  <c:v>4131.4521814694617</c:v>
                </c:pt>
                <c:pt idx="4">
                  <c:v>3943.3019379553884</c:v>
                </c:pt>
                <c:pt idx="5">
                  <c:v>5822.0150646973543</c:v>
                </c:pt>
                <c:pt idx="6">
                  <c:v>4526.7609781345109</c:v>
                </c:pt>
                <c:pt idx="7">
                  <c:v>4996.0722474942568</c:v>
                </c:pt>
                <c:pt idx="8">
                  <c:v>4708.1218824139496</c:v>
                </c:pt>
                <c:pt idx="9">
                  <c:v>4766.9840853886981</c:v>
                </c:pt>
                <c:pt idx="10">
                  <c:v>4540.0117698198483</c:v>
                </c:pt>
                <c:pt idx="11">
                  <c:v>7031.6505782810582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1AD-4F22-B8D4-F8611F94D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4890064"/>
        <c:axId val="754875184"/>
      </c:lineChart>
      <c:catAx>
        <c:axId val="75489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4875184"/>
        <c:crosses val="autoZero"/>
        <c:auto val="1"/>
        <c:lblAlgn val="ctr"/>
        <c:lblOffset val="100"/>
        <c:noMultiLvlLbl val="0"/>
      </c:catAx>
      <c:valAx>
        <c:axId val="754875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AR"/>
          </a:p>
        </c:txPr>
        <c:crossAx val="754890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A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259773</xdr:colOff>
      <xdr:row>36</xdr:row>
      <xdr:rowOff>86590</xdr:rowOff>
    </xdr:from>
    <xdr:to>
      <xdr:col>12</xdr:col>
      <xdr:colOff>45720</xdr:colOff>
      <xdr:row>61</xdr:row>
      <xdr:rowOff>25630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9C746EE-61BB-49A0-F74E-073EF7FF38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514516</xdr:colOff>
      <xdr:row>35</xdr:row>
      <xdr:rowOff>188712</xdr:rowOff>
    </xdr:from>
    <xdr:to>
      <xdr:col>18</xdr:col>
      <xdr:colOff>919538</xdr:colOff>
      <xdr:row>57</xdr:row>
      <xdr:rowOff>36312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16F6EDF-7BBA-D683-54BE-706F611227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134471</xdr:colOff>
      <xdr:row>36</xdr:row>
      <xdr:rowOff>129988</xdr:rowOff>
    </xdr:from>
    <xdr:to>
      <xdr:col>5</xdr:col>
      <xdr:colOff>0</xdr:colOff>
      <xdr:row>60</xdr:row>
      <xdr:rowOff>44824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D853E4-7E78-E6F5-A3C4-EE409FBD73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103907</xdr:colOff>
      <xdr:row>60</xdr:row>
      <xdr:rowOff>180656</xdr:rowOff>
    </xdr:from>
    <xdr:to>
      <xdr:col>4</xdr:col>
      <xdr:colOff>845529</xdr:colOff>
      <xdr:row>83</xdr:row>
      <xdr:rowOff>18229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82CEC10B-2416-4007-551F-ED623285AF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138545</xdr:colOff>
      <xdr:row>61</xdr:row>
      <xdr:rowOff>121227</xdr:rowOff>
    </xdr:from>
    <xdr:to>
      <xdr:col>11</xdr:col>
      <xdr:colOff>1068351</xdr:colOff>
      <xdr:row>81</xdr:row>
      <xdr:rowOff>156198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C86F944-3A9E-A1AD-5258-0A6B4E783A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205893</xdr:colOff>
      <xdr:row>58</xdr:row>
      <xdr:rowOff>124832</xdr:rowOff>
    </xdr:from>
    <xdr:to>
      <xdr:col>18</xdr:col>
      <xdr:colOff>196272</xdr:colOff>
      <xdr:row>87</xdr:row>
      <xdr:rowOff>13469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32B5A996-AE8A-3AE9-8228-5D91477054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388274</xdr:colOff>
      <xdr:row>16</xdr:row>
      <xdr:rowOff>129902</xdr:rowOff>
    </xdr:from>
    <xdr:to>
      <xdr:col>21</xdr:col>
      <xdr:colOff>941687</xdr:colOff>
      <xdr:row>37</xdr:row>
      <xdr:rowOff>89753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7F8360-E80C-004A-C44F-A81F7F637E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651224</xdr:colOff>
      <xdr:row>16</xdr:row>
      <xdr:rowOff>169312</xdr:rowOff>
    </xdr:from>
    <xdr:to>
      <xdr:col>17</xdr:col>
      <xdr:colOff>514094</xdr:colOff>
      <xdr:row>35</xdr:row>
      <xdr:rowOff>141317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1A9589E-54DD-325C-415C-220CCBAA14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328419</xdr:colOff>
      <xdr:row>16</xdr:row>
      <xdr:rowOff>192935</xdr:rowOff>
    </xdr:from>
    <xdr:to>
      <xdr:col>26</xdr:col>
      <xdr:colOff>1063186</xdr:colOff>
      <xdr:row>37</xdr:row>
      <xdr:rowOff>172136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BA18B44-630B-7E10-709D-9DD4BA8B30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931984</xdr:colOff>
      <xdr:row>30</xdr:row>
      <xdr:rowOff>172623</xdr:rowOff>
    </xdr:from>
    <xdr:to>
      <xdr:col>12</xdr:col>
      <xdr:colOff>386861</xdr:colOff>
      <xdr:row>47</xdr:row>
      <xdr:rowOff>70339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2F07C1-20A7-5D8F-D0F5-7E71588D71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206817</xdr:colOff>
      <xdr:row>21</xdr:row>
      <xdr:rowOff>107992</xdr:rowOff>
    </xdr:from>
    <xdr:to>
      <xdr:col>14</xdr:col>
      <xdr:colOff>23754</xdr:colOff>
      <xdr:row>37</xdr:row>
      <xdr:rowOff>34453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13CE0F3-D5E1-C17B-90F2-6CEF256B0C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258379</xdr:colOff>
      <xdr:row>23</xdr:row>
      <xdr:rowOff>82330</xdr:rowOff>
    </xdr:from>
    <xdr:to>
      <xdr:col>17</xdr:col>
      <xdr:colOff>779123</xdr:colOff>
      <xdr:row>41</xdr:row>
      <xdr:rowOff>34246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3A98CB7-A91C-68B4-F947-5FB9EE65FE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30480</xdr:colOff>
      <xdr:row>1</xdr:row>
      <xdr:rowOff>79058</xdr:rowOff>
    </xdr:from>
    <xdr:to>
      <xdr:col>9</xdr:col>
      <xdr:colOff>31458</xdr:colOff>
      <xdr:row>4</xdr:row>
      <xdr:rowOff>109721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9DFF21A-9050-4655-849B-3CB64BDB2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23860" y="300038"/>
          <a:ext cx="3170898" cy="594543"/>
        </a:xfrm>
        <a:prstGeom prst="rect">
          <a:avLst/>
        </a:prstGeom>
        <a:ln w="22225">
          <a:solidFill>
            <a:schemeClr val="tx1"/>
          </a:solidFill>
        </a:ln>
      </xdr:spPr>
    </xdr:pic>
    <xdr:clientData/>
  </xdr:twoCellAnchor>
  <xdr:twoCellAnchor editAs="oneCell">
    <xdr:from>
      <xdr:col>5</xdr:col>
      <xdr:colOff>22860</xdr:colOff>
      <xdr:row>5</xdr:row>
      <xdr:rowOff>22860</xdr:rowOff>
    </xdr:from>
    <xdr:to>
      <xdr:col>8</xdr:col>
      <xdr:colOff>284405</xdr:colOff>
      <xdr:row>9</xdr:row>
      <xdr:rowOff>29656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28E9F9F-B052-49F6-A78E-46E9CAEF4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16240" y="990600"/>
          <a:ext cx="2638985" cy="745936"/>
        </a:xfrm>
        <a:prstGeom prst="rect">
          <a:avLst/>
        </a:prstGeom>
        <a:ln w="19050">
          <a:solidFill>
            <a:schemeClr val="tx1"/>
          </a:solidFill>
        </a:ln>
      </xdr:spPr>
    </xdr:pic>
    <xdr:clientData/>
  </xdr:twoCellAnchor>
  <xdr:twoCellAnchor editAs="oneCell">
    <xdr:from>
      <xdr:col>5</xdr:col>
      <xdr:colOff>30481</xdr:colOff>
      <xdr:row>9</xdr:row>
      <xdr:rowOff>145169</xdr:rowOff>
    </xdr:from>
    <xdr:to>
      <xdr:col>8</xdr:col>
      <xdr:colOff>289561</xdr:colOff>
      <xdr:row>13</xdr:row>
      <xdr:rowOff>120797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91FC985-FBBB-7857-1703-90935CF7A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023861" y="1852049"/>
          <a:ext cx="2636520" cy="737628"/>
        </a:xfrm>
        <a:prstGeom prst="rect">
          <a:avLst/>
        </a:prstGeom>
        <a:ln w="19050">
          <a:solidFill>
            <a:schemeClr val="tx1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762000</xdr:colOff>
      <xdr:row>14</xdr:row>
      <xdr:rowOff>19050</xdr:rowOff>
    </xdr:from>
    <xdr:to>
      <xdr:col>6</xdr:col>
      <xdr:colOff>137160</xdr:colOff>
      <xdr:row>31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797FBFC-7CC9-3930-F393-944FA286C7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213361</xdr:colOff>
      <xdr:row>23</xdr:row>
      <xdr:rowOff>171450</xdr:rowOff>
    </xdr:from>
    <xdr:to>
      <xdr:col>2</xdr:col>
      <xdr:colOff>514866</xdr:colOff>
      <xdr:row>36</xdr:row>
      <xdr:rowOff>102973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717DA8B-E253-DDB5-69C8-B7156A2C8D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683327</xdr:colOff>
      <xdr:row>24</xdr:row>
      <xdr:rowOff>25847</xdr:rowOff>
    </xdr:from>
    <xdr:to>
      <xdr:col>5</xdr:col>
      <xdr:colOff>761999</xdr:colOff>
      <xdr:row>35</xdr:row>
      <xdr:rowOff>164757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FF7A341-C4B4-77E1-38C9-EC75A96358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160020</xdr:colOff>
      <xdr:row>23</xdr:row>
      <xdr:rowOff>120480</xdr:rowOff>
    </xdr:from>
    <xdr:to>
      <xdr:col>7</xdr:col>
      <xdr:colOff>1153297</xdr:colOff>
      <xdr:row>37</xdr:row>
      <xdr:rowOff>41191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3434E5B-11BE-5CA2-B406-109653C64E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493036</xdr:colOff>
      <xdr:row>24</xdr:row>
      <xdr:rowOff>32024</xdr:rowOff>
    </xdr:from>
    <xdr:to>
      <xdr:col>10</xdr:col>
      <xdr:colOff>1132702</xdr:colOff>
      <xdr:row>36</xdr:row>
      <xdr:rowOff>61783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A4864B9-2B9C-5750-B572-60F78E1184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rgentina.gob.ar/senasa/mercados-y-estadisticas/estadisticas/animal-estadisticas/aves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3C847-6460-4EDA-999B-92E8436AED89}">
  <dimension ref="A2:K30"/>
  <sheetViews>
    <sheetView tabSelected="1" zoomScale="92" zoomScaleNormal="138" workbookViewId="0">
      <selection activeCell="D24" sqref="D24"/>
    </sheetView>
  </sheetViews>
  <sheetFormatPr baseColWidth="10" defaultRowHeight="14.4" x14ac:dyDescent="0.3"/>
  <cols>
    <col min="1" max="1" width="4.33203125" style="41" customWidth="1"/>
    <col min="2" max="2" width="34.5546875" style="41" bestFit="1" customWidth="1"/>
    <col min="3" max="3" width="18.44140625" style="41" hidden="1" customWidth="1"/>
    <col min="4" max="4" width="16.88671875" style="41" bestFit="1" customWidth="1"/>
    <col min="5" max="6" width="17.6640625" style="41" bestFit="1" customWidth="1"/>
    <col min="7" max="7" width="18.109375" style="41" bestFit="1" customWidth="1"/>
    <col min="8" max="8" width="18.44140625" style="41" bestFit="1" customWidth="1"/>
    <col min="9" max="9" width="11.5546875" style="41"/>
    <col min="10" max="10" width="13.77734375" style="41" bestFit="1" customWidth="1"/>
    <col min="11" max="11" width="19.109375" style="41" bestFit="1" customWidth="1"/>
    <col min="12" max="16384" width="11.5546875" style="41"/>
  </cols>
  <sheetData>
    <row r="2" spans="2:11" ht="16.8" x14ac:dyDescent="0.3">
      <c r="B2" s="637" t="s">
        <v>271</v>
      </c>
      <c r="C2" s="638"/>
      <c r="D2" s="638"/>
      <c r="E2" s="638"/>
      <c r="F2" s="638"/>
      <c r="G2" s="638"/>
      <c r="H2" s="639"/>
    </row>
    <row r="3" spans="2:11" ht="15.6" x14ac:dyDescent="0.3">
      <c r="B3" s="459"/>
      <c r="C3" s="460">
        <v>0</v>
      </c>
      <c r="D3" s="460">
        <v>1</v>
      </c>
      <c r="E3" s="460">
        <v>2</v>
      </c>
      <c r="F3" s="460">
        <v>3</v>
      </c>
      <c r="G3" s="460">
        <v>4</v>
      </c>
      <c r="H3" s="461">
        <v>5</v>
      </c>
    </row>
    <row r="4" spans="2:11" ht="15.6" x14ac:dyDescent="0.3">
      <c r="B4" s="396"/>
      <c r="C4" s="462">
        <v>2022</v>
      </c>
      <c r="D4" s="462">
        <v>2023</v>
      </c>
      <c r="E4" s="462">
        <v>2024</v>
      </c>
      <c r="F4" s="462">
        <v>2025</v>
      </c>
      <c r="G4" s="462">
        <v>2026</v>
      </c>
      <c r="H4" s="463">
        <v>2027</v>
      </c>
    </row>
    <row r="5" spans="2:11" ht="15.6" x14ac:dyDescent="0.3">
      <c r="B5" s="464" t="s">
        <v>512</v>
      </c>
      <c r="C5" s="465">
        <f>'Estado de Resultados'!C11</f>
        <v>26437503.063388076</v>
      </c>
      <c r="D5" s="465">
        <f>'Estado de Resultados'!D11</f>
        <v>62693678.942800373</v>
      </c>
      <c r="E5" s="465">
        <f>'Estado de Resultados'!E11</f>
        <v>140105118.71810836</v>
      </c>
      <c r="F5" s="465">
        <f>'Estado de Resultados'!F11</f>
        <v>238025886.42691463</v>
      </c>
      <c r="G5" s="465">
        <f>'Estado de Resultados'!G11</f>
        <v>389081411.40737075</v>
      </c>
      <c r="H5" s="466">
        <f>'Estado de Resultados'!H11</f>
        <v>606398094.0142504</v>
      </c>
    </row>
    <row r="6" spans="2:11" ht="15.6" x14ac:dyDescent="0.3">
      <c r="B6" s="256" t="s">
        <v>514</v>
      </c>
      <c r="C6" s="395">
        <f>C5*35%</f>
        <v>9253126.0721858256</v>
      </c>
      <c r="D6" s="395">
        <f t="shared" ref="D6:H6" si="0">D5*35%</f>
        <v>21942787.629980128</v>
      </c>
      <c r="E6" s="395">
        <f t="shared" si="0"/>
        <v>49036791.55133792</v>
      </c>
      <c r="F6" s="395">
        <f t="shared" si="0"/>
        <v>83309060.249420121</v>
      </c>
      <c r="G6" s="395">
        <f t="shared" si="0"/>
        <v>136178493.99257976</v>
      </c>
      <c r="H6" s="397">
        <f t="shared" si="0"/>
        <v>212239332.90498763</v>
      </c>
    </row>
    <row r="7" spans="2:11" ht="15.6" x14ac:dyDescent="0.3">
      <c r="B7" s="256" t="s">
        <v>485</v>
      </c>
      <c r="C7" s="387">
        <f>'CAPEX (2022)'!O6</f>
        <v>6820855.5175044881</v>
      </c>
      <c r="D7" s="31">
        <f>'Proyecciones económicas'!C87</f>
        <v>15551550.579910235</v>
      </c>
      <c r="E7" s="31">
        <v>0</v>
      </c>
      <c r="F7" s="31">
        <v>0</v>
      </c>
      <c r="G7" s="31">
        <v>0</v>
      </c>
      <c r="H7" s="92">
        <v>0</v>
      </c>
    </row>
    <row r="8" spans="2:11" ht="15.6" x14ac:dyDescent="0.3">
      <c r="B8" s="467" t="s">
        <v>515</v>
      </c>
      <c r="C8" s="9"/>
      <c r="D8" s="105">
        <f>'Proyecciones económicas'!C91</f>
        <v>3110310.1159820473</v>
      </c>
      <c r="E8" s="105">
        <f>'Proyecciones económicas'!D91</f>
        <v>3110310.1159820473</v>
      </c>
      <c r="F8" s="105">
        <f>'Proyecciones económicas'!E91</f>
        <v>3110310.1159820473</v>
      </c>
      <c r="G8" s="105">
        <f>'Proyecciones económicas'!F91</f>
        <v>3110310.1159820473</v>
      </c>
      <c r="H8" s="468">
        <f>'Proyecciones económicas'!G91</f>
        <v>3110310.1159820473</v>
      </c>
    </row>
    <row r="9" spans="2:11" ht="15.6" x14ac:dyDescent="0.3">
      <c r="B9" s="69" t="s">
        <v>513</v>
      </c>
      <c r="C9" s="400">
        <f>'Proyecciones económicas'!B83</f>
        <v>3000000</v>
      </c>
      <c r="D9" s="156">
        <f>'Proyecciones económicas'!C83</f>
        <v>3840000.0000000009</v>
      </c>
      <c r="E9" s="156">
        <f>'Proyecciones económicas'!D83</f>
        <v>7380359.9999999991</v>
      </c>
      <c r="F9" s="156">
        <f>'Proyecciones económicas'!E83</f>
        <v>7949181.2400000021</v>
      </c>
      <c r="G9" s="156">
        <f>'Proyecciones económicas'!F83</f>
        <v>11084770.620000001</v>
      </c>
      <c r="H9" s="469">
        <f>'Proyecciones económicas'!G83</f>
        <v>14964440.337000001</v>
      </c>
    </row>
    <row r="10" spans="2:11" ht="15.6" x14ac:dyDescent="0.3">
      <c r="B10" s="403"/>
      <c r="C10" s="393"/>
      <c r="D10" s="470"/>
      <c r="E10" s="470"/>
      <c r="F10" s="470"/>
      <c r="G10" s="470"/>
      <c r="H10" s="470"/>
    </row>
    <row r="11" spans="2:11" ht="15.6" x14ac:dyDescent="0.3">
      <c r="B11" s="481" t="s">
        <v>571</v>
      </c>
      <c r="C11" s="482">
        <f>C5-C6-C7+C8-C9</f>
        <v>7363521.4736977629</v>
      </c>
      <c r="D11" s="483">
        <f t="shared" ref="D11:H11" si="1">D5-D6-D7+D8-D9</f>
        <v>24469650.848892055</v>
      </c>
      <c r="E11" s="483">
        <f t="shared" si="1"/>
        <v>86798277.282752469</v>
      </c>
      <c r="F11" s="483">
        <f t="shared" si="1"/>
        <v>149877955.05347657</v>
      </c>
      <c r="G11" s="483">
        <f t="shared" si="1"/>
        <v>244928456.91077304</v>
      </c>
      <c r="H11" s="484">
        <f t="shared" si="1"/>
        <v>382304630.88824481</v>
      </c>
      <c r="K11" s="432"/>
    </row>
    <row r="12" spans="2:11" ht="15.6" x14ac:dyDescent="0.3">
      <c r="B12" s="403"/>
      <c r="C12" s="399"/>
      <c r="D12" s="399"/>
      <c r="E12" s="399"/>
      <c r="F12" s="399"/>
      <c r="G12" s="399"/>
      <c r="H12" s="399"/>
      <c r="K12" s="473"/>
    </row>
    <row r="13" spans="2:11" ht="15.6" x14ac:dyDescent="0.3">
      <c r="B13" s="444" t="s">
        <v>572</v>
      </c>
      <c r="C13" s="399"/>
      <c r="D13" s="399"/>
      <c r="E13" s="399"/>
      <c r="F13" s="399"/>
      <c r="G13" s="399"/>
      <c r="H13" s="443">
        <f>(H11*(1+0))/H15-0</f>
        <v>474681343.2818135</v>
      </c>
    </row>
    <row r="14" spans="2:11" ht="15.6" x14ac:dyDescent="0.3">
      <c r="B14" s="441"/>
      <c r="C14" s="442"/>
      <c r="D14" s="442"/>
      <c r="E14" s="442"/>
      <c r="F14" s="442"/>
      <c r="G14" s="442"/>
      <c r="H14" s="442"/>
    </row>
    <row r="15" spans="2:11" ht="15.6" x14ac:dyDescent="0.3">
      <c r="B15" s="388" t="s">
        <v>487</v>
      </c>
      <c r="C15" s="389"/>
      <c r="D15" s="474">
        <f>'Proyecciones económicas'!C98</f>
        <v>1.7709090909090914</v>
      </c>
      <c r="E15" s="474">
        <f>'Proyecciones económicas'!D98</f>
        <v>1.580967741935484</v>
      </c>
      <c r="F15" s="474">
        <f>'Proyecciones económicas'!E98</f>
        <v>0.93920666013712095</v>
      </c>
      <c r="G15" s="474">
        <f>'Proyecciones económicas'!F98</f>
        <v>0.86764705882352922</v>
      </c>
      <c r="H15" s="475">
        <f>'Proyecciones económicas'!G98</f>
        <v>0.8053921568627449</v>
      </c>
      <c r="J15" s="432"/>
    </row>
    <row r="16" spans="2:11" ht="15.6" x14ac:dyDescent="0.3">
      <c r="B16" s="69" t="s">
        <v>502</v>
      </c>
      <c r="C16" s="390"/>
      <c r="D16" s="391">
        <f>1/((1+D15)^D3)</f>
        <v>0.3608923884514435</v>
      </c>
      <c r="E16" s="391">
        <f t="shared" ref="E16:H16" si="2">1/((1+E15)^E3)</f>
        <v>0.15011871797490131</v>
      </c>
      <c r="F16" s="391">
        <f t="shared" si="2"/>
        <v>0.13712849759543175</v>
      </c>
      <c r="G16" s="391">
        <f t="shared" si="2"/>
        <v>8.21903381050237E-2</v>
      </c>
      <c r="H16" s="392">
        <f t="shared" si="2"/>
        <v>5.213654440268134E-2</v>
      </c>
    </row>
    <row r="17" spans="1:8" ht="15.6" x14ac:dyDescent="0.3">
      <c r="B17" s="70"/>
      <c r="C17" s="355"/>
      <c r="D17" s="284"/>
      <c r="E17" s="284"/>
      <c r="F17" s="284"/>
      <c r="G17" s="284"/>
      <c r="H17" s="284"/>
    </row>
    <row r="18" spans="1:8" ht="15.6" x14ac:dyDescent="0.3">
      <c r="B18" s="477" t="s">
        <v>516</v>
      </c>
      <c r="C18" s="478">
        <f>C11</f>
        <v>7363521.4736977629</v>
      </c>
      <c r="D18" s="479">
        <f>D11*D16</f>
        <v>8830910.7394295465</v>
      </c>
      <c r="E18" s="479">
        <f>E11*E16</f>
        <v>13030046.108116802</v>
      </c>
      <c r="F18" s="479">
        <f t="shared" ref="F18:G18" si="3">F11*F16</f>
        <v>20552538.79915889</v>
      </c>
      <c r="G18" s="479">
        <f t="shared" si="3"/>
        <v>20130752.685038164</v>
      </c>
      <c r="H18" s="480">
        <f>(H11+H13)*H16</f>
        <v>44680287.294792369</v>
      </c>
    </row>
    <row r="19" spans="1:8" ht="15.6" x14ac:dyDescent="0.3">
      <c r="B19" s="135"/>
    </row>
    <row r="20" spans="1:8" ht="15.6" x14ac:dyDescent="0.3">
      <c r="A20" s="408"/>
      <c r="B20" s="136" t="s">
        <v>521</v>
      </c>
      <c r="C20" s="410">
        <f>SUM(C18:H18)</f>
        <v>114588057.10023354</v>
      </c>
      <c r="D20" s="472">
        <f>SUM(D18:H18)</f>
        <v>107224535.62653577</v>
      </c>
      <c r="E20" s="3"/>
      <c r="F20" s="3"/>
      <c r="G20" s="3"/>
      <c r="H20" s="132"/>
    </row>
    <row r="21" spans="1:8" ht="16.2" thickBot="1" x14ac:dyDescent="0.35">
      <c r="A21" s="408"/>
      <c r="B21" s="137" t="s">
        <v>522</v>
      </c>
      <c r="C21" s="409">
        <f>C20/469.8</f>
        <v>243908.16751858991</v>
      </c>
      <c r="D21" s="471">
        <f>D20/479.35</f>
        <v>223687.35918751595</v>
      </c>
      <c r="E21" s="133"/>
      <c r="F21" s="133"/>
      <c r="G21" s="133"/>
      <c r="H21" s="134"/>
    </row>
    <row r="22" spans="1:8" ht="15" thickTop="1" x14ac:dyDescent="0.3"/>
    <row r="24" spans="1:8" x14ac:dyDescent="0.3">
      <c r="D24" s="476"/>
    </row>
    <row r="28" spans="1:8" ht="15.6" x14ac:dyDescent="0.3">
      <c r="B28" s="406"/>
      <c r="C28" s="394"/>
      <c r="D28" s="394"/>
      <c r="E28" s="394"/>
      <c r="F28" s="394"/>
      <c r="G28" s="394"/>
      <c r="H28" s="394"/>
    </row>
    <row r="29" spans="1:8" ht="15.6" x14ac:dyDescent="0.3">
      <c r="B29" s="404"/>
      <c r="C29" s="398"/>
      <c r="D29" s="398"/>
      <c r="E29" s="398"/>
      <c r="F29" s="398"/>
      <c r="G29" s="398"/>
      <c r="H29" s="398"/>
    </row>
    <row r="30" spans="1:8" ht="15.6" x14ac:dyDescent="0.3">
      <c r="B30" s="403"/>
      <c r="C30" s="404"/>
      <c r="D30" s="405"/>
      <c r="E30" s="405"/>
      <c r="F30" s="405"/>
      <c r="G30" s="405"/>
      <c r="H30" s="405"/>
    </row>
  </sheetData>
  <mergeCells count="1">
    <mergeCell ref="B2:H2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B0802-702F-4BD8-85DE-F2321706A482}">
  <dimension ref="A1:T80"/>
  <sheetViews>
    <sheetView zoomScale="69" workbookViewId="0">
      <selection activeCell="L23" sqref="L23"/>
    </sheetView>
  </sheetViews>
  <sheetFormatPr baseColWidth="10" defaultRowHeight="14.4" x14ac:dyDescent="0.3"/>
  <cols>
    <col min="1" max="1" width="14.6640625" customWidth="1"/>
    <col min="2" max="2" width="21.21875" customWidth="1"/>
    <col min="3" max="3" width="11.77734375" bestFit="1" customWidth="1"/>
    <col min="4" max="4" width="14.77734375" bestFit="1" customWidth="1"/>
    <col min="5" max="5" width="11.77734375" bestFit="1" customWidth="1"/>
    <col min="6" max="6" width="13.33203125" bestFit="1" customWidth="1"/>
    <col min="7" max="7" width="24.5546875" bestFit="1" customWidth="1"/>
    <col min="8" max="8" width="23.33203125" bestFit="1" customWidth="1"/>
    <col min="9" max="9" width="16.88671875" bestFit="1" customWidth="1"/>
    <col min="10" max="10" width="19.6640625" customWidth="1"/>
    <col min="11" max="11" width="23.77734375" customWidth="1"/>
    <col min="12" max="12" width="40.88671875" bestFit="1" customWidth="1"/>
    <col min="13" max="13" width="15.33203125" bestFit="1" customWidth="1"/>
    <col min="17" max="17" width="13.33203125" bestFit="1" customWidth="1"/>
    <col min="18" max="18" width="14.88671875" bestFit="1" customWidth="1"/>
    <col min="20" max="20" width="25.109375" bestFit="1" customWidth="1"/>
  </cols>
  <sheetData>
    <row r="1" spans="1:20" ht="17.399999999999999" x14ac:dyDescent="0.3">
      <c r="A1" s="422" t="s">
        <v>332</v>
      </c>
      <c r="B1" s="148"/>
      <c r="C1" s="148"/>
      <c r="D1" s="148"/>
      <c r="E1" s="148"/>
      <c r="F1" s="148"/>
      <c r="G1" s="148"/>
      <c r="H1" s="148"/>
      <c r="I1" s="150"/>
      <c r="J1" s="150"/>
      <c r="K1" s="150"/>
      <c r="L1" s="150"/>
      <c r="M1" s="150"/>
      <c r="N1" s="670" t="s">
        <v>431</v>
      </c>
      <c r="O1" s="671"/>
      <c r="P1" s="671"/>
      <c r="Q1" s="671"/>
      <c r="R1" s="671"/>
      <c r="S1" s="671"/>
      <c r="T1" s="672"/>
    </row>
    <row r="2" spans="1:20" ht="15.6" x14ac:dyDescent="0.3">
      <c r="A2" s="21" t="s">
        <v>324</v>
      </c>
      <c r="B2" s="127" t="s">
        <v>326</v>
      </c>
      <c r="C2" s="127" t="s">
        <v>325</v>
      </c>
      <c r="D2" s="127" t="s">
        <v>327</v>
      </c>
      <c r="E2" s="127" t="s">
        <v>328</v>
      </c>
      <c r="F2" s="127" t="s">
        <v>329</v>
      </c>
      <c r="G2" s="127" t="s">
        <v>331</v>
      </c>
      <c r="H2" s="146" t="s">
        <v>330</v>
      </c>
      <c r="N2" s="10" t="s">
        <v>13</v>
      </c>
      <c r="O2" s="10" t="s">
        <v>245</v>
      </c>
      <c r="P2" s="10" t="s">
        <v>247</v>
      </c>
      <c r="Q2" s="10" t="s">
        <v>11</v>
      </c>
      <c r="R2" s="113" t="s">
        <v>246</v>
      </c>
      <c r="S2" s="113" t="s">
        <v>265</v>
      </c>
      <c r="T2" s="113" t="s">
        <v>306</v>
      </c>
    </row>
    <row r="3" spans="1:20" ht="15.6" x14ac:dyDescent="0.3">
      <c r="A3" s="145">
        <v>43920</v>
      </c>
      <c r="B3" s="11">
        <v>5400</v>
      </c>
      <c r="C3" s="11">
        <v>23.5</v>
      </c>
      <c r="D3" s="154">
        <v>126900</v>
      </c>
      <c r="E3" s="90">
        <v>302.22739999999999</v>
      </c>
      <c r="F3" s="167">
        <v>1134.5875000000001</v>
      </c>
      <c r="G3" s="167">
        <f t="shared" ref="G3:G20" si="0">(C3*F3)/E3</f>
        <v>88.221009246679827</v>
      </c>
      <c r="H3" s="92">
        <f t="shared" ref="H3:H20" si="1">G3*B3</f>
        <v>476393.44993207109</v>
      </c>
      <c r="I3" s="29"/>
      <c r="J3" s="10" t="s">
        <v>10</v>
      </c>
      <c r="K3" s="10" t="s">
        <v>334</v>
      </c>
      <c r="L3" s="10" t="s">
        <v>418</v>
      </c>
      <c r="N3" s="120">
        <v>43831</v>
      </c>
      <c r="O3" s="31">
        <v>63</v>
      </c>
      <c r="P3" s="90">
        <v>286.49130000000002</v>
      </c>
      <c r="Q3" s="269">
        <v>1134.5875000000001</v>
      </c>
      <c r="R3" s="31">
        <v>0</v>
      </c>
      <c r="S3" s="31">
        <f>(R3*O3)/N3</f>
        <v>0</v>
      </c>
      <c r="T3" s="92">
        <f>R3/O3</f>
        <v>0</v>
      </c>
    </row>
    <row r="4" spans="1:20" ht="15.6" x14ac:dyDescent="0.3">
      <c r="A4" s="145">
        <v>44012</v>
      </c>
      <c r="B4" s="11">
        <v>5300</v>
      </c>
      <c r="C4" s="11">
        <v>23.5</v>
      </c>
      <c r="D4" s="154">
        <v>124550</v>
      </c>
      <c r="E4" s="90">
        <v>317.46609999999998</v>
      </c>
      <c r="F4" s="167">
        <v>1134.5875000000001</v>
      </c>
      <c r="G4" s="167">
        <f t="shared" si="0"/>
        <v>83.986309876865604</v>
      </c>
      <c r="H4" s="92">
        <f t="shared" si="1"/>
        <v>445127.44234738773</v>
      </c>
      <c r="I4" s="29"/>
      <c r="J4" s="128">
        <v>2020</v>
      </c>
      <c r="K4" s="151">
        <f>SUM(B3:B7)</f>
        <v>22935.8</v>
      </c>
      <c r="L4" s="117">
        <f>SUM(H3:H7)</f>
        <v>1940644.8775433623</v>
      </c>
      <c r="N4" s="120">
        <v>43862</v>
      </c>
      <c r="O4" s="31">
        <v>63.305555555555557</v>
      </c>
      <c r="P4" s="90">
        <v>291.73700000000002</v>
      </c>
      <c r="Q4" s="269">
        <v>1134.5875000000001</v>
      </c>
      <c r="R4" s="31">
        <v>0</v>
      </c>
      <c r="S4" s="31">
        <f t="shared" ref="S4:S38" si="2">(R4*O4)/N4</f>
        <v>0</v>
      </c>
      <c r="T4" s="92">
        <f t="shared" ref="T4:T38" si="3">R4/O4</f>
        <v>0</v>
      </c>
    </row>
    <row r="5" spans="1:20" ht="15.6" x14ac:dyDescent="0.3">
      <c r="A5" s="145">
        <v>44026</v>
      </c>
      <c r="B5" s="11">
        <v>6500</v>
      </c>
      <c r="C5" s="11">
        <v>23.5</v>
      </c>
      <c r="D5" s="154">
        <v>152750</v>
      </c>
      <c r="E5" s="90">
        <v>322.67910000000001</v>
      </c>
      <c r="F5" s="167">
        <v>1134.5875000000001</v>
      </c>
      <c r="G5" s="167">
        <f t="shared" si="0"/>
        <v>82.629480031399623</v>
      </c>
      <c r="H5" s="92">
        <f t="shared" si="1"/>
        <v>537091.62020409759</v>
      </c>
      <c r="I5" s="29"/>
      <c r="J5" s="128">
        <v>2021</v>
      </c>
      <c r="K5" s="152">
        <f>SUM(B8:B14)</f>
        <v>24937.200000000001</v>
      </c>
      <c r="L5" s="130">
        <f>SUM(H8:H14)</f>
        <v>2638327.0731256572</v>
      </c>
      <c r="N5" s="120">
        <v>43891</v>
      </c>
      <c r="O5" s="31">
        <v>64.565789473684205</v>
      </c>
      <c r="P5" s="90">
        <v>302.22739999999999</v>
      </c>
      <c r="Q5" s="269">
        <v>1134.5875000000001</v>
      </c>
      <c r="R5" s="31">
        <v>126900</v>
      </c>
      <c r="S5" s="31">
        <f t="shared" si="2"/>
        <v>186.67605395663179</v>
      </c>
      <c r="T5" s="92">
        <f t="shared" si="3"/>
        <v>1965.4371306297128</v>
      </c>
    </row>
    <row r="6" spans="1:20" ht="15.6" x14ac:dyDescent="0.3">
      <c r="A6" s="145">
        <v>44089</v>
      </c>
      <c r="B6" s="11">
        <v>3500</v>
      </c>
      <c r="C6" s="11">
        <v>23.5</v>
      </c>
      <c r="D6" s="154">
        <v>82250</v>
      </c>
      <c r="E6" s="90">
        <v>340.90199999999999</v>
      </c>
      <c r="F6" s="167">
        <v>1134.5875000000001</v>
      </c>
      <c r="G6" s="167">
        <f t="shared" si="0"/>
        <v>78.212525153856546</v>
      </c>
      <c r="H6" s="92">
        <f t="shared" si="1"/>
        <v>273743.8380384979</v>
      </c>
      <c r="I6" s="29"/>
      <c r="J6" s="129">
        <v>2022</v>
      </c>
      <c r="K6" s="153">
        <f>SUM(B15:B20)</f>
        <v>21780</v>
      </c>
      <c r="L6" s="131">
        <f>SUM(H15:H20)</f>
        <v>2201056.998571611</v>
      </c>
      <c r="N6" s="120">
        <v>43922</v>
      </c>
      <c r="O6" s="31">
        <v>67.25</v>
      </c>
      <c r="P6" s="90">
        <v>306.44830000000002</v>
      </c>
      <c r="Q6" s="269">
        <v>1134.5875000000001</v>
      </c>
      <c r="R6" s="31">
        <v>86954.33</v>
      </c>
      <c r="S6" s="31">
        <f t="shared" si="2"/>
        <v>133.13780548472292</v>
      </c>
      <c r="T6" s="92">
        <f t="shared" si="3"/>
        <v>1293.0011895910782</v>
      </c>
    </row>
    <row r="7" spans="1:20" ht="15.6" x14ac:dyDescent="0.3">
      <c r="A7" s="145">
        <v>44159</v>
      </c>
      <c r="B7" s="11">
        <v>2235.8000000000002</v>
      </c>
      <c r="C7" s="11">
        <v>29.85</v>
      </c>
      <c r="D7" s="154">
        <v>66738.63</v>
      </c>
      <c r="E7" s="90">
        <v>363.53809999999999</v>
      </c>
      <c r="F7" s="167">
        <v>1134.5875000000001</v>
      </c>
      <c r="G7" s="167">
        <f t="shared" si="0"/>
        <v>93.160625736339625</v>
      </c>
      <c r="H7" s="92">
        <f t="shared" si="1"/>
        <v>208288.52702130814</v>
      </c>
      <c r="I7" s="29"/>
      <c r="J7" s="10" t="s">
        <v>10</v>
      </c>
      <c r="K7" s="10" t="s">
        <v>335</v>
      </c>
      <c r="L7" s="10" t="s">
        <v>419</v>
      </c>
      <c r="N7" s="120">
        <v>43952</v>
      </c>
      <c r="O7" s="31">
        <v>69.71052631578948</v>
      </c>
      <c r="P7" s="90">
        <v>311.09219999999999</v>
      </c>
      <c r="Q7" s="269">
        <v>1134.5875000000001</v>
      </c>
      <c r="R7" s="31">
        <v>74478.27</v>
      </c>
      <c r="S7" s="31">
        <f t="shared" si="2"/>
        <v>118.1270340550936</v>
      </c>
      <c r="T7" s="92">
        <f t="shared" si="3"/>
        <v>1068.3934541336353</v>
      </c>
    </row>
    <row r="8" spans="1:20" ht="15.6" x14ac:dyDescent="0.3">
      <c r="A8" s="145">
        <v>44227</v>
      </c>
      <c r="B8" s="11">
        <v>6000</v>
      </c>
      <c r="C8" s="11">
        <v>33.659999999999997</v>
      </c>
      <c r="D8" s="154">
        <v>201959.99999999997</v>
      </c>
      <c r="E8" s="90">
        <v>389.44540000000001</v>
      </c>
      <c r="F8" s="167">
        <v>1134.5875000000001</v>
      </c>
      <c r="G8" s="167">
        <f t="shared" si="0"/>
        <v>98.063079574184215</v>
      </c>
      <c r="H8" s="92">
        <f t="shared" si="1"/>
        <v>588378.47744510532</v>
      </c>
      <c r="I8" s="29"/>
      <c r="J8" s="128">
        <v>2020</v>
      </c>
      <c r="K8" s="151">
        <f>SUM(B24:B28)</f>
        <v>21549.940000000002</v>
      </c>
      <c r="L8" s="117">
        <f>SUM(H24:H28)</f>
        <v>1860110.992261166</v>
      </c>
      <c r="N8" s="120">
        <v>43983</v>
      </c>
      <c r="O8" s="31">
        <v>71.964285714285708</v>
      </c>
      <c r="P8" s="90">
        <v>317.46609999999998</v>
      </c>
      <c r="Q8" s="269">
        <v>1134.5875000000001</v>
      </c>
      <c r="R8" s="31">
        <v>124550</v>
      </c>
      <c r="S8" s="31">
        <f t="shared" si="2"/>
        <v>203.78673091226804</v>
      </c>
      <c r="T8" s="92">
        <f t="shared" si="3"/>
        <v>1730.7196029776676</v>
      </c>
    </row>
    <row r="9" spans="1:20" ht="15.6" x14ac:dyDescent="0.3">
      <c r="A9" s="145">
        <v>44316</v>
      </c>
      <c r="B9" s="11">
        <v>2200.1999999999998</v>
      </c>
      <c r="C9" s="11">
        <v>44.38</v>
      </c>
      <c r="D9" s="154">
        <v>97644.876000000004</v>
      </c>
      <c r="E9" s="90">
        <v>441.89550000000003</v>
      </c>
      <c r="F9" s="167">
        <v>1134.5875000000001</v>
      </c>
      <c r="G9" s="167">
        <f t="shared" si="0"/>
        <v>113.94773934108856</v>
      </c>
      <c r="H9" s="92">
        <f t="shared" si="1"/>
        <v>250707.81609826305</v>
      </c>
      <c r="I9" s="29"/>
      <c r="J9" s="128">
        <v>2021</v>
      </c>
      <c r="K9" s="152">
        <f>SUM(B29:B34)</f>
        <v>25360.470999999998</v>
      </c>
      <c r="L9" s="130">
        <f>SUM(H29:H34)</f>
        <v>2826513.2307330868</v>
      </c>
      <c r="N9" s="120">
        <v>44013</v>
      </c>
      <c r="O9" s="31">
        <v>75.05952380952381</v>
      </c>
      <c r="P9" s="90">
        <v>322.67910000000001</v>
      </c>
      <c r="Q9" s="269">
        <v>1134.5875000000001</v>
      </c>
      <c r="R9" s="31">
        <v>235575.86</v>
      </c>
      <c r="S9" s="31">
        <f t="shared" si="2"/>
        <v>401.7497528598152</v>
      </c>
      <c r="T9" s="92">
        <f t="shared" si="3"/>
        <v>3138.5205773195876</v>
      </c>
    </row>
    <row r="10" spans="1:20" ht="15.6" x14ac:dyDescent="0.3">
      <c r="A10" s="145">
        <v>44373</v>
      </c>
      <c r="B10" s="11">
        <v>3500</v>
      </c>
      <c r="C10" s="11">
        <v>44.38</v>
      </c>
      <c r="D10" s="154">
        <v>155330</v>
      </c>
      <c r="E10" s="90">
        <v>517.04250000000002</v>
      </c>
      <c r="F10" s="167">
        <v>1134.5875000000001</v>
      </c>
      <c r="G10" s="167">
        <f t="shared" si="0"/>
        <v>97.386565417736463</v>
      </c>
      <c r="H10" s="92">
        <f t="shared" si="1"/>
        <v>340852.97896207764</v>
      </c>
      <c r="I10" s="29"/>
      <c r="J10" s="129">
        <v>2022</v>
      </c>
      <c r="K10" s="153">
        <f>SUM(B35:B41)</f>
        <v>29679.856</v>
      </c>
      <c r="L10" s="131">
        <f>SUM(H35:H41)</f>
        <v>2990986.0081779687</v>
      </c>
      <c r="N10" s="120">
        <v>44044</v>
      </c>
      <c r="O10" s="31">
        <v>77.287499999999994</v>
      </c>
      <c r="P10" s="90">
        <v>331.69569999999999</v>
      </c>
      <c r="Q10" s="269">
        <v>1134.5875000000001</v>
      </c>
      <c r="R10" s="31">
        <v>137697.66</v>
      </c>
      <c r="S10" s="31">
        <f t="shared" si="2"/>
        <v>241.6290050233857</v>
      </c>
      <c r="T10" s="92">
        <f t="shared" si="3"/>
        <v>1781.629112081514</v>
      </c>
    </row>
    <row r="11" spans="1:20" ht="15.6" x14ac:dyDescent="0.3">
      <c r="A11" s="145">
        <v>44382</v>
      </c>
      <c r="B11" s="11">
        <v>4000</v>
      </c>
      <c r="C11" s="11">
        <v>45.9</v>
      </c>
      <c r="D11" s="154">
        <v>183600</v>
      </c>
      <c r="E11" s="90">
        <v>485.30360000000002</v>
      </c>
      <c r="F11" s="167">
        <v>1134.5875000000001</v>
      </c>
      <c r="G11" s="167">
        <f t="shared" si="0"/>
        <v>107.30925187861784</v>
      </c>
      <c r="H11" s="92">
        <f t="shared" si="1"/>
        <v>429237.00751447136</v>
      </c>
      <c r="I11" s="29"/>
      <c r="J11" s="10" t="s">
        <v>10</v>
      </c>
      <c r="K11" s="10" t="s">
        <v>340</v>
      </c>
      <c r="L11" s="10" t="s">
        <v>420</v>
      </c>
      <c r="N11" s="120">
        <v>44075</v>
      </c>
      <c r="O11" s="31">
        <v>79.13636363636364</v>
      </c>
      <c r="P11" s="90">
        <v>340.90199999999999</v>
      </c>
      <c r="Q11" s="269">
        <v>1134.5875000000001</v>
      </c>
      <c r="R11" s="31">
        <v>82250</v>
      </c>
      <c r="S11" s="31">
        <f t="shared" si="2"/>
        <v>147.67931727943073</v>
      </c>
      <c r="T11" s="92">
        <f t="shared" si="3"/>
        <v>1039.3452039058011</v>
      </c>
    </row>
    <row r="12" spans="1:20" ht="15.6" x14ac:dyDescent="0.3">
      <c r="A12" s="145">
        <v>44469</v>
      </c>
      <c r="B12" s="11">
        <v>1737</v>
      </c>
      <c r="C12" s="11">
        <v>49.21</v>
      </c>
      <c r="D12" s="154">
        <v>85477.77</v>
      </c>
      <c r="E12" s="90">
        <v>517.04250000000002</v>
      </c>
      <c r="F12" s="167">
        <v>1134.5875000000001</v>
      </c>
      <c r="G12" s="167">
        <f t="shared" si="0"/>
        <v>107.98541875184343</v>
      </c>
      <c r="H12" s="92">
        <f t="shared" si="1"/>
        <v>187570.67237195204</v>
      </c>
      <c r="I12" s="29"/>
      <c r="J12" s="128">
        <v>2020</v>
      </c>
      <c r="K12" s="151">
        <f t="shared" ref="K12:L14" si="4">K4+K8</f>
        <v>44485.740000000005</v>
      </c>
      <c r="L12" s="117">
        <f t="shared" si="4"/>
        <v>3800755.8698045285</v>
      </c>
      <c r="N12" s="120">
        <v>44105</v>
      </c>
      <c r="O12" s="31">
        <v>82.547619047619051</v>
      </c>
      <c r="P12" s="90">
        <v>353.0444</v>
      </c>
      <c r="Q12" s="269">
        <v>1134.5875000000001</v>
      </c>
      <c r="R12" s="31">
        <v>0</v>
      </c>
      <c r="S12" s="31">
        <f t="shared" si="2"/>
        <v>0</v>
      </c>
      <c r="T12" s="92">
        <f t="shared" si="3"/>
        <v>0</v>
      </c>
    </row>
    <row r="13" spans="1:20" ht="15.6" x14ac:dyDescent="0.3">
      <c r="A13" s="145">
        <v>44469</v>
      </c>
      <c r="B13" s="11">
        <v>2000</v>
      </c>
      <c r="C13" s="11">
        <v>51.75</v>
      </c>
      <c r="D13" s="154">
        <v>103500</v>
      </c>
      <c r="E13" s="90">
        <v>517.04250000000002</v>
      </c>
      <c r="F13" s="167">
        <v>1134.5875000000001</v>
      </c>
      <c r="G13" s="167">
        <f t="shared" si="0"/>
        <v>113.55914286543177</v>
      </c>
      <c r="H13" s="92">
        <f t="shared" si="1"/>
        <v>227118.28573086354</v>
      </c>
      <c r="I13" s="29"/>
      <c r="J13" s="128">
        <v>2021</v>
      </c>
      <c r="K13" s="152">
        <f t="shared" si="4"/>
        <v>50297.671000000002</v>
      </c>
      <c r="L13" s="130">
        <f t="shared" si="4"/>
        <v>5464840.303858744</v>
      </c>
      <c r="N13" s="120">
        <v>44136</v>
      </c>
      <c r="O13" s="31">
        <v>85.118421052631575</v>
      </c>
      <c r="P13" s="90">
        <v>363.53809999999999</v>
      </c>
      <c r="Q13" s="269">
        <v>1134.5875000000001</v>
      </c>
      <c r="R13" s="31">
        <v>161588.21</v>
      </c>
      <c r="S13" s="31">
        <f t="shared" si="2"/>
        <v>311.63071632955075</v>
      </c>
      <c r="T13" s="92">
        <f t="shared" si="3"/>
        <v>1898.3929448137269</v>
      </c>
    </row>
    <row r="14" spans="1:20" ht="15.6" x14ac:dyDescent="0.3">
      <c r="A14" s="145">
        <v>44516</v>
      </c>
      <c r="B14" s="11">
        <v>5500</v>
      </c>
      <c r="C14" s="11">
        <v>54.03</v>
      </c>
      <c r="D14" s="154">
        <v>297165</v>
      </c>
      <c r="E14" s="90">
        <v>548.70730000000003</v>
      </c>
      <c r="F14" s="167">
        <v>1134.5875000000001</v>
      </c>
      <c r="G14" s="167">
        <f t="shared" si="0"/>
        <v>111.7203336368953</v>
      </c>
      <c r="H14" s="92">
        <f t="shared" si="1"/>
        <v>614461.8350029242</v>
      </c>
      <c r="I14" s="29"/>
      <c r="J14" s="129">
        <v>2022</v>
      </c>
      <c r="K14" s="153">
        <f t="shared" si="4"/>
        <v>51459.856</v>
      </c>
      <c r="L14" s="131">
        <f>L6+L10</f>
        <v>5192043.0067495797</v>
      </c>
      <c r="N14" s="120">
        <v>44166</v>
      </c>
      <c r="O14" s="31">
        <v>87.75</v>
      </c>
      <c r="P14" s="90">
        <v>377.05070000000001</v>
      </c>
      <c r="Q14" s="269">
        <v>1134.5875000000001</v>
      </c>
      <c r="R14" s="31">
        <v>66738.63</v>
      </c>
      <c r="S14" s="31">
        <f t="shared" si="2"/>
        <v>132.59780787257168</v>
      </c>
      <c r="T14" s="92">
        <f t="shared" si="3"/>
        <v>760.55418803418809</v>
      </c>
    </row>
    <row r="15" spans="1:20" ht="15.6" x14ac:dyDescent="0.3">
      <c r="A15" s="145">
        <v>44663</v>
      </c>
      <c r="B15" s="11">
        <v>5000</v>
      </c>
      <c r="C15" s="11">
        <v>65.87</v>
      </c>
      <c r="D15" s="154">
        <v>329350</v>
      </c>
      <c r="E15" s="90">
        <v>702.82899999999995</v>
      </c>
      <c r="F15" s="167">
        <v>1134.5875000000001</v>
      </c>
      <c r="G15" s="167">
        <f t="shared" si="0"/>
        <v>106.33493869063459</v>
      </c>
      <c r="H15" s="92">
        <f t="shared" si="1"/>
        <v>531674.69345317292</v>
      </c>
      <c r="I15" s="29"/>
      <c r="N15" s="120">
        <v>44197</v>
      </c>
      <c r="O15" s="31">
        <v>90.9375</v>
      </c>
      <c r="P15" s="90">
        <v>389.44540000000001</v>
      </c>
      <c r="Q15" s="269">
        <v>1134.5875000000001</v>
      </c>
      <c r="R15" s="31">
        <v>201960</v>
      </c>
      <c r="S15" s="31">
        <f t="shared" si="2"/>
        <v>415.5426273276467</v>
      </c>
      <c r="T15" s="92">
        <f t="shared" si="3"/>
        <v>2220.8659793814431</v>
      </c>
    </row>
    <row r="16" spans="1:20" ht="15.6" x14ac:dyDescent="0.3">
      <c r="A16" s="145">
        <v>44700</v>
      </c>
      <c r="B16" s="11">
        <v>370</v>
      </c>
      <c r="C16" s="11">
        <v>70.44</v>
      </c>
      <c r="D16" s="154">
        <v>26062.799999999999</v>
      </c>
      <c r="E16" s="90">
        <v>736.36369999999999</v>
      </c>
      <c r="F16" s="167">
        <v>1134.5875000000001</v>
      </c>
      <c r="G16" s="167">
        <f t="shared" si="0"/>
        <v>108.53379043535145</v>
      </c>
      <c r="H16" s="92">
        <f t="shared" si="1"/>
        <v>40157.502461080039</v>
      </c>
      <c r="I16" s="29"/>
      <c r="N16" s="120">
        <v>44228</v>
      </c>
      <c r="O16" s="31">
        <v>93.527777777777771</v>
      </c>
      <c r="P16" s="90">
        <v>403.48540000000003</v>
      </c>
      <c r="Q16" s="269">
        <v>1134.5875000000001</v>
      </c>
      <c r="R16" s="31">
        <v>162104.69</v>
      </c>
      <c r="S16" s="31">
        <f t="shared" si="2"/>
        <v>342.79848564383548</v>
      </c>
      <c r="T16" s="92">
        <f t="shared" si="3"/>
        <v>1733.2250787050789</v>
      </c>
    </row>
    <row r="17" spans="1:20" ht="15.6" x14ac:dyDescent="0.3">
      <c r="A17" s="145">
        <v>44725</v>
      </c>
      <c r="B17" s="11">
        <v>6200</v>
      </c>
      <c r="C17" s="11">
        <v>71.959999999999994</v>
      </c>
      <c r="D17" s="154">
        <v>446151.99999999994</v>
      </c>
      <c r="E17" s="90">
        <v>776.67010000000005</v>
      </c>
      <c r="F17" s="167">
        <v>1134.5875000000001</v>
      </c>
      <c r="G17" s="167">
        <f t="shared" si="0"/>
        <v>105.12174538455903</v>
      </c>
      <c r="H17" s="92">
        <f t="shared" si="1"/>
        <v>651754.82138426602</v>
      </c>
      <c r="I17" s="29"/>
      <c r="N17" s="120">
        <v>44256</v>
      </c>
      <c r="O17" s="31">
        <v>96.090909090909093</v>
      </c>
      <c r="P17" s="90">
        <v>424.45389999999998</v>
      </c>
      <c r="Q17" s="269">
        <v>1134.5875000000001</v>
      </c>
      <c r="R17" s="31">
        <v>0</v>
      </c>
      <c r="S17" s="31">
        <f t="shared" si="2"/>
        <v>0</v>
      </c>
      <c r="T17" s="92">
        <f t="shared" si="3"/>
        <v>0</v>
      </c>
    </row>
    <row r="18" spans="1:20" ht="15.6" x14ac:dyDescent="0.3">
      <c r="A18" s="145">
        <v>44790</v>
      </c>
      <c r="B18" s="11">
        <v>2000</v>
      </c>
      <c r="C18" s="11">
        <v>77.3</v>
      </c>
      <c r="D18" s="154">
        <v>154600</v>
      </c>
      <c r="E18" s="90">
        <v>891.851</v>
      </c>
      <c r="F18" s="167">
        <v>1134.5875000000001</v>
      </c>
      <c r="G18" s="167">
        <f t="shared" si="0"/>
        <v>98.338863498499194</v>
      </c>
      <c r="H18" s="92">
        <f t="shared" si="1"/>
        <v>196677.72699699839</v>
      </c>
      <c r="I18" s="29"/>
      <c r="N18" s="120">
        <v>44287</v>
      </c>
      <c r="O18" s="31">
        <v>98.2</v>
      </c>
      <c r="P18" s="90">
        <v>441.89550000000003</v>
      </c>
      <c r="Q18" s="269">
        <v>1134.5875000000001</v>
      </c>
      <c r="R18" s="31">
        <v>226290.06</v>
      </c>
      <c r="S18" s="31">
        <f t="shared" si="2"/>
        <v>501.76539146927996</v>
      </c>
      <c r="T18" s="92">
        <f t="shared" si="3"/>
        <v>2304.3794297352342</v>
      </c>
    </row>
    <row r="19" spans="1:20" ht="15.6" x14ac:dyDescent="0.3">
      <c r="A19" s="145">
        <v>44803</v>
      </c>
      <c r="B19" s="11">
        <v>5000</v>
      </c>
      <c r="C19" s="11">
        <v>77.3</v>
      </c>
      <c r="D19" s="154">
        <v>386500</v>
      </c>
      <c r="E19" s="90">
        <v>891.851</v>
      </c>
      <c r="F19" s="167">
        <v>1134.5875000000001</v>
      </c>
      <c r="G19" s="167">
        <f t="shared" si="0"/>
        <v>98.338863498499194</v>
      </c>
      <c r="H19" s="92">
        <f t="shared" si="1"/>
        <v>491694.31749249599</v>
      </c>
      <c r="I19" s="29"/>
      <c r="N19" s="120">
        <v>44317</v>
      </c>
      <c r="O19" s="31">
        <v>99.171052631578945</v>
      </c>
      <c r="P19" s="90">
        <v>456.78559999999999</v>
      </c>
      <c r="Q19" s="269">
        <v>1134.5875000000001</v>
      </c>
      <c r="R19" s="31">
        <v>97644.88</v>
      </c>
      <c r="S19" s="31">
        <f t="shared" si="2"/>
        <v>218.50634144197963</v>
      </c>
      <c r="T19" s="92">
        <f t="shared" si="3"/>
        <v>984.6107045243466</v>
      </c>
    </row>
    <row r="20" spans="1:20" ht="15.6" x14ac:dyDescent="0.3">
      <c r="A20" s="155">
        <v>44921</v>
      </c>
      <c r="B20" s="143">
        <v>3210</v>
      </c>
      <c r="C20" s="143">
        <v>88.47</v>
      </c>
      <c r="D20" s="156">
        <v>283988.7</v>
      </c>
      <c r="E20" s="159">
        <v>1114.5359000000001</v>
      </c>
      <c r="F20" s="168">
        <v>1134.5875000000001</v>
      </c>
      <c r="G20" s="168">
        <f t="shared" si="0"/>
        <v>90.061662549407345</v>
      </c>
      <c r="H20" s="93">
        <f t="shared" si="1"/>
        <v>289097.93678359757</v>
      </c>
      <c r="I20" s="29"/>
      <c r="N20" s="120">
        <v>44348</v>
      </c>
      <c r="O20" s="31">
        <v>100.2380952380952</v>
      </c>
      <c r="P20" s="90">
        <v>470.78399999999999</v>
      </c>
      <c r="Q20" s="269">
        <v>1134.5875000000001</v>
      </c>
      <c r="R20" s="31">
        <v>257940.25</v>
      </c>
      <c r="S20" s="31">
        <f t="shared" si="2"/>
        <v>583.01252244155512</v>
      </c>
      <c r="T20" s="92">
        <f t="shared" si="3"/>
        <v>2573.2756532066519</v>
      </c>
    </row>
    <row r="21" spans="1:20" ht="15.6" x14ac:dyDescent="0.3">
      <c r="N21" s="120">
        <v>44378</v>
      </c>
      <c r="O21" s="31">
        <v>101.3095238095238</v>
      </c>
      <c r="P21" s="90">
        <v>485.30360000000002</v>
      </c>
      <c r="Q21" s="269">
        <v>1134.5875000000001</v>
      </c>
      <c r="R21" s="31">
        <v>291945.14</v>
      </c>
      <c r="S21" s="31">
        <f t="shared" si="2"/>
        <v>666.47489999334709</v>
      </c>
      <c r="T21" s="92">
        <f t="shared" si="3"/>
        <v>2881.7146603995307</v>
      </c>
    </row>
    <row r="22" spans="1:20" ht="17.399999999999999" x14ac:dyDescent="0.3">
      <c r="A22" s="422" t="s">
        <v>333</v>
      </c>
      <c r="B22" s="148"/>
      <c r="C22" s="148"/>
      <c r="D22" s="148"/>
      <c r="E22" s="148"/>
      <c r="F22" s="148"/>
      <c r="G22" s="148"/>
      <c r="H22" s="149"/>
      <c r="J22" s="29"/>
      <c r="K22" s="29"/>
      <c r="N22" s="120">
        <v>44409</v>
      </c>
      <c r="O22" s="31">
        <v>102.28571428571431</v>
      </c>
      <c r="P22" s="90">
        <v>497.93709999999999</v>
      </c>
      <c r="Q22" s="269">
        <v>1134.5875000000001</v>
      </c>
      <c r="R22" s="31">
        <v>322697.98</v>
      </c>
      <c r="S22" s="31">
        <f t="shared" si="2"/>
        <v>743.2591002467326</v>
      </c>
      <c r="T22" s="92">
        <f t="shared" si="3"/>
        <v>3154.868519553072</v>
      </c>
    </row>
    <row r="23" spans="1:20" ht="15.6" x14ac:dyDescent="0.3">
      <c r="A23" s="21" t="s">
        <v>324</v>
      </c>
      <c r="B23" s="127" t="s">
        <v>326</v>
      </c>
      <c r="C23" s="127" t="s">
        <v>325</v>
      </c>
      <c r="D23" s="127" t="s">
        <v>327</v>
      </c>
      <c r="E23" s="127" t="s">
        <v>328</v>
      </c>
      <c r="F23" s="127" t="s">
        <v>329</v>
      </c>
      <c r="G23" s="127" t="s">
        <v>331</v>
      </c>
      <c r="H23" s="146" t="s">
        <v>330</v>
      </c>
      <c r="J23" s="112"/>
      <c r="K23" s="112"/>
      <c r="L23" s="112"/>
      <c r="N23" s="120">
        <v>44440</v>
      </c>
      <c r="O23" s="31">
        <v>103.4431818181818</v>
      </c>
      <c r="P23" s="90">
        <v>517.04250000000002</v>
      </c>
      <c r="Q23" s="269">
        <v>1134.5875000000001</v>
      </c>
      <c r="R23" s="31">
        <v>188977.77000000002</v>
      </c>
      <c r="S23" s="31">
        <f t="shared" si="2"/>
        <v>439.88437942629486</v>
      </c>
      <c r="T23" s="92">
        <f t="shared" si="3"/>
        <v>1826.8750697572234</v>
      </c>
    </row>
    <row r="24" spans="1:20" ht="15.6" x14ac:dyDescent="0.3">
      <c r="A24" s="145">
        <v>43944</v>
      </c>
      <c r="B24" s="11">
        <v>3680.73</v>
      </c>
      <c r="C24" s="11">
        <v>23.624199999999998</v>
      </c>
      <c r="D24" s="154">
        <v>86954.301665999999</v>
      </c>
      <c r="E24" s="90">
        <v>306.44830000000002</v>
      </c>
      <c r="F24" s="157">
        <v>1134.5875000000001</v>
      </c>
      <c r="G24" s="31">
        <f t="shared" ref="G24:G41" si="5">(C24*F24)/E24</f>
        <v>87.465722660233382</v>
      </c>
      <c r="H24" s="92">
        <f t="shared" ref="H24:H41" si="6">B24*G24</f>
        <v>321937.70936720079</v>
      </c>
      <c r="N24" s="120">
        <v>44470</v>
      </c>
      <c r="O24" s="31">
        <v>104.5263157894737</v>
      </c>
      <c r="P24" s="90">
        <v>536.54229999999995</v>
      </c>
      <c r="Q24" s="269">
        <v>1134.5875000000001</v>
      </c>
      <c r="R24" s="31">
        <v>0</v>
      </c>
      <c r="S24" s="31">
        <f t="shared" si="2"/>
        <v>0</v>
      </c>
      <c r="T24" s="92">
        <f t="shared" si="3"/>
        <v>0</v>
      </c>
    </row>
    <row r="25" spans="1:20" ht="15.6" x14ac:dyDescent="0.3">
      <c r="A25" s="145">
        <v>43964</v>
      </c>
      <c r="B25" s="11">
        <v>3152.63</v>
      </c>
      <c r="C25" s="11">
        <v>23.624199999999998</v>
      </c>
      <c r="D25" s="154">
        <v>74478.36164599999</v>
      </c>
      <c r="E25" s="90">
        <v>311.09219999999999</v>
      </c>
      <c r="F25" s="157">
        <v>1134.5875000000001</v>
      </c>
      <c r="G25" s="31">
        <f t="shared" si="5"/>
        <v>86.160058071208468</v>
      </c>
      <c r="H25" s="92">
        <f t="shared" si="6"/>
        <v>271630.78387703397</v>
      </c>
      <c r="N25" s="120">
        <v>44501</v>
      </c>
      <c r="O25" s="31">
        <v>105.4285714285714</v>
      </c>
      <c r="P25" s="90">
        <v>548.70730000000003</v>
      </c>
      <c r="Q25" s="269">
        <v>1134.5875000000001</v>
      </c>
      <c r="R25" s="31">
        <v>564986.98</v>
      </c>
      <c r="S25" s="31">
        <f t="shared" si="2"/>
        <v>1338.526553945818</v>
      </c>
      <c r="T25" s="92">
        <f t="shared" si="3"/>
        <v>5358.9550948509495</v>
      </c>
    </row>
    <row r="26" spans="1:20" ht="15.6" x14ac:dyDescent="0.3">
      <c r="A26" s="145">
        <v>44025</v>
      </c>
      <c r="B26" s="11">
        <v>3505.98</v>
      </c>
      <c r="C26" s="11">
        <v>23.624199999999998</v>
      </c>
      <c r="D26" s="154">
        <v>82825.972715999989</v>
      </c>
      <c r="E26" s="90">
        <v>322.67910000000001</v>
      </c>
      <c r="F26" s="157">
        <v>1134.5875000000001</v>
      </c>
      <c r="G26" s="31">
        <f t="shared" si="5"/>
        <v>83.066185623735777</v>
      </c>
      <c r="H26" s="92">
        <f t="shared" si="6"/>
        <v>291228.38547310518</v>
      </c>
      <c r="N26" s="120">
        <v>44531</v>
      </c>
      <c r="O26" s="31">
        <v>106.95</v>
      </c>
      <c r="P26" s="90">
        <v>570.99810000000002</v>
      </c>
      <c r="Q26" s="269">
        <v>1134.5875000000001</v>
      </c>
      <c r="R26" s="31">
        <v>0</v>
      </c>
      <c r="S26" s="31">
        <f t="shared" si="2"/>
        <v>0</v>
      </c>
      <c r="T26" s="92">
        <f t="shared" si="3"/>
        <v>0</v>
      </c>
    </row>
    <row r="27" spans="1:20" ht="15.6" x14ac:dyDescent="0.3">
      <c r="A27" s="145">
        <v>44074</v>
      </c>
      <c r="B27" s="11">
        <v>5828.67</v>
      </c>
      <c r="C27" s="11">
        <v>23.624199999999998</v>
      </c>
      <c r="D27" s="154">
        <v>137697.66581399998</v>
      </c>
      <c r="E27" s="90">
        <v>331.69569999999999</v>
      </c>
      <c r="F27" s="157">
        <v>1134.5875000000001</v>
      </c>
      <c r="G27" s="31">
        <f t="shared" si="5"/>
        <v>80.808168503541054</v>
      </c>
      <c r="H27" s="92">
        <f t="shared" si="6"/>
        <v>471004.14751153463</v>
      </c>
      <c r="N27" s="120">
        <v>44562</v>
      </c>
      <c r="O27" s="31">
        <v>108.96428571428569</v>
      </c>
      <c r="P27" s="90">
        <v>593.42190000000005</v>
      </c>
      <c r="Q27" s="269">
        <v>1134.5875000000001</v>
      </c>
      <c r="R27" s="31">
        <v>279208.87</v>
      </c>
      <c r="S27" s="31">
        <f t="shared" si="2"/>
        <v>682.72956969262714</v>
      </c>
      <c r="T27" s="92">
        <f t="shared" si="3"/>
        <v>2562.3888430022948</v>
      </c>
    </row>
    <row r="28" spans="1:20" ht="15.6" x14ac:dyDescent="0.3">
      <c r="A28" s="145">
        <v>44151</v>
      </c>
      <c r="B28" s="11">
        <v>5381.93</v>
      </c>
      <c r="C28" s="11">
        <v>30.0242</v>
      </c>
      <c r="D28" s="154">
        <v>161588.14270600001</v>
      </c>
      <c r="E28" s="90">
        <v>363.53809999999999</v>
      </c>
      <c r="F28" s="157">
        <v>1134.5875000000001</v>
      </c>
      <c r="G28" s="31">
        <f t="shared" si="5"/>
        <v>93.704296791725554</v>
      </c>
      <c r="H28" s="92">
        <f t="shared" si="6"/>
        <v>504309.96603229153</v>
      </c>
      <c r="N28" s="120">
        <v>44593</v>
      </c>
      <c r="O28" s="31">
        <v>111.53947368421051</v>
      </c>
      <c r="P28" s="90">
        <v>620.50070000000005</v>
      </c>
      <c r="Q28" s="269">
        <v>1134.5875000000001</v>
      </c>
      <c r="R28" s="31">
        <v>0</v>
      </c>
      <c r="S28" s="31">
        <f t="shared" si="2"/>
        <v>0</v>
      </c>
      <c r="T28" s="92">
        <f t="shared" si="3"/>
        <v>0</v>
      </c>
    </row>
    <row r="29" spans="1:20" ht="15.6" x14ac:dyDescent="0.3">
      <c r="A29" s="145">
        <v>44235</v>
      </c>
      <c r="B29" s="11">
        <v>4213.5550000000003</v>
      </c>
      <c r="C29" s="11">
        <v>38.472200000000001</v>
      </c>
      <c r="D29" s="154">
        <v>162104.73067100003</v>
      </c>
      <c r="E29" s="90">
        <v>403.48540000000003</v>
      </c>
      <c r="F29" s="157">
        <v>1134.5875000000001</v>
      </c>
      <c r="G29" s="31">
        <f t="shared" si="5"/>
        <v>108.18254444274811</v>
      </c>
      <c r="H29" s="92">
        <f t="shared" si="6"/>
        <v>455833.10104946356</v>
      </c>
      <c r="N29" s="120">
        <v>44621</v>
      </c>
      <c r="O29" s="31">
        <v>114.5833333333333</v>
      </c>
      <c r="P29" s="90">
        <v>661.86879999999996</v>
      </c>
      <c r="Q29" s="269">
        <v>1134.5875000000001</v>
      </c>
      <c r="R29" s="31">
        <v>165322.51</v>
      </c>
      <c r="S29" s="31">
        <f t="shared" si="2"/>
        <v>424.53562831028728</v>
      </c>
      <c r="T29" s="92">
        <f t="shared" si="3"/>
        <v>1442.8146327272732</v>
      </c>
    </row>
    <row r="30" spans="1:20" ht="15.6" x14ac:dyDescent="0.3">
      <c r="A30" s="145">
        <v>44316</v>
      </c>
      <c r="B30" s="11">
        <v>5066.1130000000003</v>
      </c>
      <c r="C30" s="11">
        <v>44.667400000000001</v>
      </c>
      <c r="D30" s="154">
        <v>226290.09581620002</v>
      </c>
      <c r="E30" s="90">
        <v>441.89550000000003</v>
      </c>
      <c r="F30" s="157">
        <v>1134.5875000000001</v>
      </c>
      <c r="G30" s="31">
        <f t="shared" si="5"/>
        <v>114.68565237143171</v>
      </c>
      <c r="H30" s="92">
        <f t="shared" si="6"/>
        <v>581010.47439239104</v>
      </c>
      <c r="N30" s="120">
        <v>44652</v>
      </c>
      <c r="O30" s="31">
        <v>118.3552631578947</v>
      </c>
      <c r="P30" s="90">
        <v>702.82899999999995</v>
      </c>
      <c r="Q30" s="269">
        <v>1134.5875000000001</v>
      </c>
      <c r="R30" s="31">
        <v>329350</v>
      </c>
      <c r="S30" s="31">
        <f t="shared" si="2"/>
        <v>872.98006631399755</v>
      </c>
      <c r="T30" s="92">
        <f t="shared" si="3"/>
        <v>2782.7237354085614</v>
      </c>
    </row>
    <row r="31" spans="1:20" ht="15.6" x14ac:dyDescent="0.3">
      <c r="A31" s="145">
        <v>44375</v>
      </c>
      <c r="B31" s="11">
        <v>2297.2069999999999</v>
      </c>
      <c r="C31" s="11">
        <v>44.667400000000001</v>
      </c>
      <c r="D31" s="154">
        <v>102610.26395179999</v>
      </c>
      <c r="E31" s="90">
        <v>470.78399999999999</v>
      </c>
      <c r="F31" s="157">
        <v>1134.5875000000001</v>
      </c>
      <c r="G31" s="31">
        <f t="shared" si="5"/>
        <v>107.64824993521447</v>
      </c>
      <c r="H31" s="92">
        <f t="shared" si="6"/>
        <v>247290.3132889242</v>
      </c>
      <c r="N31" s="120">
        <v>44682</v>
      </c>
      <c r="O31" s="31">
        <v>122.9</v>
      </c>
      <c r="P31" s="90">
        <v>736.36369999999999</v>
      </c>
      <c r="Q31" s="269">
        <v>1134.5875000000001</v>
      </c>
      <c r="R31" s="31">
        <v>0</v>
      </c>
      <c r="S31" s="31">
        <f t="shared" si="2"/>
        <v>0</v>
      </c>
      <c r="T31" s="92">
        <f t="shared" si="3"/>
        <v>0</v>
      </c>
    </row>
    <row r="32" spans="1:20" ht="15.6" x14ac:dyDescent="0.3">
      <c r="A32" s="145">
        <v>44385</v>
      </c>
      <c r="B32" s="11">
        <v>2344.9609999999998</v>
      </c>
      <c r="C32" s="11">
        <v>46.203400000000002</v>
      </c>
      <c r="D32" s="154">
        <v>108345.17106739999</v>
      </c>
      <c r="E32" s="90">
        <v>485.30360000000002</v>
      </c>
      <c r="F32" s="157">
        <v>1134.5875000000001</v>
      </c>
      <c r="G32" s="31">
        <f t="shared" si="5"/>
        <v>108.0185683714277</v>
      </c>
      <c r="H32" s="92">
        <f t="shared" si="6"/>
        <v>253299.33010683145</v>
      </c>
      <c r="N32" s="120">
        <v>44713</v>
      </c>
      <c r="O32" s="31">
        <v>127.675</v>
      </c>
      <c r="P32" s="90">
        <v>776.67010000000005</v>
      </c>
      <c r="Q32" s="269">
        <v>1134.5875000000001</v>
      </c>
      <c r="R32" s="31">
        <v>1026178.77</v>
      </c>
      <c r="S32" s="31">
        <f t="shared" si="2"/>
        <v>2930.1852807852301</v>
      </c>
      <c r="T32" s="92">
        <f t="shared" si="3"/>
        <v>8037.4291756412767</v>
      </c>
    </row>
    <row r="33" spans="1:20" ht="15.6" x14ac:dyDescent="0.3">
      <c r="A33" s="145">
        <v>44429</v>
      </c>
      <c r="B33" s="11">
        <v>6515.02</v>
      </c>
      <c r="C33" s="11">
        <v>49.531399999999998</v>
      </c>
      <c r="D33" s="154">
        <v>322698.061628</v>
      </c>
      <c r="E33" s="90">
        <v>497.93709999999999</v>
      </c>
      <c r="F33" s="157">
        <v>1134.5875000000001</v>
      </c>
      <c r="G33" s="31">
        <f t="shared" si="5"/>
        <v>112.86105674290991</v>
      </c>
      <c r="H33" s="92">
        <f t="shared" si="6"/>
        <v>735292.04190119298</v>
      </c>
      <c r="N33" s="120">
        <v>44743</v>
      </c>
      <c r="O33" s="31">
        <v>134.72619047619051</v>
      </c>
      <c r="P33" s="90">
        <v>833.88940000000002</v>
      </c>
      <c r="Q33" s="269">
        <v>1134.5875000000001</v>
      </c>
      <c r="R33" s="31">
        <v>0</v>
      </c>
      <c r="S33" s="31">
        <f t="shared" si="2"/>
        <v>0</v>
      </c>
      <c r="T33" s="92">
        <f t="shared" si="3"/>
        <v>0</v>
      </c>
    </row>
    <row r="34" spans="1:20" ht="15.6" x14ac:dyDescent="0.3">
      <c r="A34" s="145">
        <v>44510</v>
      </c>
      <c r="B34" s="11">
        <v>4923.6149999999998</v>
      </c>
      <c r="C34" s="11">
        <v>54.395400000000002</v>
      </c>
      <c r="D34" s="154">
        <v>267822.00737100001</v>
      </c>
      <c r="E34" s="90">
        <v>548.70730000000003</v>
      </c>
      <c r="F34" s="157">
        <v>1134.5875000000001</v>
      </c>
      <c r="G34" s="31">
        <f t="shared" si="5"/>
        <v>112.47588814200212</v>
      </c>
      <c r="H34" s="92">
        <f t="shared" si="6"/>
        <v>553787.96999428375</v>
      </c>
      <c r="N34" s="120">
        <v>44774</v>
      </c>
      <c r="O34" s="31">
        <v>141.64772727272731</v>
      </c>
      <c r="P34" s="90">
        <v>891.851</v>
      </c>
      <c r="Q34" s="269">
        <v>1134.5875000000001</v>
      </c>
      <c r="R34" s="31">
        <v>1141493.8</v>
      </c>
      <c r="S34" s="31">
        <f t="shared" si="2"/>
        <v>3611.2476541275996</v>
      </c>
      <c r="T34" s="92">
        <f t="shared" si="3"/>
        <v>8058.6806578419555</v>
      </c>
    </row>
    <row r="35" spans="1:20" ht="15.6" x14ac:dyDescent="0.3">
      <c r="A35" s="145">
        <v>44568</v>
      </c>
      <c r="B35" s="11">
        <v>4969.2439999999997</v>
      </c>
      <c r="C35" s="11">
        <v>56.187399999999997</v>
      </c>
      <c r="D35" s="154">
        <v>279208.90032559994</v>
      </c>
      <c r="E35" s="90">
        <v>593.42190000000005</v>
      </c>
      <c r="F35" s="157">
        <v>1134.5875000000001</v>
      </c>
      <c r="G35" s="31">
        <f t="shared" si="5"/>
        <v>107.42697850803955</v>
      </c>
      <c r="H35" s="92">
        <f t="shared" si="6"/>
        <v>533830.86838920449</v>
      </c>
      <c r="N35" s="120">
        <v>44805</v>
      </c>
      <c r="O35" s="31">
        <v>149.61904761904759</v>
      </c>
      <c r="P35" s="90">
        <v>945.68359999999996</v>
      </c>
      <c r="Q35" s="269">
        <v>1134.5875000000001</v>
      </c>
      <c r="R35" s="31">
        <v>0</v>
      </c>
      <c r="S35" s="31">
        <f t="shared" si="2"/>
        <v>0</v>
      </c>
      <c r="T35" s="92">
        <f t="shared" si="3"/>
        <v>0</v>
      </c>
    </row>
    <row r="36" spans="1:20" ht="15.6" x14ac:dyDescent="0.3">
      <c r="A36" s="145">
        <v>44649</v>
      </c>
      <c r="B36" s="11">
        <v>2712.4960000000001</v>
      </c>
      <c r="C36" s="11">
        <v>60.948500000000003</v>
      </c>
      <c r="D36" s="154">
        <v>165322.56245600001</v>
      </c>
      <c r="E36" s="90">
        <v>661.86879999999996</v>
      </c>
      <c r="F36" s="157">
        <v>1134.5875000000001</v>
      </c>
      <c r="G36" s="31">
        <f t="shared" si="5"/>
        <v>104.47902400558844</v>
      </c>
      <c r="H36" s="92">
        <f t="shared" si="6"/>
        <v>283398.93469906267</v>
      </c>
      <c r="N36" s="120">
        <v>44835</v>
      </c>
      <c r="O36" s="31">
        <v>158.61842105263159</v>
      </c>
      <c r="P36" s="90">
        <v>1007.6275000000001</v>
      </c>
      <c r="Q36" s="269">
        <v>1134.5875000000001</v>
      </c>
      <c r="R36" s="31">
        <v>0</v>
      </c>
      <c r="S36" s="31">
        <f t="shared" si="2"/>
        <v>0</v>
      </c>
      <c r="T36" s="92">
        <f t="shared" si="3"/>
        <v>0</v>
      </c>
    </row>
    <row r="37" spans="1:20" ht="15.6" x14ac:dyDescent="0.3">
      <c r="A37" s="145">
        <v>44718</v>
      </c>
      <c r="B37" s="11">
        <v>2816.7710000000002</v>
      </c>
      <c r="C37" s="11">
        <v>72.468500000000006</v>
      </c>
      <c r="D37" s="154">
        <v>204127.16921350002</v>
      </c>
      <c r="E37" s="90">
        <v>776.67010000000005</v>
      </c>
      <c r="F37" s="157">
        <v>1134.5875000000001</v>
      </c>
      <c r="G37" s="31">
        <f t="shared" si="5"/>
        <v>105.86458039745577</v>
      </c>
      <c r="H37" s="92">
        <f t="shared" si="6"/>
        <v>298196.2799907219</v>
      </c>
      <c r="N37" s="120">
        <v>44866</v>
      </c>
      <c r="O37" s="31">
        <v>168.39285714285711</v>
      </c>
      <c r="P37" s="90">
        <v>1058.0026</v>
      </c>
      <c r="Q37" s="269">
        <v>1134.5875000000001</v>
      </c>
      <c r="R37" s="31">
        <v>590084.06000000006</v>
      </c>
      <c r="S37" s="31">
        <f t="shared" si="2"/>
        <v>2214.726982968331</v>
      </c>
      <c r="T37" s="92">
        <f t="shared" si="3"/>
        <v>3504.2107486744444</v>
      </c>
    </row>
    <row r="38" spans="1:20" ht="15.6" x14ac:dyDescent="0.3">
      <c r="A38" s="145">
        <v>44727</v>
      </c>
      <c r="B38" s="11">
        <v>4827.4449999999997</v>
      </c>
      <c r="C38" s="11">
        <v>72.468500000000006</v>
      </c>
      <c r="D38" s="154">
        <v>349837.69798250002</v>
      </c>
      <c r="E38" s="90">
        <v>776.67010000000005</v>
      </c>
      <c r="F38" s="157">
        <v>1134.5875000000001</v>
      </c>
      <c r="G38" s="31">
        <f t="shared" si="5"/>
        <v>105.86458039745577</v>
      </c>
      <c r="H38" s="92">
        <f t="shared" si="6"/>
        <v>511055.43931679585</v>
      </c>
      <c r="N38" s="265">
        <v>44896</v>
      </c>
      <c r="O38" s="158">
        <v>179.28749999999999</v>
      </c>
      <c r="P38" s="159">
        <v>1114.5359000000001</v>
      </c>
      <c r="Q38" s="270">
        <v>1134.5875000000001</v>
      </c>
      <c r="R38" s="158">
        <v>283988.7</v>
      </c>
      <c r="S38" s="158">
        <f t="shared" si="2"/>
        <v>1134.0792955107361</v>
      </c>
      <c r="T38" s="93">
        <f t="shared" si="3"/>
        <v>1583.98494038904</v>
      </c>
    </row>
    <row r="39" spans="1:20" ht="15.6" x14ac:dyDescent="0.3">
      <c r="A39" s="145">
        <v>44790</v>
      </c>
      <c r="B39" s="11">
        <v>3095.252</v>
      </c>
      <c r="C39" s="11">
        <v>77.844499999999996</v>
      </c>
      <c r="D39" s="154">
        <v>240948.34431399999</v>
      </c>
      <c r="E39" s="90">
        <v>891.851</v>
      </c>
      <c r="F39" s="157">
        <v>1134.5875000000001</v>
      </c>
      <c r="G39" s="31">
        <f t="shared" si="5"/>
        <v>99.031560926376727</v>
      </c>
      <c r="H39" s="92">
        <f t="shared" si="6"/>
        <v>306527.63702048943</v>
      </c>
    </row>
    <row r="40" spans="1:20" ht="15.6" x14ac:dyDescent="0.3">
      <c r="A40" s="145">
        <v>44798</v>
      </c>
      <c r="B40" s="11">
        <v>4617.482</v>
      </c>
      <c r="C40" s="11">
        <v>77.844499999999996</v>
      </c>
      <c r="D40" s="154">
        <v>359445.57754899998</v>
      </c>
      <c r="E40" s="90">
        <v>891.851</v>
      </c>
      <c r="F40" s="157">
        <v>1134.5875000000001</v>
      </c>
      <c r="G40" s="31">
        <f t="shared" si="5"/>
        <v>99.031560926376727</v>
      </c>
      <c r="H40" s="92">
        <f t="shared" si="6"/>
        <v>457276.45000944787</v>
      </c>
    </row>
    <row r="41" spans="1:20" ht="15.6" x14ac:dyDescent="0.3">
      <c r="A41" s="155">
        <v>44914</v>
      </c>
      <c r="B41" s="143">
        <v>6641.1660000000002</v>
      </c>
      <c r="C41" s="143">
        <v>88.852500000000006</v>
      </c>
      <c r="D41" s="156">
        <v>590084.20201500005</v>
      </c>
      <c r="E41" s="159">
        <v>1114.5359000000001</v>
      </c>
      <c r="F41" s="160">
        <v>1134.5875000000001</v>
      </c>
      <c r="G41" s="158">
        <f t="shared" si="5"/>
        <v>90.451044101630117</v>
      </c>
      <c r="H41" s="93">
        <f t="shared" si="6"/>
        <v>600700.39875224652</v>
      </c>
    </row>
    <row r="43" spans="1:20" ht="26.4" customHeight="1" x14ac:dyDescent="0.3">
      <c r="A43" s="147" t="s">
        <v>339</v>
      </c>
      <c r="B43" s="165"/>
      <c r="C43" s="664">
        <f>CORREL(B45:B80,C45:C80)</f>
        <v>0.97565202284318886</v>
      </c>
      <c r="D43" s="665"/>
    </row>
    <row r="44" spans="1:20" ht="15.6" x14ac:dyDescent="0.3">
      <c r="A44" s="21" t="s">
        <v>324</v>
      </c>
      <c r="B44" s="163" t="s">
        <v>325</v>
      </c>
      <c r="C44" s="127" t="s">
        <v>328</v>
      </c>
      <c r="D44" s="146" t="s">
        <v>338</v>
      </c>
    </row>
    <row r="45" spans="1:20" ht="15.6" x14ac:dyDescent="0.3">
      <c r="A45" s="145">
        <v>43920</v>
      </c>
      <c r="B45" s="172">
        <v>23.5</v>
      </c>
      <c r="C45" s="90">
        <v>302.22739999999999</v>
      </c>
      <c r="D45" s="161" t="s">
        <v>336</v>
      </c>
    </row>
    <row r="46" spans="1:20" ht="15.6" x14ac:dyDescent="0.3">
      <c r="A46" s="145">
        <v>43944</v>
      </c>
      <c r="B46" s="172">
        <v>23.624199999999998</v>
      </c>
      <c r="C46" s="90">
        <v>306.44830000000002</v>
      </c>
      <c r="D46" s="161" t="s">
        <v>337</v>
      </c>
    </row>
    <row r="47" spans="1:20" ht="15.6" x14ac:dyDescent="0.3">
      <c r="A47" s="145">
        <v>43964</v>
      </c>
      <c r="B47" s="172">
        <v>23.624199999999998</v>
      </c>
      <c r="C47" s="90">
        <v>311.09219999999999</v>
      </c>
      <c r="D47" s="161" t="s">
        <v>337</v>
      </c>
    </row>
    <row r="48" spans="1:20" ht="15.6" x14ac:dyDescent="0.3">
      <c r="A48" s="145">
        <v>44012</v>
      </c>
      <c r="B48" s="172">
        <v>23.5</v>
      </c>
      <c r="C48" s="90">
        <v>317.46609999999998</v>
      </c>
      <c r="D48" s="161" t="s">
        <v>336</v>
      </c>
      <c r="E48" s="166"/>
    </row>
    <row r="49" spans="1:4" ht="15.6" x14ac:dyDescent="0.3">
      <c r="A49" s="145">
        <v>44026</v>
      </c>
      <c r="B49" s="172">
        <v>23.5</v>
      </c>
      <c r="C49" s="90">
        <v>322.67910000000001</v>
      </c>
      <c r="D49" s="161" t="s">
        <v>336</v>
      </c>
    </row>
    <row r="50" spans="1:4" ht="15.6" x14ac:dyDescent="0.3">
      <c r="A50" s="145">
        <v>44025</v>
      </c>
      <c r="B50" s="172">
        <v>23.624199999999998</v>
      </c>
      <c r="C50" s="90">
        <v>322.67910000000001</v>
      </c>
      <c r="D50" s="161" t="s">
        <v>337</v>
      </c>
    </row>
    <row r="51" spans="1:4" ht="15.6" x14ac:dyDescent="0.3">
      <c r="A51" s="145">
        <v>44074</v>
      </c>
      <c r="B51" s="172">
        <v>23.624199999999998</v>
      </c>
      <c r="C51" s="90">
        <v>331.69569999999999</v>
      </c>
      <c r="D51" s="161" t="s">
        <v>337</v>
      </c>
    </row>
    <row r="52" spans="1:4" ht="15.6" x14ac:dyDescent="0.3">
      <c r="A52" s="145">
        <v>44089</v>
      </c>
      <c r="B52" s="172">
        <v>23.5</v>
      </c>
      <c r="C52" s="90">
        <v>340.90199999999999</v>
      </c>
      <c r="D52" s="161" t="s">
        <v>336</v>
      </c>
    </row>
    <row r="53" spans="1:4" ht="15.6" x14ac:dyDescent="0.3">
      <c r="A53" s="145">
        <v>44159</v>
      </c>
      <c r="B53" s="172">
        <v>29.85</v>
      </c>
      <c r="C53" s="90">
        <v>363.53809999999999</v>
      </c>
      <c r="D53" s="161" t="s">
        <v>336</v>
      </c>
    </row>
    <row r="54" spans="1:4" ht="15.6" x14ac:dyDescent="0.3">
      <c r="A54" s="145">
        <v>44151</v>
      </c>
      <c r="B54" s="172">
        <v>30.0242</v>
      </c>
      <c r="C54" s="90">
        <v>363.53809999999999</v>
      </c>
      <c r="D54" s="161" t="s">
        <v>337</v>
      </c>
    </row>
    <row r="55" spans="1:4" ht="15.6" x14ac:dyDescent="0.3">
      <c r="A55" s="145">
        <v>44227</v>
      </c>
      <c r="B55" s="172">
        <v>33.659999999999997</v>
      </c>
      <c r="C55" s="90">
        <v>389.44540000000001</v>
      </c>
      <c r="D55" s="161" t="s">
        <v>336</v>
      </c>
    </row>
    <row r="56" spans="1:4" ht="15.6" x14ac:dyDescent="0.3">
      <c r="A56" s="145">
        <v>44235</v>
      </c>
      <c r="B56" s="172">
        <v>38.472200000000001</v>
      </c>
      <c r="C56" s="90">
        <v>403.48540000000003</v>
      </c>
      <c r="D56" s="161" t="s">
        <v>337</v>
      </c>
    </row>
    <row r="57" spans="1:4" ht="15.6" x14ac:dyDescent="0.3">
      <c r="A57" s="145">
        <v>44316</v>
      </c>
      <c r="B57" s="172">
        <v>44.38</v>
      </c>
      <c r="C57" s="90">
        <v>441.89550000000003</v>
      </c>
      <c r="D57" s="161" t="s">
        <v>336</v>
      </c>
    </row>
    <row r="58" spans="1:4" ht="15.6" x14ac:dyDescent="0.3">
      <c r="A58" s="145">
        <v>44316</v>
      </c>
      <c r="B58" s="172">
        <v>44.667400000000001</v>
      </c>
      <c r="C58" s="90">
        <v>441.89550000000003</v>
      </c>
      <c r="D58" s="161" t="s">
        <v>337</v>
      </c>
    </row>
    <row r="59" spans="1:4" ht="15.6" x14ac:dyDescent="0.3">
      <c r="A59" s="145">
        <v>44375</v>
      </c>
      <c r="B59" s="172">
        <v>44.667400000000001</v>
      </c>
      <c r="C59" s="90">
        <v>470.78399999999999</v>
      </c>
      <c r="D59" s="161" t="s">
        <v>337</v>
      </c>
    </row>
    <row r="60" spans="1:4" ht="15.6" x14ac:dyDescent="0.3">
      <c r="A60" s="145">
        <v>44385</v>
      </c>
      <c r="B60" s="172">
        <v>46.203400000000002</v>
      </c>
      <c r="C60" s="90">
        <v>485.30360000000002</v>
      </c>
      <c r="D60" s="161" t="s">
        <v>337</v>
      </c>
    </row>
    <row r="61" spans="1:4" ht="15.6" x14ac:dyDescent="0.3">
      <c r="A61" s="145">
        <v>44465</v>
      </c>
      <c r="B61" s="172">
        <v>44.38</v>
      </c>
      <c r="C61" s="90">
        <v>517.04250000000002</v>
      </c>
      <c r="D61" s="161" t="s">
        <v>336</v>
      </c>
    </row>
    <row r="62" spans="1:4" ht="15.6" x14ac:dyDescent="0.3">
      <c r="A62" s="145">
        <v>44382</v>
      </c>
      <c r="B62" s="172">
        <v>45.9</v>
      </c>
      <c r="C62" s="90">
        <v>485.30360000000002</v>
      </c>
      <c r="D62" s="161" t="s">
        <v>336</v>
      </c>
    </row>
    <row r="63" spans="1:4" ht="15.6" x14ac:dyDescent="0.3">
      <c r="A63" s="145">
        <v>44429</v>
      </c>
      <c r="B63" s="172">
        <v>49.531399999999998</v>
      </c>
      <c r="C63" s="90">
        <v>497.93709999999999</v>
      </c>
      <c r="D63" s="161" t="s">
        <v>337</v>
      </c>
    </row>
    <row r="64" spans="1:4" ht="15.6" x14ac:dyDescent="0.3">
      <c r="A64" s="145">
        <v>44469</v>
      </c>
      <c r="B64" s="172">
        <v>49.21</v>
      </c>
      <c r="C64" s="90">
        <v>517.04250000000002</v>
      </c>
      <c r="D64" s="161" t="s">
        <v>336</v>
      </c>
    </row>
    <row r="65" spans="1:4" ht="15.6" x14ac:dyDescent="0.3">
      <c r="A65" s="145">
        <v>44469</v>
      </c>
      <c r="B65" s="172">
        <v>51.75</v>
      </c>
      <c r="C65" s="90">
        <v>517.04250000000002</v>
      </c>
      <c r="D65" s="161" t="s">
        <v>336</v>
      </c>
    </row>
    <row r="66" spans="1:4" ht="15.6" x14ac:dyDescent="0.3">
      <c r="A66" s="145">
        <v>44516</v>
      </c>
      <c r="B66" s="172">
        <v>54.03</v>
      </c>
      <c r="C66" s="90">
        <v>548.70730000000003</v>
      </c>
      <c r="D66" s="161" t="s">
        <v>336</v>
      </c>
    </row>
    <row r="67" spans="1:4" ht="15.6" x14ac:dyDescent="0.3">
      <c r="A67" s="145">
        <v>44510</v>
      </c>
      <c r="B67" s="172">
        <v>54.395400000000002</v>
      </c>
      <c r="C67" s="90">
        <v>548.70730000000003</v>
      </c>
      <c r="D67" s="161" t="s">
        <v>337</v>
      </c>
    </row>
    <row r="68" spans="1:4" ht="15.6" x14ac:dyDescent="0.3">
      <c r="A68" s="145">
        <v>44568</v>
      </c>
      <c r="B68" s="172">
        <v>56.187399999999997</v>
      </c>
      <c r="C68" s="90">
        <v>593.42190000000005</v>
      </c>
      <c r="D68" s="161" t="s">
        <v>337</v>
      </c>
    </row>
    <row r="69" spans="1:4" ht="15.6" x14ac:dyDescent="0.3">
      <c r="A69" s="145">
        <v>44649</v>
      </c>
      <c r="B69" s="172">
        <v>60.948500000000003</v>
      </c>
      <c r="C69" s="90">
        <v>661.86879999999996</v>
      </c>
      <c r="D69" s="161" t="s">
        <v>337</v>
      </c>
    </row>
    <row r="70" spans="1:4" ht="15.6" x14ac:dyDescent="0.3">
      <c r="A70" s="145">
        <v>44663</v>
      </c>
      <c r="B70" s="172">
        <v>65.87</v>
      </c>
      <c r="C70" s="90">
        <v>702.82899999999995</v>
      </c>
      <c r="D70" s="161" t="s">
        <v>336</v>
      </c>
    </row>
    <row r="71" spans="1:4" ht="15.6" x14ac:dyDescent="0.3">
      <c r="A71" s="145">
        <v>44700</v>
      </c>
      <c r="B71" s="172">
        <v>70.44</v>
      </c>
      <c r="C71" s="90">
        <v>736.36369999999999</v>
      </c>
      <c r="D71" s="161" t="s">
        <v>336</v>
      </c>
    </row>
    <row r="72" spans="1:4" ht="15.6" x14ac:dyDescent="0.3">
      <c r="A72" s="145">
        <v>44725</v>
      </c>
      <c r="B72" s="172">
        <v>71.959999999999994</v>
      </c>
      <c r="C72" s="90">
        <v>776.67010000000005</v>
      </c>
      <c r="D72" s="161" t="s">
        <v>336</v>
      </c>
    </row>
    <row r="73" spans="1:4" ht="15.6" x14ac:dyDescent="0.3">
      <c r="A73" s="145">
        <v>44718</v>
      </c>
      <c r="B73" s="172">
        <v>72.468500000000006</v>
      </c>
      <c r="C73" s="90">
        <v>776.67010000000005</v>
      </c>
      <c r="D73" s="161" t="s">
        <v>337</v>
      </c>
    </row>
    <row r="74" spans="1:4" ht="15.6" x14ac:dyDescent="0.3">
      <c r="A74" s="145">
        <v>44727</v>
      </c>
      <c r="B74" s="172">
        <v>72.468500000000006</v>
      </c>
      <c r="C74" s="90">
        <v>776.67010000000005</v>
      </c>
      <c r="D74" s="161" t="s">
        <v>337</v>
      </c>
    </row>
    <row r="75" spans="1:4" ht="15.6" x14ac:dyDescent="0.3">
      <c r="A75" s="145">
        <v>44790</v>
      </c>
      <c r="B75" s="172">
        <v>77.3</v>
      </c>
      <c r="C75" s="90">
        <v>891.851</v>
      </c>
      <c r="D75" s="161" t="s">
        <v>336</v>
      </c>
    </row>
    <row r="76" spans="1:4" ht="15.6" x14ac:dyDescent="0.3">
      <c r="A76" s="145">
        <v>44803</v>
      </c>
      <c r="B76" s="172">
        <v>77.3</v>
      </c>
      <c r="C76" s="90">
        <v>891.851</v>
      </c>
      <c r="D76" s="161" t="s">
        <v>336</v>
      </c>
    </row>
    <row r="77" spans="1:4" ht="15.6" x14ac:dyDescent="0.3">
      <c r="A77" s="145">
        <v>44790</v>
      </c>
      <c r="B77" s="172">
        <v>77.844499999999996</v>
      </c>
      <c r="C77" s="90">
        <v>891.851</v>
      </c>
      <c r="D77" s="161" t="s">
        <v>337</v>
      </c>
    </row>
    <row r="78" spans="1:4" ht="15.6" x14ac:dyDescent="0.3">
      <c r="A78" s="145">
        <v>44798</v>
      </c>
      <c r="B78" s="172">
        <v>77.844499999999996</v>
      </c>
      <c r="C78" s="90">
        <v>891.851</v>
      </c>
      <c r="D78" s="161" t="s">
        <v>337</v>
      </c>
    </row>
    <row r="79" spans="1:4" ht="15.6" x14ac:dyDescent="0.3">
      <c r="A79" s="145">
        <v>44921</v>
      </c>
      <c r="B79" s="172">
        <v>88.47</v>
      </c>
      <c r="C79" s="90">
        <v>1114.5359000000001</v>
      </c>
      <c r="D79" s="161" t="s">
        <v>336</v>
      </c>
    </row>
    <row r="80" spans="1:4" ht="15.6" x14ac:dyDescent="0.3">
      <c r="A80" s="155">
        <v>44914</v>
      </c>
      <c r="B80" s="164">
        <v>88.852500000000006</v>
      </c>
      <c r="C80" s="159">
        <v>1114.5359000000001</v>
      </c>
      <c r="D80" s="162" t="s">
        <v>337</v>
      </c>
    </row>
  </sheetData>
  <mergeCells count="2">
    <mergeCell ref="C43:D43"/>
    <mergeCell ref="N1:T1"/>
  </mergeCells>
  <phoneticPr fontId="23" type="noConversion"/>
  <pageMargins left="0.7" right="0.7" top="0.75" bottom="0.75" header="0.3" footer="0.3"/>
  <ignoredErrors>
    <ignoredError sqref="K4:K10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8281F-E73A-4B82-991E-4532280E50DD}">
  <dimension ref="A1:S24"/>
  <sheetViews>
    <sheetView topLeftCell="A7" zoomScale="71" workbookViewId="0">
      <selection activeCell="K24" sqref="A20:K24"/>
    </sheetView>
  </sheetViews>
  <sheetFormatPr baseColWidth="10" defaultRowHeight="14.4" x14ac:dyDescent="0.3"/>
  <cols>
    <col min="1" max="1" width="46" customWidth="1"/>
    <col min="2" max="2" width="29.77734375" hidden="1" customWidth="1"/>
    <col min="3" max="3" width="29.5546875" hidden="1" customWidth="1"/>
    <col min="4" max="4" width="29.33203125" customWidth="1"/>
    <col min="5" max="5" width="14.109375" customWidth="1"/>
    <col min="6" max="6" width="16.109375" hidden="1" customWidth="1"/>
    <col min="7" max="7" width="14.109375" hidden="1" customWidth="1"/>
    <col min="8" max="8" width="2.6640625" hidden="1" customWidth="1"/>
    <col min="9" max="9" width="49.109375" customWidth="1"/>
    <col min="10" max="10" width="16.44140625" bestFit="1" customWidth="1"/>
    <col min="11" max="11" width="19.77734375" bestFit="1" customWidth="1"/>
    <col min="12" max="12" width="24.88671875" customWidth="1"/>
    <col min="13" max="13" width="19.77734375" customWidth="1"/>
    <col min="14" max="14" width="12.21875" hidden="1" customWidth="1"/>
    <col min="15" max="15" width="9.5546875" hidden="1" customWidth="1"/>
    <col min="16" max="16" width="16.77734375" hidden="1" customWidth="1"/>
  </cols>
  <sheetData>
    <row r="1" spans="1:16" ht="22.8" x14ac:dyDescent="0.3">
      <c r="A1" s="679" t="s">
        <v>432</v>
      </c>
      <c r="B1" s="680"/>
      <c r="C1" s="680"/>
      <c r="D1" s="680"/>
      <c r="E1" s="680"/>
      <c r="F1" s="680"/>
      <c r="G1" s="680"/>
      <c r="H1" s="680"/>
      <c r="I1" s="680"/>
      <c r="J1" s="680"/>
      <c r="K1" s="680"/>
      <c r="L1" s="680"/>
      <c r="M1" s="680"/>
      <c r="N1" s="680"/>
      <c r="O1" s="680"/>
      <c r="P1" s="681"/>
    </row>
    <row r="2" spans="1:16" ht="25.8" customHeight="1" x14ac:dyDescent="0.3">
      <c r="A2" s="173" t="s">
        <v>19</v>
      </c>
      <c r="B2" s="173" t="s">
        <v>96</v>
      </c>
      <c r="C2" s="173" t="s">
        <v>97</v>
      </c>
      <c r="D2" s="174" t="s">
        <v>102</v>
      </c>
      <c r="E2" s="174" t="s">
        <v>20</v>
      </c>
      <c r="F2" s="175" t="s">
        <v>145</v>
      </c>
      <c r="G2" s="175" t="s">
        <v>320</v>
      </c>
      <c r="H2" s="175" t="s">
        <v>321</v>
      </c>
      <c r="I2" s="175" t="s">
        <v>322</v>
      </c>
      <c r="J2" s="175" t="s">
        <v>22</v>
      </c>
      <c r="K2" s="175" t="s">
        <v>323</v>
      </c>
      <c r="L2" s="175" t="s">
        <v>307</v>
      </c>
      <c r="M2" s="175" t="s">
        <v>309</v>
      </c>
      <c r="N2" s="176" t="s">
        <v>103</v>
      </c>
      <c r="O2" s="175" t="s">
        <v>22</v>
      </c>
      <c r="P2" s="175" t="s">
        <v>108</v>
      </c>
    </row>
    <row r="3" spans="1:16" ht="20.399999999999999" x14ac:dyDescent="0.3">
      <c r="A3" s="177" t="s">
        <v>294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9"/>
      <c r="N3" s="178"/>
      <c r="O3" s="178"/>
      <c r="P3" s="179"/>
    </row>
    <row r="4" spans="1:16" ht="21" x14ac:dyDescent="0.3">
      <c r="A4" s="180" t="s">
        <v>304</v>
      </c>
      <c r="B4" s="203" t="s">
        <v>112</v>
      </c>
      <c r="C4" s="202">
        <v>45083</v>
      </c>
      <c r="D4" s="203" t="s">
        <v>110</v>
      </c>
      <c r="E4" s="203">
        <v>7</v>
      </c>
      <c r="F4" s="184">
        <f>15291.01</f>
        <v>15291.01</v>
      </c>
      <c r="G4" s="182">
        <v>1475.1</v>
      </c>
      <c r="H4" s="182">
        <v>1114.5</v>
      </c>
      <c r="I4" s="184">
        <f>(F4*H4)/G4</f>
        <v>11553.000233882449</v>
      </c>
      <c r="J4" s="181" t="s">
        <v>45</v>
      </c>
      <c r="K4" s="274">
        <f t="shared" ref="K4:K14" si="0">I4*E4</f>
        <v>80871.001637177134</v>
      </c>
      <c r="L4" s="183" t="s">
        <v>308</v>
      </c>
      <c r="M4" s="278">
        <f t="shared" ref="M4:M10" si="1">K4-(K4*21%)</f>
        <v>63888.091293369936</v>
      </c>
      <c r="N4" s="184">
        <v>252.5</v>
      </c>
      <c r="O4" s="181" t="s">
        <v>23</v>
      </c>
      <c r="P4" s="185">
        <f>M4/N4</f>
        <v>253.02214373611855</v>
      </c>
    </row>
    <row r="5" spans="1:16" ht="21" x14ac:dyDescent="0.3">
      <c r="A5" s="180" t="s">
        <v>295</v>
      </c>
      <c r="B5" s="203" t="s">
        <v>112</v>
      </c>
      <c r="C5" s="202">
        <v>45083</v>
      </c>
      <c r="D5" s="203" t="s">
        <v>110</v>
      </c>
      <c r="E5" s="203">
        <v>2</v>
      </c>
      <c r="F5" s="184">
        <f>30846.05</f>
        <v>30846.05</v>
      </c>
      <c r="G5" s="182">
        <v>1475.1</v>
      </c>
      <c r="H5" s="182">
        <v>1114.5</v>
      </c>
      <c r="I5" s="184">
        <f t="shared" ref="I5:I11" si="2">(F5*H5)/G5</f>
        <v>23305.486221273135</v>
      </c>
      <c r="J5" s="181" t="s">
        <v>45</v>
      </c>
      <c r="K5" s="274">
        <f t="shared" si="0"/>
        <v>46610.97244254627</v>
      </c>
      <c r="L5" s="183" t="s">
        <v>308</v>
      </c>
      <c r="M5" s="278">
        <f t="shared" si="1"/>
        <v>36822.668229611554</v>
      </c>
      <c r="N5" s="184">
        <v>252.5</v>
      </c>
      <c r="O5" s="181" t="s">
        <v>23</v>
      </c>
      <c r="P5" s="185">
        <f t="shared" ref="P5:P12" si="3">M5/N5</f>
        <v>145.83234942420418</v>
      </c>
    </row>
    <row r="6" spans="1:16" ht="21" x14ac:dyDescent="0.3">
      <c r="A6" s="180" t="s">
        <v>296</v>
      </c>
      <c r="B6" s="203" t="s">
        <v>112</v>
      </c>
      <c r="C6" s="202">
        <v>45083</v>
      </c>
      <c r="D6" s="203" t="s">
        <v>110</v>
      </c>
      <c r="E6" s="203">
        <v>2</v>
      </c>
      <c r="F6" s="184">
        <v>31985.02</v>
      </c>
      <c r="G6" s="182">
        <v>1475.1</v>
      </c>
      <c r="H6" s="182">
        <v>1114.5</v>
      </c>
      <c r="I6" s="184">
        <f t="shared" si="2"/>
        <v>24166.025889770186</v>
      </c>
      <c r="J6" s="181" t="s">
        <v>45</v>
      </c>
      <c r="K6" s="274">
        <f t="shared" si="0"/>
        <v>48332.051779540372</v>
      </c>
      <c r="L6" s="183" t="s">
        <v>308</v>
      </c>
      <c r="M6" s="278">
        <f t="shared" si="1"/>
        <v>38182.320905836896</v>
      </c>
      <c r="N6" s="184">
        <v>252.5</v>
      </c>
      <c r="O6" s="181" t="s">
        <v>23</v>
      </c>
      <c r="P6" s="185">
        <f t="shared" si="3"/>
        <v>151.21711249836395</v>
      </c>
    </row>
    <row r="7" spans="1:16" ht="21" x14ac:dyDescent="0.4">
      <c r="A7" s="186" t="s">
        <v>310</v>
      </c>
      <c r="B7" s="203" t="s">
        <v>112</v>
      </c>
      <c r="C7" s="202">
        <v>45083</v>
      </c>
      <c r="D7" s="203" t="s">
        <v>298</v>
      </c>
      <c r="E7" s="204">
        <v>400</v>
      </c>
      <c r="F7" s="275">
        <v>41.14</v>
      </c>
      <c r="G7" s="182">
        <v>1475.1</v>
      </c>
      <c r="H7" s="182">
        <v>1114.5</v>
      </c>
      <c r="I7" s="184">
        <f t="shared" si="2"/>
        <v>31.082997762863535</v>
      </c>
      <c r="J7" s="181" t="s">
        <v>45</v>
      </c>
      <c r="K7" s="274">
        <f t="shared" si="0"/>
        <v>12433.199105145413</v>
      </c>
      <c r="L7" s="183" t="s">
        <v>308</v>
      </c>
      <c r="M7" s="278">
        <f t="shared" si="1"/>
        <v>9822.227293064876</v>
      </c>
      <c r="N7" s="184">
        <v>252.5</v>
      </c>
      <c r="O7" s="181" t="s">
        <v>23</v>
      </c>
      <c r="P7" s="185">
        <f t="shared" si="3"/>
        <v>38.899910071544063</v>
      </c>
    </row>
    <row r="8" spans="1:16" ht="21" x14ac:dyDescent="0.4">
      <c r="A8" s="186" t="s">
        <v>311</v>
      </c>
      <c r="B8" s="203" t="s">
        <v>112</v>
      </c>
      <c r="C8" s="202">
        <v>45083</v>
      </c>
      <c r="D8" s="203" t="s">
        <v>21</v>
      </c>
      <c r="E8" s="203">
        <v>100</v>
      </c>
      <c r="F8" s="275">
        <v>523.04</v>
      </c>
      <c r="G8" s="182">
        <v>1475.1</v>
      </c>
      <c r="H8" s="182">
        <v>1114.5</v>
      </c>
      <c r="I8" s="184">
        <f t="shared" si="2"/>
        <v>395.17868619076671</v>
      </c>
      <c r="J8" s="181" t="s">
        <v>45</v>
      </c>
      <c r="K8" s="274">
        <f t="shared" si="0"/>
        <v>39517.868619076675</v>
      </c>
      <c r="L8" s="183" t="s">
        <v>308</v>
      </c>
      <c r="M8" s="278">
        <f t="shared" si="1"/>
        <v>31219.116209070573</v>
      </c>
      <c r="N8" s="184">
        <v>252.5</v>
      </c>
      <c r="O8" s="181" t="s">
        <v>23</v>
      </c>
      <c r="P8" s="185">
        <f>M8/N8</f>
        <v>123.6400641943389</v>
      </c>
    </row>
    <row r="9" spans="1:16" ht="21" x14ac:dyDescent="0.4">
      <c r="A9" s="186" t="s">
        <v>300</v>
      </c>
      <c r="B9" s="203" t="s">
        <v>112</v>
      </c>
      <c r="C9" s="202">
        <v>45083</v>
      </c>
      <c r="D9" s="203" t="s">
        <v>21</v>
      </c>
      <c r="E9" s="203">
        <v>10</v>
      </c>
      <c r="F9" s="275">
        <v>313.04000000000002</v>
      </c>
      <c r="G9" s="182">
        <v>1475.1</v>
      </c>
      <c r="H9" s="182">
        <v>1114.5</v>
      </c>
      <c r="I9" s="184">
        <f t="shared" si="2"/>
        <v>236.51486678869233</v>
      </c>
      <c r="J9" s="181" t="s">
        <v>45</v>
      </c>
      <c r="K9" s="274">
        <f t="shared" si="0"/>
        <v>2365.1486678869232</v>
      </c>
      <c r="L9" s="183" t="s">
        <v>308</v>
      </c>
      <c r="M9" s="278">
        <f t="shared" si="1"/>
        <v>1868.4674476306693</v>
      </c>
      <c r="N9" s="184">
        <v>252.5</v>
      </c>
      <c r="O9" s="181" t="s">
        <v>23</v>
      </c>
      <c r="P9" s="185">
        <f t="shared" si="3"/>
        <v>7.3998710797254228</v>
      </c>
    </row>
    <row r="10" spans="1:16" ht="21" x14ac:dyDescent="0.4">
      <c r="A10" s="186" t="s">
        <v>297</v>
      </c>
      <c r="B10" s="203" t="s">
        <v>112</v>
      </c>
      <c r="C10" s="202">
        <v>45083</v>
      </c>
      <c r="D10" s="203" t="s">
        <v>21</v>
      </c>
      <c r="E10" s="203">
        <v>1</v>
      </c>
      <c r="F10" s="275">
        <v>26169.17</v>
      </c>
      <c r="G10" s="182">
        <v>1475.1</v>
      </c>
      <c r="H10" s="182">
        <v>1114.5</v>
      </c>
      <c r="I10" s="184">
        <f t="shared" si="2"/>
        <v>19771.906965629449</v>
      </c>
      <c r="J10" s="181" t="s">
        <v>45</v>
      </c>
      <c r="K10" s="274">
        <f t="shared" si="0"/>
        <v>19771.906965629449</v>
      </c>
      <c r="L10" s="183" t="s">
        <v>308</v>
      </c>
      <c r="M10" s="278">
        <f t="shared" si="1"/>
        <v>15619.806502847265</v>
      </c>
      <c r="N10" s="184">
        <v>252.5</v>
      </c>
      <c r="O10" s="181" t="s">
        <v>23</v>
      </c>
      <c r="P10" s="185">
        <f t="shared" si="3"/>
        <v>61.860619813256491</v>
      </c>
    </row>
    <row r="11" spans="1:16" ht="21" x14ac:dyDescent="0.4">
      <c r="A11" s="186" t="s">
        <v>301</v>
      </c>
      <c r="B11" s="203" t="s">
        <v>98</v>
      </c>
      <c r="C11" s="202">
        <v>45084</v>
      </c>
      <c r="D11" s="203" t="s">
        <v>21</v>
      </c>
      <c r="E11" s="204">
        <v>3</v>
      </c>
      <c r="F11" s="275">
        <v>5904.07</v>
      </c>
      <c r="G11" s="182">
        <v>1475.1</v>
      </c>
      <c r="H11" s="182">
        <v>1114.5</v>
      </c>
      <c r="I11" s="184">
        <f t="shared" si="2"/>
        <v>4460.7728391295504</v>
      </c>
      <c r="J11" s="181" t="s">
        <v>45</v>
      </c>
      <c r="K11" s="274">
        <f t="shared" si="0"/>
        <v>13382.318517388652</v>
      </c>
      <c r="L11" s="183" t="s">
        <v>317</v>
      </c>
      <c r="M11" s="279">
        <f>K11</f>
        <v>13382.318517388652</v>
      </c>
      <c r="N11" s="184">
        <v>252.5</v>
      </c>
      <c r="O11" s="181" t="s">
        <v>23</v>
      </c>
      <c r="P11" s="185">
        <f t="shared" si="3"/>
        <v>52.999281256984759</v>
      </c>
    </row>
    <row r="12" spans="1:16" ht="21" x14ac:dyDescent="0.4">
      <c r="A12" s="186" t="s">
        <v>302</v>
      </c>
      <c r="B12" s="203" t="s">
        <v>98</v>
      </c>
      <c r="C12" s="202">
        <v>45084</v>
      </c>
      <c r="D12" s="203" t="s">
        <v>21</v>
      </c>
      <c r="E12" s="204">
        <v>3</v>
      </c>
      <c r="F12" s="275">
        <v>12455.11</v>
      </c>
      <c r="G12" s="182">
        <v>1475.1</v>
      </c>
      <c r="H12" s="182">
        <v>1114.5</v>
      </c>
      <c r="I12" s="184">
        <f>(F12*H12)/G12</f>
        <v>9410.3586841570068</v>
      </c>
      <c r="J12" s="181" t="s">
        <v>45</v>
      </c>
      <c r="K12" s="274">
        <f t="shared" si="0"/>
        <v>28231.07605247102</v>
      </c>
      <c r="L12" s="183" t="s">
        <v>317</v>
      </c>
      <c r="M12" s="279">
        <f>K12</f>
        <v>28231.07605247102</v>
      </c>
      <c r="N12" s="184">
        <v>252.5</v>
      </c>
      <c r="O12" s="181" t="s">
        <v>23</v>
      </c>
      <c r="P12" s="185">
        <f t="shared" si="3"/>
        <v>111.80624179196444</v>
      </c>
    </row>
    <row r="13" spans="1:16" ht="21" x14ac:dyDescent="0.4">
      <c r="A13" s="186" t="s">
        <v>344</v>
      </c>
      <c r="B13" s="203" t="s">
        <v>51</v>
      </c>
      <c r="C13" s="202">
        <v>45084</v>
      </c>
      <c r="D13" s="203" t="s">
        <v>21</v>
      </c>
      <c r="E13" s="203">
        <v>2</v>
      </c>
      <c r="F13" s="275">
        <f>(P13*N13)/E13</f>
        <v>6685.19</v>
      </c>
      <c r="G13" s="182">
        <v>1475.1</v>
      </c>
      <c r="H13" s="182">
        <v>1114.5</v>
      </c>
      <c r="I13" s="184">
        <f>(F13*H13)/G13</f>
        <v>5050.9418039454958</v>
      </c>
      <c r="J13" s="181" t="s">
        <v>45</v>
      </c>
      <c r="K13" s="274">
        <f t="shared" si="0"/>
        <v>10101.883607890992</v>
      </c>
      <c r="L13" s="183" t="s">
        <v>317</v>
      </c>
      <c r="M13" s="279">
        <f>K13</f>
        <v>10101.883607890992</v>
      </c>
      <c r="N13" s="184">
        <v>252.5</v>
      </c>
      <c r="O13" s="181" t="s">
        <v>23</v>
      </c>
      <c r="P13" s="185">
        <f>26.476*E13</f>
        <v>52.951999999999998</v>
      </c>
    </row>
    <row r="14" spans="1:16" ht="21" x14ac:dyDescent="0.4">
      <c r="A14" s="186" t="s">
        <v>303</v>
      </c>
      <c r="B14" s="203" t="s">
        <v>51</v>
      </c>
      <c r="C14" s="202">
        <v>45084</v>
      </c>
      <c r="D14" s="204" t="s">
        <v>21</v>
      </c>
      <c r="E14" s="203">
        <v>50</v>
      </c>
      <c r="F14" s="275">
        <f>(P14*N14)/E14</f>
        <v>909</v>
      </c>
      <c r="G14" s="182">
        <v>1475.1</v>
      </c>
      <c r="H14" s="182">
        <v>1114.5</v>
      </c>
      <c r="I14" s="184">
        <f>(F14*H14)/G14</f>
        <v>686.78767541183652</v>
      </c>
      <c r="J14" s="181" t="s">
        <v>45</v>
      </c>
      <c r="K14" s="274">
        <f t="shared" si="0"/>
        <v>34339.383770591827</v>
      </c>
      <c r="L14" s="183" t="s">
        <v>317</v>
      </c>
      <c r="M14" s="279">
        <f>K14</f>
        <v>34339.383770591827</v>
      </c>
      <c r="N14" s="184">
        <v>252.5</v>
      </c>
      <c r="O14" s="181" t="s">
        <v>23</v>
      </c>
      <c r="P14" s="185">
        <f>3.6*E14</f>
        <v>180</v>
      </c>
    </row>
    <row r="15" spans="1:16" ht="20.399999999999999" x14ac:dyDescent="0.3">
      <c r="A15" s="177" t="s">
        <v>299</v>
      </c>
      <c r="B15" s="178"/>
      <c r="C15" s="178"/>
      <c r="D15" s="178"/>
      <c r="E15" s="189"/>
      <c r="F15" s="276"/>
      <c r="G15" s="178"/>
      <c r="H15" s="178"/>
      <c r="I15" s="273"/>
      <c r="J15" s="178"/>
      <c r="K15" s="273"/>
      <c r="L15" s="178"/>
      <c r="M15" s="280"/>
      <c r="N15" s="178"/>
      <c r="O15" s="178"/>
      <c r="P15" s="179"/>
    </row>
    <row r="16" spans="1:16" ht="21" x14ac:dyDescent="0.4">
      <c r="A16" s="190" t="s">
        <v>305</v>
      </c>
      <c r="B16" s="191" t="s">
        <v>318</v>
      </c>
      <c r="C16" s="192">
        <v>45084</v>
      </c>
      <c r="D16" s="193" t="s">
        <v>319</v>
      </c>
      <c r="E16" s="193">
        <v>30</v>
      </c>
      <c r="F16" s="277">
        <v>10000</v>
      </c>
      <c r="G16" s="182">
        <v>1475.1</v>
      </c>
      <c r="H16" s="182">
        <v>1114.5</v>
      </c>
      <c r="I16" s="184">
        <f>(F16*H16)/G16</f>
        <v>7555.4199715273544</v>
      </c>
      <c r="J16" s="183" t="s">
        <v>45</v>
      </c>
      <c r="K16" s="274">
        <f>I16*E16</f>
        <v>226662.59914582063</v>
      </c>
      <c r="L16" s="183" t="s">
        <v>317</v>
      </c>
      <c r="M16" s="279">
        <f>K16</f>
        <v>226662.59914582063</v>
      </c>
      <c r="N16" s="194">
        <v>252.5</v>
      </c>
      <c r="O16" s="195" t="s">
        <v>23</v>
      </c>
      <c r="P16" s="196"/>
    </row>
    <row r="17" spans="1:19" ht="20.399999999999999" x14ac:dyDescent="0.3">
      <c r="A17" s="197" t="s">
        <v>0</v>
      </c>
      <c r="B17" s="198"/>
      <c r="C17" s="198"/>
      <c r="D17" s="198"/>
      <c r="E17" s="198"/>
      <c r="F17" s="199"/>
      <c r="G17" s="199"/>
      <c r="H17" s="199"/>
      <c r="I17" s="199"/>
      <c r="J17" s="198"/>
      <c r="K17" s="272"/>
      <c r="L17" s="198"/>
      <c r="M17" s="281">
        <f>SUM(M4:M16)</f>
        <v>510139.95897559484</v>
      </c>
      <c r="N17" s="198"/>
      <c r="O17" s="198"/>
      <c r="P17" s="200">
        <f>SUM(P4:P16)</f>
        <v>1179.6295938665007</v>
      </c>
      <c r="S17" s="29"/>
    </row>
    <row r="18" spans="1:19" ht="22.8" customHeight="1" x14ac:dyDescent="0.3"/>
    <row r="19" spans="1:19" ht="22.8" x14ac:dyDescent="0.3">
      <c r="A19" s="679" t="s">
        <v>357</v>
      </c>
      <c r="B19" s="680"/>
      <c r="C19" s="680"/>
      <c r="D19" s="680"/>
      <c r="E19" s="680"/>
      <c r="F19" s="680"/>
      <c r="G19" s="680"/>
      <c r="H19" s="680"/>
      <c r="I19" s="680"/>
      <c r="J19" s="680"/>
      <c r="K19" s="680"/>
      <c r="L19" s="680"/>
      <c r="M19" s="680"/>
      <c r="N19" s="680"/>
      <c r="O19" s="680"/>
      <c r="P19" s="681"/>
    </row>
    <row r="20" spans="1:19" ht="19.8" customHeight="1" x14ac:dyDescent="0.3">
      <c r="A20" s="173" t="s">
        <v>19</v>
      </c>
      <c r="B20" s="173" t="s">
        <v>96</v>
      </c>
      <c r="C20" s="173" t="s">
        <v>97</v>
      </c>
      <c r="D20" s="174" t="s">
        <v>102</v>
      </c>
      <c r="E20" s="174" t="s">
        <v>20</v>
      </c>
      <c r="F20" s="175" t="s">
        <v>145</v>
      </c>
      <c r="G20" s="175" t="s">
        <v>320</v>
      </c>
      <c r="H20" s="175" t="s">
        <v>321</v>
      </c>
      <c r="I20" s="175" t="s">
        <v>322</v>
      </c>
      <c r="J20" s="175" t="s">
        <v>22</v>
      </c>
      <c r="K20" s="175" t="s">
        <v>323</v>
      </c>
      <c r="L20" s="175" t="s">
        <v>307</v>
      </c>
      <c r="M20" s="175" t="s">
        <v>309</v>
      </c>
      <c r="N20" s="176" t="s">
        <v>103</v>
      </c>
      <c r="O20" s="175" t="s">
        <v>22</v>
      </c>
      <c r="P20" s="175" t="s">
        <v>108</v>
      </c>
    </row>
    <row r="21" spans="1:19" ht="20.399999999999999" x14ac:dyDescent="0.3">
      <c r="A21" s="177" t="s">
        <v>357</v>
      </c>
      <c r="B21" s="178"/>
      <c r="C21" s="178"/>
      <c r="D21" s="178"/>
      <c r="E21" s="178"/>
      <c r="F21" s="178"/>
      <c r="G21" s="178"/>
      <c r="H21" s="178"/>
      <c r="I21" s="178"/>
      <c r="J21" s="178"/>
      <c r="K21" s="178"/>
      <c r="L21" s="178"/>
      <c r="M21" s="179"/>
      <c r="P21" s="6"/>
    </row>
    <row r="22" spans="1:19" ht="21" x14ac:dyDescent="0.4">
      <c r="A22" s="186" t="s">
        <v>262</v>
      </c>
      <c r="B22" s="203" t="s">
        <v>355</v>
      </c>
      <c r="C22" s="202">
        <v>44901</v>
      </c>
      <c r="D22" s="203" t="s">
        <v>356</v>
      </c>
      <c r="E22" s="204">
        <v>1230</v>
      </c>
      <c r="F22" s="187">
        <v>200.7</v>
      </c>
      <c r="G22" s="182" t="s">
        <v>9</v>
      </c>
      <c r="H22" s="182" t="s">
        <v>9</v>
      </c>
      <c r="I22" s="187">
        <v>200.7</v>
      </c>
      <c r="J22" s="181" t="s">
        <v>45</v>
      </c>
      <c r="K22" s="183">
        <f>F22*E22</f>
        <v>246861</v>
      </c>
      <c r="L22" s="183" t="s">
        <v>317</v>
      </c>
      <c r="M22" s="188">
        <f>K22</f>
        <v>246861</v>
      </c>
      <c r="P22" s="6"/>
    </row>
    <row r="23" spans="1:19" ht="21" x14ac:dyDescent="0.4">
      <c r="A23" s="186" t="s">
        <v>263</v>
      </c>
      <c r="B23" s="203" t="s">
        <v>355</v>
      </c>
      <c r="C23" s="202">
        <v>44901</v>
      </c>
      <c r="D23" s="203" t="s">
        <v>356</v>
      </c>
      <c r="E23" s="204">
        <v>500</v>
      </c>
      <c r="F23" s="187">
        <v>179.6</v>
      </c>
      <c r="G23" s="182" t="s">
        <v>9</v>
      </c>
      <c r="H23" s="182" t="s">
        <v>9</v>
      </c>
      <c r="I23" s="187">
        <v>179.6</v>
      </c>
      <c r="J23" s="181" t="s">
        <v>45</v>
      </c>
      <c r="K23" s="183">
        <f>F23*E23</f>
        <v>89800</v>
      </c>
      <c r="L23" s="183" t="s">
        <v>317</v>
      </c>
      <c r="M23" s="188">
        <f>K23</f>
        <v>89800</v>
      </c>
      <c r="P23" s="6"/>
    </row>
    <row r="24" spans="1:19" ht="20.399999999999999" x14ac:dyDescent="0.3">
      <c r="A24" s="197" t="s">
        <v>0</v>
      </c>
      <c r="B24" s="198"/>
      <c r="C24" s="198"/>
      <c r="D24" s="198"/>
      <c r="E24" s="198"/>
      <c r="F24" s="199"/>
      <c r="G24" s="199"/>
      <c r="H24" s="199"/>
      <c r="I24" s="199"/>
      <c r="J24" s="198"/>
      <c r="K24" s="200">
        <f>SUM(K22:K23)</f>
        <v>336661</v>
      </c>
      <c r="L24" s="198"/>
      <c r="M24" s="200">
        <f>SUM(M22:M23)</f>
        <v>336661</v>
      </c>
      <c r="N24" s="7"/>
      <c r="O24" s="7"/>
      <c r="P24" s="8"/>
    </row>
  </sheetData>
  <mergeCells count="2">
    <mergeCell ref="A1:P1"/>
    <mergeCell ref="A19:P1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41D06-A57F-4A42-99A2-A8F4C68883F8}">
  <dimension ref="A1:F6"/>
  <sheetViews>
    <sheetView workbookViewId="0">
      <selection activeCell="F6" sqref="A1:F6"/>
    </sheetView>
  </sheetViews>
  <sheetFormatPr baseColWidth="10" defaultRowHeight="14.4" x14ac:dyDescent="0.3"/>
  <cols>
    <col min="1" max="1" width="30.5546875" customWidth="1"/>
    <col min="2" max="2" width="29.109375" customWidth="1"/>
    <col min="3" max="3" width="18" customWidth="1"/>
    <col min="4" max="4" width="37.88671875" customWidth="1"/>
    <col min="5" max="5" width="11.88671875" customWidth="1"/>
    <col min="6" max="6" width="19.6640625" bestFit="1" customWidth="1"/>
  </cols>
  <sheetData>
    <row r="1" spans="1:6" ht="22.8" x14ac:dyDescent="0.3">
      <c r="A1" s="711" t="s">
        <v>357</v>
      </c>
      <c r="B1" s="712"/>
      <c r="C1" s="712"/>
      <c r="D1" s="712"/>
      <c r="E1" s="712"/>
      <c r="F1" s="712"/>
    </row>
    <row r="2" spans="1:6" ht="23.4" customHeight="1" x14ac:dyDescent="0.3">
      <c r="A2" s="173" t="s">
        <v>19</v>
      </c>
      <c r="B2" s="174" t="s">
        <v>102</v>
      </c>
      <c r="C2" s="174" t="s">
        <v>20</v>
      </c>
      <c r="D2" s="175" t="s">
        <v>322</v>
      </c>
      <c r="E2" s="175" t="s">
        <v>22</v>
      </c>
      <c r="F2" s="175" t="s">
        <v>323</v>
      </c>
    </row>
    <row r="3" spans="1:6" ht="20.399999999999999" x14ac:dyDescent="0.3">
      <c r="A3" s="177" t="s">
        <v>357</v>
      </c>
      <c r="B3" s="178"/>
      <c r="C3" s="178"/>
      <c r="D3" s="178"/>
      <c r="E3" s="178"/>
      <c r="F3" s="179"/>
    </row>
    <row r="4" spans="1:6" ht="21" x14ac:dyDescent="0.4">
      <c r="A4" s="186" t="s">
        <v>262</v>
      </c>
      <c r="B4" s="203" t="s">
        <v>356</v>
      </c>
      <c r="C4" s="204">
        <v>1230</v>
      </c>
      <c r="D4" s="275">
        <v>200.7</v>
      </c>
      <c r="E4" s="181" t="s">
        <v>45</v>
      </c>
      <c r="F4" s="713">
        <f>D4*C4</f>
        <v>246861</v>
      </c>
    </row>
    <row r="5" spans="1:6" ht="21" x14ac:dyDescent="0.4">
      <c r="A5" s="186" t="s">
        <v>263</v>
      </c>
      <c r="B5" s="203" t="s">
        <v>356</v>
      </c>
      <c r="C5" s="204">
        <v>500</v>
      </c>
      <c r="D5" s="275">
        <v>179.6</v>
      </c>
      <c r="E5" s="181" t="s">
        <v>45</v>
      </c>
      <c r="F5" s="714">
        <f>D5*C5</f>
        <v>89800</v>
      </c>
    </row>
    <row r="6" spans="1:6" ht="20.399999999999999" x14ac:dyDescent="0.3">
      <c r="A6" s="197" t="s">
        <v>0</v>
      </c>
      <c r="B6" s="198"/>
      <c r="C6" s="198"/>
      <c r="D6" s="199"/>
      <c r="E6" s="198"/>
      <c r="F6" s="200">
        <f>SUM(F4:F5)</f>
        <v>336661</v>
      </c>
    </row>
  </sheetData>
  <mergeCells count="1">
    <mergeCell ref="A1:F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E006D-43A1-4B55-84E0-79066F992658}">
  <dimension ref="A1:P42"/>
  <sheetViews>
    <sheetView zoomScale="71" workbookViewId="0">
      <selection activeCell="F25" sqref="F25"/>
    </sheetView>
  </sheetViews>
  <sheetFormatPr baseColWidth="10" defaultRowHeight="14.4" x14ac:dyDescent="0.3"/>
  <cols>
    <col min="1" max="1" width="104.77734375" customWidth="1"/>
    <col min="2" max="2" width="38.21875" bestFit="1" customWidth="1"/>
    <col min="3" max="3" width="21.33203125" bestFit="1" customWidth="1"/>
    <col min="4" max="4" width="17.6640625" bestFit="1" customWidth="1"/>
    <col min="6" max="6" width="15.33203125" bestFit="1" customWidth="1"/>
    <col min="7" max="7" width="8.5546875" bestFit="1" customWidth="1"/>
    <col min="8" max="8" width="14.21875" bestFit="1" customWidth="1"/>
    <col min="9" max="9" width="13" bestFit="1" customWidth="1"/>
    <col min="10" max="10" width="15.109375" bestFit="1" customWidth="1"/>
    <col min="11" max="11" width="13.6640625" bestFit="1" customWidth="1"/>
    <col min="12" max="12" width="29.21875" bestFit="1" customWidth="1"/>
    <col min="13" max="13" width="48.88671875" bestFit="1" customWidth="1"/>
  </cols>
  <sheetData>
    <row r="1" spans="1:16" ht="16.8" x14ac:dyDescent="0.3">
      <c r="A1" s="643" t="s">
        <v>101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  <c r="P1" s="643"/>
    </row>
    <row r="2" spans="1:16" ht="24.6" customHeight="1" x14ac:dyDescent="0.3">
      <c r="A2" s="34" t="s">
        <v>19</v>
      </c>
      <c r="B2" s="34" t="s">
        <v>96</v>
      </c>
      <c r="C2" s="34" t="s">
        <v>97</v>
      </c>
      <c r="D2" s="32" t="s">
        <v>102</v>
      </c>
      <c r="E2" s="32" t="s">
        <v>20</v>
      </c>
      <c r="F2" s="33" t="s">
        <v>145</v>
      </c>
      <c r="G2" s="33" t="s">
        <v>22</v>
      </c>
      <c r="H2" s="33" t="s">
        <v>105</v>
      </c>
      <c r="I2" s="33" t="s">
        <v>107</v>
      </c>
      <c r="J2" s="33" t="s">
        <v>103</v>
      </c>
      <c r="K2" s="33" t="s">
        <v>108</v>
      </c>
      <c r="L2" s="32" t="s">
        <v>173</v>
      </c>
      <c r="M2" s="33" t="s">
        <v>174</v>
      </c>
    </row>
    <row r="3" spans="1:16" ht="15.6" x14ac:dyDescent="0.3">
      <c r="A3" s="9" t="s">
        <v>182</v>
      </c>
      <c r="B3" s="9" t="s">
        <v>207</v>
      </c>
      <c r="C3" s="9"/>
      <c r="D3" s="9"/>
      <c r="E3" s="9"/>
      <c r="F3" s="9"/>
      <c r="G3" s="9"/>
      <c r="H3" s="9"/>
      <c r="I3" s="9"/>
      <c r="J3" s="9"/>
      <c r="K3" s="9"/>
      <c r="L3" s="9"/>
      <c r="M3" s="9" t="s">
        <v>181</v>
      </c>
    </row>
    <row r="4" spans="1:16" ht="15.6" x14ac:dyDescent="0.3">
      <c r="A4" s="9" t="s">
        <v>171</v>
      </c>
      <c r="B4" s="9" t="s">
        <v>208</v>
      </c>
      <c r="C4" s="9"/>
      <c r="D4" s="9"/>
      <c r="E4" s="9"/>
      <c r="F4" s="9"/>
      <c r="G4" s="9"/>
      <c r="H4" s="9"/>
      <c r="I4" s="9"/>
      <c r="J4" s="9"/>
      <c r="K4" s="9"/>
      <c r="L4" s="9">
        <v>7</v>
      </c>
      <c r="M4" s="9" t="s">
        <v>176</v>
      </c>
    </row>
    <row r="5" spans="1:16" ht="15.6" x14ac:dyDescent="0.3">
      <c r="A5" s="9" t="s">
        <v>172</v>
      </c>
      <c r="B5" s="9" t="s">
        <v>208</v>
      </c>
      <c r="C5" s="9"/>
      <c r="D5" s="9"/>
      <c r="E5" s="9"/>
      <c r="F5" s="9"/>
      <c r="G5" s="9"/>
      <c r="H5" s="9"/>
      <c r="I5" s="9"/>
      <c r="J5" s="9"/>
      <c r="K5" s="9"/>
      <c r="L5" s="9">
        <v>7</v>
      </c>
      <c r="M5" s="9" t="s">
        <v>175</v>
      </c>
    </row>
    <row r="6" spans="1:16" ht="15.6" x14ac:dyDescent="0.3">
      <c r="A6" s="9" t="s">
        <v>177</v>
      </c>
      <c r="B6" s="9" t="s">
        <v>208</v>
      </c>
      <c r="C6" s="9"/>
      <c r="D6" s="9"/>
      <c r="E6" s="9"/>
      <c r="F6" s="9"/>
      <c r="G6" s="9"/>
      <c r="H6" s="9"/>
      <c r="I6" s="9"/>
      <c r="J6" s="9"/>
      <c r="K6" s="9"/>
      <c r="L6" s="9">
        <v>7</v>
      </c>
      <c r="M6" s="9" t="s">
        <v>178</v>
      </c>
    </row>
    <row r="7" spans="1:16" ht="15.6" x14ac:dyDescent="0.3">
      <c r="A7" s="9" t="s">
        <v>179</v>
      </c>
      <c r="B7" s="9" t="s">
        <v>208</v>
      </c>
      <c r="C7" s="9"/>
      <c r="D7" s="9"/>
      <c r="E7" s="9"/>
      <c r="F7" s="9"/>
      <c r="G7" s="9"/>
      <c r="H7" s="9"/>
      <c r="I7" s="9"/>
      <c r="J7" s="9"/>
      <c r="K7" s="9"/>
      <c r="L7" s="9">
        <v>7</v>
      </c>
      <c r="M7" s="9" t="s">
        <v>180</v>
      </c>
    </row>
    <row r="8" spans="1:16" ht="15.6" x14ac:dyDescent="0.3">
      <c r="A8" s="9" t="s">
        <v>186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45" t="s">
        <v>187</v>
      </c>
    </row>
    <row r="9" spans="1:16" ht="15.6" x14ac:dyDescent="0.3">
      <c r="A9" s="9" t="s">
        <v>185</v>
      </c>
      <c r="B9" s="9" t="s">
        <v>208</v>
      </c>
      <c r="C9" s="9"/>
      <c r="D9" s="9"/>
      <c r="E9" s="9"/>
      <c r="F9" s="9"/>
      <c r="G9" s="9"/>
      <c r="H9" s="9"/>
      <c r="I9" s="9"/>
      <c r="J9" s="9"/>
      <c r="K9" s="9"/>
      <c r="L9" s="9" t="s">
        <v>183</v>
      </c>
      <c r="M9" s="9" t="s">
        <v>184</v>
      </c>
    </row>
    <row r="10" spans="1:16" ht="15.6" x14ac:dyDescent="0.3">
      <c r="A10" s="9" t="s">
        <v>188</v>
      </c>
      <c r="B10" s="9" t="s">
        <v>204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pans="1:16" ht="15.6" x14ac:dyDescent="0.3">
      <c r="A11" s="43" t="s">
        <v>189</v>
      </c>
      <c r="B11" s="9" t="s">
        <v>205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1:16" ht="15.6" x14ac:dyDescent="0.3">
      <c r="A12" s="43" t="s">
        <v>196</v>
      </c>
      <c r="B12" s="9" t="s">
        <v>206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spans="1:16" ht="31.2" x14ac:dyDescent="0.3">
      <c r="A13" s="43" t="s">
        <v>198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1:16" ht="15.6" x14ac:dyDescent="0.3">
      <c r="A14" s="43" t="s">
        <v>197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</row>
    <row r="15" spans="1:16" ht="15.6" x14ac:dyDescent="0.3">
      <c r="A15" s="43" t="s">
        <v>192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</row>
    <row r="16" spans="1:16" ht="15.6" x14ac:dyDescent="0.3">
      <c r="A16" s="43" t="s">
        <v>193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  <row r="17" spans="1:13" ht="15.6" x14ac:dyDescent="0.3">
      <c r="A17" s="43" t="s">
        <v>194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</row>
    <row r="18" spans="1:13" ht="15.6" x14ac:dyDescent="0.3">
      <c r="A18" s="43" t="s">
        <v>195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spans="1:13" ht="15.6" x14ac:dyDescent="0.3">
      <c r="A19" s="43" t="s">
        <v>199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</row>
    <row r="20" spans="1:13" ht="15.6" x14ac:dyDescent="0.3">
      <c r="A20" s="43" t="s">
        <v>201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3" ht="15.6" x14ac:dyDescent="0.3">
      <c r="A21" s="43" t="s">
        <v>200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</row>
    <row r="22" spans="1:13" ht="15.6" x14ac:dyDescent="0.3">
      <c r="A22" s="43" t="s">
        <v>203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13" ht="15.6" x14ac:dyDescent="0.3">
      <c r="A23" s="43" t="s">
        <v>191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pans="1:13" ht="15.6" x14ac:dyDescent="0.3">
      <c r="A24" s="43" t="s">
        <v>190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</row>
    <row r="25" spans="1:13" ht="46.8" x14ac:dyDescent="0.3">
      <c r="A25" s="43" t="s">
        <v>202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</row>
    <row r="26" spans="1:13" ht="16.2" thickBot="1" x14ac:dyDescent="0.35">
      <c r="A26" s="44" t="s">
        <v>209</v>
      </c>
    </row>
    <row r="27" spans="1:13" ht="15.6" x14ac:dyDescent="0.3">
      <c r="A27" s="43" t="s">
        <v>257</v>
      </c>
    </row>
    <row r="42" spans="1:1" ht="15" thickBot="1" x14ac:dyDescent="0.35">
      <c r="A42" s="42"/>
    </row>
  </sheetData>
  <mergeCells count="1">
    <mergeCell ref="A1:P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B5D5E-689D-4779-ACCA-96C6ABD1BE55}">
  <dimension ref="A1:AB39"/>
  <sheetViews>
    <sheetView zoomScale="89" workbookViewId="0">
      <selection sqref="A1:J1"/>
    </sheetView>
  </sheetViews>
  <sheetFormatPr baseColWidth="10" defaultRowHeight="14.4" x14ac:dyDescent="0.3"/>
  <cols>
    <col min="2" max="2" width="17.109375" bestFit="1" customWidth="1"/>
    <col min="3" max="3" width="32.77734375" bestFit="1" customWidth="1"/>
    <col min="4" max="6" width="17.109375" customWidth="1"/>
    <col min="7" max="7" width="18.5546875" bestFit="1" customWidth="1"/>
    <col min="8" max="8" width="27" bestFit="1" customWidth="1"/>
    <col min="9" max="9" width="16.44140625" bestFit="1" customWidth="1"/>
    <col min="10" max="10" width="17.44140625" bestFit="1" customWidth="1"/>
    <col min="12" max="12" width="20.44140625" customWidth="1"/>
    <col min="13" max="13" width="21.6640625" bestFit="1" customWidth="1"/>
    <col min="14" max="14" width="30.88671875" bestFit="1" customWidth="1"/>
    <col min="15" max="15" width="19.77734375" bestFit="1" customWidth="1"/>
    <col min="16" max="16" width="21.6640625" bestFit="1" customWidth="1"/>
    <col min="17" max="17" width="32.21875" bestFit="1" customWidth="1"/>
    <col min="18" max="18" width="23.21875" bestFit="1" customWidth="1"/>
    <col min="19" max="20" width="21" customWidth="1"/>
    <col min="21" max="21" width="21.6640625" bestFit="1" customWidth="1"/>
    <col min="22" max="23" width="17.109375" bestFit="1" customWidth="1"/>
  </cols>
  <sheetData>
    <row r="1" spans="1:28" ht="16.8" x14ac:dyDescent="0.3">
      <c r="A1" s="660" t="s">
        <v>398</v>
      </c>
      <c r="B1" s="660"/>
      <c r="C1" s="660"/>
      <c r="D1" s="660"/>
      <c r="E1" s="660"/>
      <c r="F1" s="660"/>
      <c r="G1" s="660"/>
      <c r="H1" s="660"/>
      <c r="I1" s="660"/>
      <c r="J1" s="660"/>
      <c r="K1" s="25"/>
      <c r="L1" s="239" t="s">
        <v>399</v>
      </c>
      <c r="M1" s="240"/>
      <c r="N1" s="240"/>
      <c r="O1" s="240"/>
      <c r="P1" s="240"/>
      <c r="Q1" s="240"/>
      <c r="R1" s="240"/>
      <c r="S1" s="244"/>
      <c r="T1" s="640"/>
      <c r="U1" s="641"/>
      <c r="V1" s="641"/>
      <c r="W1" s="642"/>
    </row>
    <row r="2" spans="1:28" ht="15.6" x14ac:dyDescent="0.3">
      <c r="A2" s="10" t="s">
        <v>13</v>
      </c>
      <c r="B2" s="10" t="s">
        <v>18</v>
      </c>
      <c r="C2" s="21" t="s">
        <v>1</v>
      </c>
      <c r="D2" s="10" t="s">
        <v>16</v>
      </c>
      <c r="E2" s="10" t="s">
        <v>14</v>
      </c>
      <c r="F2" s="10" t="s">
        <v>245</v>
      </c>
      <c r="G2" s="10" t="s">
        <v>252</v>
      </c>
      <c r="H2" s="10" t="s">
        <v>253</v>
      </c>
      <c r="I2" s="10" t="s">
        <v>254</v>
      </c>
      <c r="J2" s="10" t="s">
        <v>255</v>
      </c>
      <c r="L2" s="10" t="s">
        <v>13</v>
      </c>
      <c r="M2" s="10" t="s">
        <v>392</v>
      </c>
      <c r="N2" s="10" t="s">
        <v>393</v>
      </c>
      <c r="O2" s="10" t="s">
        <v>394</v>
      </c>
      <c r="P2" s="10" t="s">
        <v>403</v>
      </c>
      <c r="Q2" s="10" t="s">
        <v>404</v>
      </c>
      <c r="R2" s="21" t="s">
        <v>405</v>
      </c>
      <c r="S2" s="245"/>
      <c r="T2" s="10" t="s">
        <v>13</v>
      </c>
      <c r="U2" s="21" t="s">
        <v>406</v>
      </c>
      <c r="V2" s="10" t="s">
        <v>395</v>
      </c>
      <c r="W2" s="10" t="s">
        <v>396</v>
      </c>
    </row>
    <row r="3" spans="1:28" ht="15.6" x14ac:dyDescent="0.3">
      <c r="A3" s="13">
        <v>43831</v>
      </c>
      <c r="B3" s="23">
        <v>2946</v>
      </c>
      <c r="C3" s="22">
        <v>0</v>
      </c>
      <c r="D3" s="19">
        <v>289.82990000000001</v>
      </c>
      <c r="E3" s="20">
        <v>1134.5875000000001</v>
      </c>
      <c r="F3" s="31">
        <v>63</v>
      </c>
      <c r="G3" s="30">
        <f t="shared" ref="G3:G38" si="0">(B3*E3)/D3</f>
        <v>11532.608523137193</v>
      </c>
      <c r="H3" s="31">
        <f t="shared" ref="H3:H38" si="1">(C3*E3)/D3</f>
        <v>0</v>
      </c>
      <c r="I3" s="31">
        <f>B3/F3</f>
        <v>46.761904761904759</v>
      </c>
      <c r="J3" s="31">
        <f>C3/F3</f>
        <v>0</v>
      </c>
      <c r="L3" s="120" t="s">
        <v>274</v>
      </c>
      <c r="M3" s="31">
        <f>G3</f>
        <v>11532.608523137193</v>
      </c>
      <c r="N3" s="31">
        <f>G15</f>
        <v>8709.1826645157726</v>
      </c>
      <c r="O3" s="31">
        <f>G27</f>
        <v>11883.478150814248</v>
      </c>
      <c r="P3" s="31">
        <f>H3</f>
        <v>0</v>
      </c>
      <c r="Q3" s="31">
        <f>H15</f>
        <v>0</v>
      </c>
      <c r="R3" s="31">
        <f>H27</f>
        <v>0</v>
      </c>
      <c r="S3" s="94"/>
      <c r="T3" s="248" t="s">
        <v>409</v>
      </c>
      <c r="U3" s="249">
        <f>C5</f>
        <v>93860.2</v>
      </c>
      <c r="V3" s="130">
        <f>C17</f>
        <v>123895.5</v>
      </c>
      <c r="W3" s="130">
        <f>C29</f>
        <v>179269.7</v>
      </c>
      <c r="AA3" s="10" t="s">
        <v>10</v>
      </c>
      <c r="AB3" s="21" t="s">
        <v>17</v>
      </c>
    </row>
    <row r="4" spans="1:28" ht="15.6" x14ac:dyDescent="0.3">
      <c r="A4" s="13">
        <v>43862</v>
      </c>
      <c r="B4" s="23">
        <v>2946</v>
      </c>
      <c r="C4" s="22">
        <v>0</v>
      </c>
      <c r="D4" s="19">
        <v>295.666</v>
      </c>
      <c r="E4" s="20">
        <v>1134.5875000000001</v>
      </c>
      <c r="F4" s="31">
        <v>63.305555555555557</v>
      </c>
      <c r="G4" s="30">
        <f t="shared" si="0"/>
        <v>11304.968359567893</v>
      </c>
      <c r="H4" s="31">
        <f t="shared" si="1"/>
        <v>0</v>
      </c>
      <c r="I4" s="31">
        <f t="shared" ref="I4:I38" si="2">B4/F4</f>
        <v>46.536200087757784</v>
      </c>
      <c r="J4" s="31">
        <f t="shared" ref="J4:J38" si="3">C4/F4</f>
        <v>0</v>
      </c>
      <c r="L4" s="120" t="s">
        <v>275</v>
      </c>
      <c r="M4" s="31">
        <f t="shared" ref="M4:M13" si="4">G4</f>
        <v>11304.968359567893</v>
      </c>
      <c r="N4" s="31">
        <f t="shared" ref="N4:N14" si="5">G16</f>
        <v>8408.6059714879666</v>
      </c>
      <c r="O4" s="31">
        <f t="shared" ref="O4:O14" si="6">G28</f>
        <v>11350.63771827251</v>
      </c>
      <c r="P4" s="31">
        <f t="shared" ref="P4:P13" si="7">H4</f>
        <v>0</v>
      </c>
      <c r="Q4" s="31">
        <f t="shared" ref="Q4:Q14" si="8">H16</f>
        <v>0</v>
      </c>
      <c r="R4" s="31">
        <f t="shared" ref="R4:R14" si="9">H28</f>
        <v>0</v>
      </c>
      <c r="S4" s="94"/>
      <c r="T4" s="250" t="s">
        <v>410</v>
      </c>
      <c r="U4" s="249">
        <f>C8</f>
        <v>93860.2</v>
      </c>
      <c r="V4" s="130">
        <f>C20</f>
        <v>123895.5</v>
      </c>
      <c r="W4" s="130">
        <f>C32</f>
        <v>179269.7</v>
      </c>
      <c r="AA4" s="15">
        <v>2020</v>
      </c>
      <c r="AB4" s="26">
        <f>SUM(G3:H14)</f>
        <v>1402965.0689663044</v>
      </c>
    </row>
    <row r="5" spans="1:28" ht="15.6" x14ac:dyDescent="0.3">
      <c r="A5" s="13">
        <v>43891</v>
      </c>
      <c r="B5" s="23">
        <v>2952</v>
      </c>
      <c r="C5" s="22">
        <v>93860.2</v>
      </c>
      <c r="D5" s="19">
        <v>305.55149999999998</v>
      </c>
      <c r="E5" s="20">
        <v>1134.5875000000001</v>
      </c>
      <c r="F5" s="31">
        <v>64.565789473684205</v>
      </c>
      <c r="G5" s="30">
        <f t="shared" si="0"/>
        <v>10961.498470797887</v>
      </c>
      <c r="H5" s="31">
        <f t="shared" si="1"/>
        <v>348525.8938918644</v>
      </c>
      <c r="I5" s="31">
        <f t="shared" si="2"/>
        <v>45.720807010393322</v>
      </c>
      <c r="J5" s="31">
        <f t="shared" si="3"/>
        <v>1453.7141226818831</v>
      </c>
      <c r="L5" s="120" t="s">
        <v>228</v>
      </c>
      <c r="M5" s="31">
        <f t="shared" si="4"/>
        <v>10961.498470797887</v>
      </c>
      <c r="N5" s="31">
        <f t="shared" si="5"/>
        <v>8033.0639116590282</v>
      </c>
      <c r="O5" s="31">
        <f t="shared" si="6"/>
        <v>10635.028172937</v>
      </c>
      <c r="P5" s="31">
        <f>H5</f>
        <v>348525.8938918644</v>
      </c>
      <c r="Q5" s="31">
        <f t="shared" si="8"/>
        <v>322508.25335934904</v>
      </c>
      <c r="R5" s="31">
        <f t="shared" si="9"/>
        <v>300858.18369164655</v>
      </c>
      <c r="S5" s="94"/>
      <c r="T5" s="250" t="s">
        <v>411</v>
      </c>
      <c r="U5" s="249">
        <f>C11</f>
        <v>93860.2</v>
      </c>
      <c r="V5" s="130">
        <f>C23</f>
        <v>123895.5</v>
      </c>
      <c r="W5" s="130">
        <f>C35</f>
        <v>179269.7</v>
      </c>
      <c r="AA5" s="16">
        <v>2021</v>
      </c>
      <c r="AB5" s="27">
        <f>SUM(G15:H26)</f>
        <v>1231461.6885467481</v>
      </c>
    </row>
    <row r="6" spans="1:28" ht="15.6" x14ac:dyDescent="0.3">
      <c r="A6" s="13">
        <v>43922</v>
      </c>
      <c r="B6" s="23">
        <v>2952</v>
      </c>
      <c r="C6" s="22">
        <v>0</v>
      </c>
      <c r="D6" s="19">
        <v>310.12430000000001</v>
      </c>
      <c r="E6" s="20">
        <v>1134.5875000000001</v>
      </c>
      <c r="F6" s="31">
        <v>67.25</v>
      </c>
      <c r="G6" s="30">
        <f t="shared" si="0"/>
        <v>10799.87056802708</v>
      </c>
      <c r="H6" s="31">
        <f t="shared" si="1"/>
        <v>0</v>
      </c>
      <c r="I6" s="31">
        <f t="shared" si="2"/>
        <v>43.895910780669148</v>
      </c>
      <c r="J6" s="31">
        <f t="shared" si="3"/>
        <v>0</v>
      </c>
      <c r="L6" s="120" t="s">
        <v>276</v>
      </c>
      <c r="M6" s="31">
        <f t="shared" si="4"/>
        <v>10799.87056802708</v>
      </c>
      <c r="N6" s="31">
        <f t="shared" si="5"/>
        <v>7718.1410989918895</v>
      </c>
      <c r="O6" s="31">
        <f t="shared" si="6"/>
        <v>10028.568625487298</v>
      </c>
      <c r="P6" s="31">
        <f t="shared" si="7"/>
        <v>0</v>
      </c>
      <c r="Q6" s="31">
        <f t="shared" si="8"/>
        <v>0</v>
      </c>
      <c r="R6" s="31">
        <f t="shared" si="9"/>
        <v>0</v>
      </c>
      <c r="S6" s="94"/>
      <c r="T6" s="251" t="s">
        <v>412</v>
      </c>
      <c r="U6" s="249">
        <f>C13</f>
        <v>93860.2</v>
      </c>
      <c r="V6" s="130">
        <f>C25</f>
        <v>123895.5</v>
      </c>
      <c r="W6" s="130">
        <f>C37</f>
        <v>179269.7</v>
      </c>
      <c r="AA6" s="17">
        <v>2022</v>
      </c>
      <c r="AB6" s="28">
        <f>SUM(G27:H38)</f>
        <v>1087197.1668123927</v>
      </c>
    </row>
    <row r="7" spans="1:28" ht="15.6" x14ac:dyDescent="0.3">
      <c r="A7" s="13">
        <v>43952</v>
      </c>
      <c r="B7" s="23">
        <v>2952</v>
      </c>
      <c r="C7" s="22">
        <v>0</v>
      </c>
      <c r="D7" s="19">
        <v>314.90870000000001</v>
      </c>
      <c r="E7" s="20">
        <v>1134.5875000000001</v>
      </c>
      <c r="F7" s="31">
        <v>69.71052631578948</v>
      </c>
      <c r="G7" s="30">
        <f t="shared" si="0"/>
        <v>10635.788404702696</v>
      </c>
      <c r="H7" s="31">
        <f t="shared" si="1"/>
        <v>0</v>
      </c>
      <c r="I7" s="31">
        <f t="shared" si="2"/>
        <v>42.346545866364664</v>
      </c>
      <c r="J7" s="31">
        <f t="shared" si="3"/>
        <v>0</v>
      </c>
      <c r="L7" s="120" t="s">
        <v>277</v>
      </c>
      <c r="M7" s="31">
        <f t="shared" si="4"/>
        <v>10635.788404702696</v>
      </c>
      <c r="N7" s="31">
        <f t="shared" si="5"/>
        <v>8835.125873379915</v>
      </c>
      <c r="O7" s="31">
        <f t="shared" si="6"/>
        <v>11744.379450492401</v>
      </c>
      <c r="P7" s="31">
        <f t="shared" si="7"/>
        <v>0</v>
      </c>
      <c r="Q7" s="31">
        <f t="shared" si="8"/>
        <v>0</v>
      </c>
      <c r="R7" s="31">
        <f t="shared" si="9"/>
        <v>0</v>
      </c>
      <c r="S7" s="94"/>
      <c r="T7" s="684" t="s">
        <v>408</v>
      </c>
      <c r="U7" s="685"/>
      <c r="V7" s="252">
        <f>((V6-U6)/U6)</f>
        <v>0.32000038354915078</v>
      </c>
      <c r="W7" s="252">
        <f>((W6-V6)/V6)</f>
        <v>0.44694278646117103</v>
      </c>
    </row>
    <row r="8" spans="1:28" ht="15.6" x14ac:dyDescent="0.3">
      <c r="A8" s="13">
        <v>43983</v>
      </c>
      <c r="B8" s="23">
        <v>2952</v>
      </c>
      <c r="C8" s="22">
        <v>93860.2</v>
      </c>
      <c r="D8" s="19">
        <v>321.97379999999998</v>
      </c>
      <c r="E8" s="20">
        <v>1134.5875000000001</v>
      </c>
      <c r="F8" s="31">
        <v>71.964285714285708</v>
      </c>
      <c r="G8" s="30">
        <f t="shared" si="0"/>
        <v>10402.406344864086</v>
      </c>
      <c r="H8" s="31">
        <f t="shared" si="1"/>
        <v>330749.30217148107</v>
      </c>
      <c r="I8" s="31">
        <f t="shared" si="2"/>
        <v>41.020347394540948</v>
      </c>
      <c r="J8" s="31">
        <f t="shared" si="3"/>
        <v>1304.2608436724568</v>
      </c>
      <c r="L8" s="120" t="s">
        <v>278</v>
      </c>
      <c r="M8" s="31">
        <f t="shared" si="4"/>
        <v>10402.406344864086</v>
      </c>
      <c r="N8" s="31">
        <f t="shared" si="5"/>
        <v>8563.2804278864842</v>
      </c>
      <c r="O8" s="31">
        <f t="shared" si="6"/>
        <v>11153.76302066586</v>
      </c>
      <c r="P8" s="31">
        <f t="shared" si="7"/>
        <v>330749.30217148107</v>
      </c>
      <c r="Q8" s="31">
        <f t="shared" si="8"/>
        <v>290671.75623375614</v>
      </c>
      <c r="R8" s="31">
        <f t="shared" si="9"/>
        <v>256481.75353846364</v>
      </c>
      <c r="S8" s="94"/>
      <c r="T8" s="686" t="s">
        <v>407</v>
      </c>
      <c r="U8" s="687"/>
      <c r="V8" s="253">
        <v>0.50900000000000001</v>
      </c>
      <c r="W8" s="253">
        <v>0.94799999999999995</v>
      </c>
      <c r="AA8" s="10" t="s">
        <v>10</v>
      </c>
      <c r="AB8" s="10" t="s">
        <v>256</v>
      </c>
    </row>
    <row r="9" spans="1:28" ht="15.6" x14ac:dyDescent="0.3">
      <c r="A9" s="13">
        <v>44013</v>
      </c>
      <c r="B9" s="23">
        <v>2952</v>
      </c>
      <c r="C9" s="22">
        <v>0</v>
      </c>
      <c r="D9" s="19">
        <v>328.20139999999998</v>
      </c>
      <c r="E9" s="20">
        <v>1134.5875000000001</v>
      </c>
      <c r="F9" s="31">
        <v>75.05952380952381</v>
      </c>
      <c r="G9" s="30">
        <f t="shared" si="0"/>
        <v>10205.021367977104</v>
      </c>
      <c r="H9" s="31">
        <f t="shared" si="1"/>
        <v>0</v>
      </c>
      <c r="I9" s="31">
        <f t="shared" si="2"/>
        <v>39.328786677240288</v>
      </c>
      <c r="J9" s="31">
        <f t="shared" si="3"/>
        <v>0</v>
      </c>
      <c r="L9" s="120" t="s">
        <v>279</v>
      </c>
      <c r="M9" s="31">
        <f t="shared" si="4"/>
        <v>10205.021367977104</v>
      </c>
      <c r="N9" s="31">
        <f t="shared" si="5"/>
        <v>8737.7815882675459</v>
      </c>
      <c r="O9" s="31">
        <f t="shared" si="6"/>
        <v>10384.655026468694</v>
      </c>
      <c r="P9" s="31">
        <f t="shared" si="7"/>
        <v>0</v>
      </c>
      <c r="Q9" s="31">
        <f t="shared" si="8"/>
        <v>0</v>
      </c>
      <c r="R9" s="31">
        <f t="shared" si="9"/>
        <v>0</v>
      </c>
      <c r="S9" s="94"/>
      <c r="T9" s="683" t="s">
        <v>413</v>
      </c>
      <c r="U9" s="683"/>
      <c r="V9" s="254">
        <f>V7/V8</f>
        <v>0.62868444705137672</v>
      </c>
      <c r="W9" s="254">
        <f>W7/W8</f>
        <v>0.47145863550756439</v>
      </c>
      <c r="AA9" s="15">
        <v>2020</v>
      </c>
      <c r="AB9" s="91">
        <f>SUM(I3:J14)</f>
        <v>5558.8042241126213</v>
      </c>
    </row>
    <row r="10" spans="1:28" ht="15.6" x14ac:dyDescent="0.3">
      <c r="A10" s="13">
        <v>44044</v>
      </c>
      <c r="B10" s="23">
        <v>2952</v>
      </c>
      <c r="C10" s="22">
        <v>0</v>
      </c>
      <c r="D10" s="19">
        <v>337.06319999999999</v>
      </c>
      <c r="E10" s="20">
        <v>1134.5875000000001</v>
      </c>
      <c r="F10" s="31">
        <v>77.287499999999994</v>
      </c>
      <c r="G10" s="30">
        <f t="shared" si="0"/>
        <v>9936.7189891984654</v>
      </c>
      <c r="H10" s="31">
        <f t="shared" si="1"/>
        <v>0</v>
      </c>
      <c r="I10" s="31">
        <f t="shared" si="2"/>
        <v>38.195050946142651</v>
      </c>
      <c r="J10" s="31">
        <f t="shared" si="3"/>
        <v>0</v>
      </c>
      <c r="L10" s="120" t="s">
        <v>280</v>
      </c>
      <c r="M10" s="31">
        <f t="shared" si="4"/>
        <v>9936.7189891984654</v>
      </c>
      <c r="N10" s="31">
        <f t="shared" si="5"/>
        <v>8527.2866541195035</v>
      </c>
      <c r="O10" s="31">
        <f t="shared" si="6"/>
        <v>9707.9764876994723</v>
      </c>
      <c r="P10" s="31">
        <f t="shared" si="7"/>
        <v>0</v>
      </c>
      <c r="Q10" s="31">
        <f t="shared" si="8"/>
        <v>0</v>
      </c>
      <c r="R10" s="31">
        <f t="shared" si="9"/>
        <v>0</v>
      </c>
      <c r="S10" s="94"/>
      <c r="T10" s="683" t="s">
        <v>229</v>
      </c>
      <c r="U10" s="683"/>
      <c r="V10" s="682">
        <f>AVERAGE(V9:W9)</f>
        <v>0.55007154127947055</v>
      </c>
      <c r="W10" s="682"/>
      <c r="AA10" s="16">
        <v>2021</v>
      </c>
      <c r="AB10" s="92">
        <f>SUM(I15:J26)</f>
        <v>5336.0941190543026</v>
      </c>
    </row>
    <row r="11" spans="1:28" ht="15.6" x14ac:dyDescent="0.3">
      <c r="A11" s="13">
        <v>44075</v>
      </c>
      <c r="B11" s="23">
        <v>3390</v>
      </c>
      <c r="C11" s="22">
        <v>93860.2</v>
      </c>
      <c r="D11" s="19">
        <v>346.6207</v>
      </c>
      <c r="E11" s="20">
        <v>1134.5875000000001</v>
      </c>
      <c r="F11" s="31">
        <v>79.13636363636364</v>
      </c>
      <c r="G11" s="30">
        <f t="shared" si="0"/>
        <v>11096.427954245088</v>
      </c>
      <c r="H11" s="31">
        <f t="shared" si="1"/>
        <v>307230.95783806336</v>
      </c>
      <c r="I11" s="31">
        <f t="shared" si="2"/>
        <v>42.837449741527855</v>
      </c>
      <c r="J11" s="31">
        <f t="shared" si="3"/>
        <v>1186.0565192418151</v>
      </c>
      <c r="L11" s="120" t="s">
        <v>281</v>
      </c>
      <c r="M11" s="31">
        <f t="shared" si="4"/>
        <v>11096.427954245088</v>
      </c>
      <c r="N11" s="31">
        <f t="shared" si="5"/>
        <v>8632.3632186609266</v>
      </c>
      <c r="O11" s="31">
        <f t="shared" si="6"/>
        <v>11040.823144054695</v>
      </c>
      <c r="P11" s="31">
        <f t="shared" si="7"/>
        <v>307230.95783806336</v>
      </c>
      <c r="Q11" s="31">
        <f t="shared" si="8"/>
        <v>265981.33726874035</v>
      </c>
      <c r="R11" s="31">
        <f t="shared" si="9"/>
        <v>210271.43873236398</v>
      </c>
      <c r="S11" s="94"/>
      <c r="AA11" s="17">
        <v>2022</v>
      </c>
      <c r="AB11" s="93">
        <f>SUM(I27:J38)</f>
        <v>5942.989781600435</v>
      </c>
    </row>
    <row r="12" spans="1:28" ht="15.6" x14ac:dyDescent="0.3">
      <c r="A12" s="13">
        <v>44105</v>
      </c>
      <c r="B12" s="23">
        <v>3390</v>
      </c>
      <c r="C12" s="22">
        <v>0</v>
      </c>
      <c r="D12" s="19">
        <v>359.65699999999998</v>
      </c>
      <c r="E12" s="20">
        <v>1134.5875000000001</v>
      </c>
      <c r="F12" s="31">
        <v>82.547619047619051</v>
      </c>
      <c r="G12" s="30">
        <f t="shared" si="0"/>
        <v>10694.221508270382</v>
      </c>
      <c r="H12" s="31">
        <f t="shared" si="1"/>
        <v>0</v>
      </c>
      <c r="I12" s="31">
        <f t="shared" si="2"/>
        <v>41.067205076434959</v>
      </c>
      <c r="J12" s="31">
        <f t="shared" si="3"/>
        <v>0</v>
      </c>
      <c r="L12" s="120" t="s">
        <v>282</v>
      </c>
      <c r="M12" s="31">
        <f t="shared" si="4"/>
        <v>10694.221508270382</v>
      </c>
      <c r="N12" s="31">
        <f t="shared" si="5"/>
        <v>8339.1362683204406</v>
      </c>
      <c r="O12" s="31">
        <f t="shared" si="6"/>
        <v>10381.850730432216</v>
      </c>
      <c r="P12" s="31">
        <f t="shared" si="7"/>
        <v>0</v>
      </c>
      <c r="Q12" s="31">
        <f t="shared" si="8"/>
        <v>0</v>
      </c>
      <c r="R12" s="31">
        <f t="shared" si="9"/>
        <v>0</v>
      </c>
      <c r="S12" s="94"/>
      <c r="T12" s="31"/>
      <c r="U12" s="31"/>
      <c r="V12" s="31"/>
      <c r="W12" s="31"/>
    </row>
    <row r="13" spans="1:28" ht="15.6" x14ac:dyDescent="0.3">
      <c r="A13" s="13">
        <v>44136</v>
      </c>
      <c r="B13" s="23">
        <v>3645</v>
      </c>
      <c r="C13" s="22">
        <v>93860.2</v>
      </c>
      <c r="D13" s="19">
        <v>371.02109999999999</v>
      </c>
      <c r="E13" s="20">
        <v>1134.5875000000001</v>
      </c>
      <c r="F13" s="31">
        <v>85.118421052631575</v>
      </c>
      <c r="G13" s="30">
        <f t="shared" si="0"/>
        <v>11146.458887378643</v>
      </c>
      <c r="H13" s="31">
        <f t="shared" si="1"/>
        <v>287025.7504694477</v>
      </c>
      <c r="I13" s="31">
        <f t="shared" si="2"/>
        <v>42.822692842788683</v>
      </c>
      <c r="J13" s="31">
        <f t="shared" si="3"/>
        <v>1102.70137579224</v>
      </c>
      <c r="L13" s="120" t="s">
        <v>283</v>
      </c>
      <c r="M13" s="31">
        <f t="shared" si="4"/>
        <v>11146.458887378643</v>
      </c>
      <c r="N13" s="31">
        <f t="shared" si="5"/>
        <v>8756.406078852111</v>
      </c>
      <c r="O13" s="31">
        <f t="shared" si="6"/>
        <v>11694.061367096378</v>
      </c>
      <c r="P13" s="31">
        <f t="shared" si="7"/>
        <v>287025.7504694477</v>
      </c>
      <c r="Q13" s="31">
        <f t="shared" si="8"/>
        <v>250607.37106547051</v>
      </c>
      <c r="R13" s="31">
        <f t="shared" si="9"/>
        <v>188456.56895549779</v>
      </c>
      <c r="S13" s="94"/>
    </row>
    <row r="14" spans="1:28" ht="15.6" x14ac:dyDescent="0.3">
      <c r="A14" s="13">
        <v>44166</v>
      </c>
      <c r="B14" s="23">
        <v>3645</v>
      </c>
      <c r="C14" s="22">
        <v>0</v>
      </c>
      <c r="D14" s="19">
        <v>385.88260000000002</v>
      </c>
      <c r="E14" s="20">
        <v>1134.5875000000001</v>
      </c>
      <c r="F14" s="31">
        <v>87.75</v>
      </c>
      <c r="G14" s="30">
        <f t="shared" si="0"/>
        <v>10717.175217281112</v>
      </c>
      <c r="H14" s="31">
        <f t="shared" si="1"/>
        <v>0</v>
      </c>
      <c r="I14" s="31">
        <f t="shared" si="2"/>
        <v>41.53846153846154</v>
      </c>
      <c r="J14" s="31">
        <f t="shared" si="3"/>
        <v>0</v>
      </c>
      <c r="L14" s="120" t="s">
        <v>284</v>
      </c>
      <c r="M14" s="31">
        <f>G14</f>
        <v>10717.175217281112</v>
      </c>
      <c r="N14" s="31">
        <f t="shared" si="5"/>
        <v>8432.5968632904551</v>
      </c>
      <c r="O14" s="31">
        <f t="shared" si="6"/>
        <v>11124</v>
      </c>
      <c r="P14" s="31">
        <f>H14</f>
        <v>0</v>
      </c>
      <c r="Q14" s="31">
        <f t="shared" si="8"/>
        <v>0</v>
      </c>
      <c r="R14" s="31">
        <f t="shared" si="9"/>
        <v>0</v>
      </c>
      <c r="S14" s="94"/>
      <c r="T14" s="31"/>
      <c r="U14" s="31"/>
      <c r="V14" s="31"/>
      <c r="W14" s="31"/>
    </row>
    <row r="15" spans="1:28" ht="15.6" x14ac:dyDescent="0.3">
      <c r="A15" s="13">
        <v>44197</v>
      </c>
      <c r="B15" s="24">
        <v>3082</v>
      </c>
      <c r="C15" s="22">
        <v>0</v>
      </c>
      <c r="D15" s="19">
        <v>401.50709999999998</v>
      </c>
      <c r="E15" s="20">
        <v>1134.5875000000001</v>
      </c>
      <c r="F15" s="31">
        <v>90.9375</v>
      </c>
      <c r="G15" s="30">
        <f t="shared" si="0"/>
        <v>8709.1826645157726</v>
      </c>
      <c r="H15" s="31">
        <f t="shared" si="1"/>
        <v>0</v>
      </c>
      <c r="I15" s="31">
        <f t="shared" si="2"/>
        <v>33.891408934707904</v>
      </c>
      <c r="J15" s="31">
        <f t="shared" si="3"/>
        <v>0</v>
      </c>
      <c r="L15" s="223" t="s">
        <v>0</v>
      </c>
      <c r="M15" s="224">
        <f t="shared" ref="M15:R15" si="10">SUM(M3:M14)</f>
        <v>129433.16459544761</v>
      </c>
      <c r="N15" s="224">
        <f t="shared" si="10"/>
        <v>101692.97061943205</v>
      </c>
      <c r="O15" s="224">
        <f t="shared" si="10"/>
        <v>131129.2218944208</v>
      </c>
      <c r="P15" s="224">
        <f t="shared" si="10"/>
        <v>1273531.9043708565</v>
      </c>
      <c r="Q15" s="224">
        <f t="shared" si="10"/>
        <v>1129768.7179273162</v>
      </c>
      <c r="R15" s="224">
        <f t="shared" si="10"/>
        <v>956067.94491797197</v>
      </c>
      <c r="S15" s="246"/>
      <c r="T15" s="243"/>
    </row>
    <row r="16" spans="1:28" ht="15.6" x14ac:dyDescent="0.3">
      <c r="A16" s="13">
        <v>44228</v>
      </c>
      <c r="B16" s="24">
        <v>3082</v>
      </c>
      <c r="C16" s="22">
        <v>0</v>
      </c>
      <c r="D16" s="19">
        <v>415.85950000000003</v>
      </c>
      <c r="E16" s="20">
        <v>1134.5875000000001</v>
      </c>
      <c r="F16" s="31">
        <v>93.527777777777771</v>
      </c>
      <c r="G16" s="30">
        <f t="shared" si="0"/>
        <v>8408.6059714879666</v>
      </c>
      <c r="H16" s="31">
        <f t="shared" si="1"/>
        <v>0</v>
      </c>
      <c r="I16" s="31">
        <f t="shared" si="2"/>
        <v>32.952776952776958</v>
      </c>
      <c r="J16" s="31">
        <f t="shared" si="3"/>
        <v>0</v>
      </c>
      <c r="M16" s="29"/>
    </row>
    <row r="17" spans="1:17" ht="15.6" x14ac:dyDescent="0.3">
      <c r="A17" s="13">
        <v>44256</v>
      </c>
      <c r="B17" s="24">
        <v>3086</v>
      </c>
      <c r="C17" s="22">
        <v>123895.5</v>
      </c>
      <c r="D17" s="19">
        <v>435.8657</v>
      </c>
      <c r="E17" s="20">
        <v>1134.5875000000001</v>
      </c>
      <c r="F17" s="31">
        <v>96.090909090909093</v>
      </c>
      <c r="G17" s="30">
        <f t="shared" si="0"/>
        <v>8033.0639116590282</v>
      </c>
      <c r="H17" s="31">
        <f t="shared" si="1"/>
        <v>322508.25335934904</v>
      </c>
      <c r="I17" s="31">
        <f t="shared" si="2"/>
        <v>32.115421002838218</v>
      </c>
      <c r="J17" s="31">
        <f t="shared" si="3"/>
        <v>1289.3571428571429</v>
      </c>
      <c r="M17" s="231" t="s">
        <v>10</v>
      </c>
      <c r="N17" s="10" t="s">
        <v>397</v>
      </c>
      <c r="O17" s="29"/>
      <c r="P17" s="231" t="s">
        <v>10</v>
      </c>
      <c r="Q17" s="10" t="s">
        <v>400</v>
      </c>
    </row>
    <row r="18" spans="1:17" ht="15.6" x14ac:dyDescent="0.3">
      <c r="A18" s="13">
        <v>44287</v>
      </c>
      <c r="B18" s="24">
        <v>3086</v>
      </c>
      <c r="C18" s="22">
        <v>0</v>
      </c>
      <c r="D18" s="19">
        <v>453.65030000000002</v>
      </c>
      <c r="E18" s="20">
        <v>1134.5875000000001</v>
      </c>
      <c r="F18" s="31">
        <v>98.2</v>
      </c>
      <c r="G18" s="30">
        <f t="shared" si="0"/>
        <v>7718.1410989918895</v>
      </c>
      <c r="H18" s="31">
        <f t="shared" si="1"/>
        <v>0</v>
      </c>
      <c r="I18" s="31">
        <f t="shared" si="2"/>
        <v>31.425661914460285</v>
      </c>
      <c r="J18" s="31">
        <f t="shared" si="3"/>
        <v>0</v>
      </c>
      <c r="M18" s="234">
        <v>2020</v>
      </c>
      <c r="N18" s="236">
        <f>M15</f>
        <v>129433.16459544761</v>
      </c>
      <c r="O18" s="233"/>
      <c r="P18" s="234">
        <v>2020</v>
      </c>
      <c r="Q18" s="236">
        <f>P15</f>
        <v>1273531.9043708565</v>
      </c>
    </row>
    <row r="19" spans="1:17" ht="15.6" x14ac:dyDescent="0.3">
      <c r="A19" s="13">
        <v>44317</v>
      </c>
      <c r="B19" s="24">
        <v>3650</v>
      </c>
      <c r="C19" s="22">
        <v>0</v>
      </c>
      <c r="D19" s="19">
        <v>468.72500000000002</v>
      </c>
      <c r="E19" s="20">
        <v>1134.5875000000001</v>
      </c>
      <c r="F19" s="31">
        <v>99.171052631578945</v>
      </c>
      <c r="G19" s="30">
        <f t="shared" si="0"/>
        <v>8835.125873379915</v>
      </c>
      <c r="H19" s="31">
        <f t="shared" si="1"/>
        <v>0</v>
      </c>
      <c r="I19" s="31">
        <f t="shared" si="2"/>
        <v>36.805094865331036</v>
      </c>
      <c r="J19" s="31">
        <f t="shared" si="3"/>
        <v>0</v>
      </c>
      <c r="M19" s="128">
        <v>2021</v>
      </c>
      <c r="N19" s="237">
        <f>N15</f>
        <v>101692.97061943205</v>
      </c>
      <c r="P19" s="128">
        <v>2021</v>
      </c>
      <c r="Q19" s="237">
        <f>Q15</f>
        <v>1129768.7179273162</v>
      </c>
    </row>
    <row r="20" spans="1:17" ht="15.6" x14ac:dyDescent="0.3">
      <c r="A20" s="13">
        <v>44348</v>
      </c>
      <c r="B20" s="24">
        <v>3650</v>
      </c>
      <c r="C20" s="22">
        <v>123895.5</v>
      </c>
      <c r="D20" s="19">
        <v>483.60489999999999</v>
      </c>
      <c r="E20" s="20">
        <v>1134.5875000000001</v>
      </c>
      <c r="F20" s="31">
        <v>100.2380952380952</v>
      </c>
      <c r="G20" s="30">
        <f t="shared" si="0"/>
        <v>8563.2804278864842</v>
      </c>
      <c r="H20" s="31">
        <f t="shared" si="1"/>
        <v>290671.75623375614</v>
      </c>
      <c r="I20" s="31">
        <f t="shared" si="2"/>
        <v>36.413301662707852</v>
      </c>
      <c r="J20" s="31">
        <f t="shared" si="3"/>
        <v>1236.0121140142523</v>
      </c>
      <c r="M20" s="128">
        <v>2022</v>
      </c>
      <c r="N20" s="237">
        <f>O15</f>
        <v>131129.2218944208</v>
      </c>
      <c r="P20" s="128">
        <v>2022</v>
      </c>
      <c r="Q20" s="237">
        <f>R15</f>
        <v>956067.94491797197</v>
      </c>
    </row>
    <row r="21" spans="1:17" ht="15.6" x14ac:dyDescent="0.3">
      <c r="A21" s="13">
        <v>44378</v>
      </c>
      <c r="B21" s="24">
        <v>3836</v>
      </c>
      <c r="C21" s="22">
        <v>0</v>
      </c>
      <c r="D21" s="19">
        <v>498.09870000000001</v>
      </c>
      <c r="E21" s="20">
        <v>1134.5875000000001</v>
      </c>
      <c r="F21" s="31">
        <v>101.3095238095238</v>
      </c>
      <c r="G21" s="30">
        <f t="shared" si="0"/>
        <v>8737.7815882675459</v>
      </c>
      <c r="H21" s="31">
        <f t="shared" si="1"/>
        <v>0</v>
      </c>
      <c r="I21" s="31">
        <f t="shared" si="2"/>
        <v>37.864159811985907</v>
      </c>
      <c r="J21" s="31">
        <f t="shared" si="3"/>
        <v>0</v>
      </c>
      <c r="M21" s="235" t="s">
        <v>229</v>
      </c>
      <c r="N21" s="238">
        <f>AVERAGE(N18:N20)</f>
        <v>120751.78570310015</v>
      </c>
      <c r="P21" s="235" t="s">
        <v>229</v>
      </c>
      <c r="Q21" s="238">
        <f>AVERAGE(Q18:Q20)</f>
        <v>1119789.5224053815</v>
      </c>
    </row>
    <row r="22" spans="1:17" ht="15.6" x14ac:dyDescent="0.3">
      <c r="A22" s="13">
        <v>44409</v>
      </c>
      <c r="B22" s="24">
        <v>3836</v>
      </c>
      <c r="C22" s="22">
        <v>0</v>
      </c>
      <c r="D22" s="19">
        <v>510.39420000000001</v>
      </c>
      <c r="E22" s="20">
        <v>1134.5875000000001</v>
      </c>
      <c r="F22" s="31">
        <v>102.28571428571431</v>
      </c>
      <c r="G22" s="30">
        <f t="shared" si="0"/>
        <v>8527.2866541195035</v>
      </c>
      <c r="H22" s="31">
        <f t="shared" si="1"/>
        <v>0</v>
      </c>
      <c r="I22" s="31">
        <f t="shared" si="2"/>
        <v>37.502793296089379</v>
      </c>
      <c r="J22" s="31">
        <f t="shared" si="3"/>
        <v>0</v>
      </c>
    </row>
    <row r="23" spans="1:17" ht="15.6" x14ac:dyDescent="0.3">
      <c r="A23" s="13">
        <v>44440</v>
      </c>
      <c r="B23" s="24">
        <v>4021</v>
      </c>
      <c r="C23" s="22">
        <v>123895.5</v>
      </c>
      <c r="D23" s="19">
        <v>528.49680000000001</v>
      </c>
      <c r="E23" s="20">
        <v>1134.5875000000001</v>
      </c>
      <c r="F23" s="31">
        <v>103.4431818181818</v>
      </c>
      <c r="G23" s="30">
        <f t="shared" si="0"/>
        <v>8632.3632186609266</v>
      </c>
      <c r="H23" s="31">
        <f t="shared" si="1"/>
        <v>265981.33726874035</v>
      </c>
      <c r="I23" s="31">
        <f t="shared" si="2"/>
        <v>38.871580797539281</v>
      </c>
      <c r="J23" s="31">
        <f t="shared" si="3"/>
        <v>1197.7154784137099</v>
      </c>
    </row>
    <row r="24" spans="1:17" ht="15.6" x14ac:dyDescent="0.3">
      <c r="A24" s="13">
        <v>44470</v>
      </c>
      <c r="B24" s="24">
        <v>4021</v>
      </c>
      <c r="C24" s="22">
        <v>0</v>
      </c>
      <c r="D24" s="19">
        <v>547.08019999999999</v>
      </c>
      <c r="E24" s="20">
        <v>1134.5875000000001</v>
      </c>
      <c r="F24" s="31">
        <v>104.5263157894737</v>
      </c>
      <c r="G24" s="30">
        <f t="shared" si="0"/>
        <v>8339.1362683204406</v>
      </c>
      <c r="H24" s="31">
        <f t="shared" si="1"/>
        <v>0</v>
      </c>
      <c r="I24" s="31">
        <f t="shared" si="2"/>
        <v>38.468781470292036</v>
      </c>
      <c r="J24" s="31">
        <f t="shared" si="3"/>
        <v>0</v>
      </c>
    </row>
    <row r="25" spans="1:17" ht="15.6" x14ac:dyDescent="0.3">
      <c r="A25" s="13">
        <v>44501</v>
      </c>
      <c r="B25" s="24">
        <v>4329</v>
      </c>
      <c r="C25" s="22">
        <v>123895.5</v>
      </c>
      <c r="D25" s="19">
        <v>560.91840000000002</v>
      </c>
      <c r="E25" s="20">
        <v>1134.5875000000001</v>
      </c>
      <c r="F25" s="31">
        <v>105.4285714285714</v>
      </c>
      <c r="G25" s="30">
        <f t="shared" si="0"/>
        <v>8756.406078852111</v>
      </c>
      <c r="H25" s="31">
        <f t="shared" si="1"/>
        <v>250607.37106547051</v>
      </c>
      <c r="I25" s="31">
        <f t="shared" si="2"/>
        <v>41.060975609756106</v>
      </c>
      <c r="J25" s="31">
        <f t="shared" si="3"/>
        <v>1175.1605691056914</v>
      </c>
    </row>
    <row r="26" spans="1:17" ht="15.6" x14ac:dyDescent="0.3">
      <c r="A26" s="13">
        <v>44531</v>
      </c>
      <c r="B26" s="24">
        <v>4329</v>
      </c>
      <c r="C26" s="22">
        <v>0</v>
      </c>
      <c r="D26" s="19">
        <v>582.45749999999998</v>
      </c>
      <c r="E26" s="20">
        <v>1134.5875000000001</v>
      </c>
      <c r="F26" s="31">
        <v>106.95</v>
      </c>
      <c r="G26" s="30">
        <f t="shared" si="0"/>
        <v>8432.5968632904551</v>
      </c>
      <c r="H26" s="31">
        <f t="shared" si="1"/>
        <v>0</v>
      </c>
      <c r="I26" s="31">
        <f t="shared" si="2"/>
        <v>40.476858345021036</v>
      </c>
      <c r="J26" s="31">
        <f t="shared" si="3"/>
        <v>0</v>
      </c>
    </row>
    <row r="27" spans="1:17" ht="15.6" x14ac:dyDescent="0.3">
      <c r="A27" s="13">
        <v>44562</v>
      </c>
      <c r="B27" s="23">
        <v>6337</v>
      </c>
      <c r="C27" s="22">
        <v>0</v>
      </c>
      <c r="D27" s="19">
        <v>605.0317</v>
      </c>
      <c r="E27" s="20">
        <v>1134.5875000000001</v>
      </c>
      <c r="F27" s="31">
        <v>108.96428571428569</v>
      </c>
      <c r="G27" s="30">
        <f t="shared" si="0"/>
        <v>11883.478150814248</v>
      </c>
      <c r="H27" s="31">
        <f t="shared" si="1"/>
        <v>0</v>
      </c>
      <c r="I27" s="31">
        <f t="shared" si="2"/>
        <v>58.156669944280573</v>
      </c>
      <c r="J27" s="31">
        <f t="shared" si="3"/>
        <v>0</v>
      </c>
    </row>
    <row r="28" spans="1:17" ht="15.6" x14ac:dyDescent="0.3">
      <c r="A28" s="13">
        <v>44593</v>
      </c>
      <c r="B28" s="23">
        <v>6337</v>
      </c>
      <c r="C28" s="22">
        <v>0</v>
      </c>
      <c r="D28" s="19">
        <v>633.43409999999994</v>
      </c>
      <c r="E28" s="20">
        <v>1134.5875000000001</v>
      </c>
      <c r="F28" s="31">
        <v>111.53947368421051</v>
      </c>
      <c r="G28" s="30">
        <f t="shared" si="0"/>
        <v>11350.63771827251</v>
      </c>
      <c r="H28" s="31">
        <f t="shared" si="1"/>
        <v>0</v>
      </c>
      <c r="I28" s="31">
        <f t="shared" si="2"/>
        <v>56.813967205379271</v>
      </c>
      <c r="J28" s="31">
        <f t="shared" si="3"/>
        <v>0</v>
      </c>
    </row>
    <row r="29" spans="1:17" ht="15.6" x14ac:dyDescent="0.3">
      <c r="A29" s="13">
        <v>44621</v>
      </c>
      <c r="B29" s="23">
        <v>6337</v>
      </c>
      <c r="C29" s="22">
        <v>179269.7</v>
      </c>
      <c r="D29" s="19">
        <v>676.0566</v>
      </c>
      <c r="E29" s="20">
        <v>1134.5875000000001</v>
      </c>
      <c r="F29" s="31">
        <v>114.5833333333333</v>
      </c>
      <c r="G29" s="30">
        <f t="shared" si="0"/>
        <v>10635.028172937</v>
      </c>
      <c r="H29" s="31">
        <f t="shared" si="1"/>
        <v>300858.18369164655</v>
      </c>
      <c r="I29" s="31">
        <f t="shared" si="2"/>
        <v>55.304727272727291</v>
      </c>
      <c r="J29" s="31">
        <f t="shared" si="3"/>
        <v>1564.5355636363643</v>
      </c>
    </row>
    <row r="30" spans="1:17" ht="15.6" x14ac:dyDescent="0.3">
      <c r="A30" s="13">
        <v>44652</v>
      </c>
      <c r="B30" s="23">
        <v>6337</v>
      </c>
      <c r="C30" s="22">
        <v>0</v>
      </c>
      <c r="D30" s="19">
        <v>716.93989999999997</v>
      </c>
      <c r="E30" s="20">
        <v>1134.5875000000001</v>
      </c>
      <c r="F30" s="31">
        <v>118.3552631578947</v>
      </c>
      <c r="G30" s="30">
        <f t="shared" si="0"/>
        <v>10028.568625487298</v>
      </c>
      <c r="H30" s="31">
        <f t="shared" si="1"/>
        <v>0</v>
      </c>
      <c r="I30" s="31">
        <f t="shared" si="2"/>
        <v>53.542190105614246</v>
      </c>
      <c r="J30" s="31">
        <f t="shared" si="3"/>
        <v>0</v>
      </c>
    </row>
    <row r="31" spans="1:17" ht="15.6" x14ac:dyDescent="0.3">
      <c r="A31" s="13">
        <v>44682</v>
      </c>
      <c r="B31" s="23">
        <v>7796</v>
      </c>
      <c r="C31" s="22">
        <v>0</v>
      </c>
      <c r="D31" s="19">
        <v>753.14700000000005</v>
      </c>
      <c r="E31" s="20">
        <v>1134.5875000000001</v>
      </c>
      <c r="F31" s="31">
        <v>122.9</v>
      </c>
      <c r="G31" s="30">
        <f t="shared" si="0"/>
        <v>11744.379450492401</v>
      </c>
      <c r="H31" s="31">
        <f t="shared" si="1"/>
        <v>0</v>
      </c>
      <c r="I31" s="31">
        <f t="shared" si="2"/>
        <v>63.43368592351505</v>
      </c>
      <c r="J31" s="31">
        <f t="shared" si="3"/>
        <v>0</v>
      </c>
    </row>
    <row r="32" spans="1:17" ht="15.6" x14ac:dyDescent="0.3">
      <c r="A32" s="13">
        <v>44713</v>
      </c>
      <c r="B32" s="23">
        <v>7796</v>
      </c>
      <c r="C32" s="22">
        <v>179269.7</v>
      </c>
      <c r="D32" s="19">
        <v>793.02779999999996</v>
      </c>
      <c r="E32" s="20">
        <v>1134.5875000000001</v>
      </c>
      <c r="F32" s="31">
        <v>127.675</v>
      </c>
      <c r="G32" s="30">
        <f t="shared" si="0"/>
        <v>11153.76302066586</v>
      </c>
      <c r="H32" s="31">
        <f t="shared" si="1"/>
        <v>256481.75353846364</v>
      </c>
      <c r="I32" s="31">
        <f t="shared" si="2"/>
        <v>61.061288427648329</v>
      </c>
      <c r="J32" s="31">
        <f t="shared" si="3"/>
        <v>1404.1096534168789</v>
      </c>
    </row>
    <row r="33" spans="1:10" ht="15.6" x14ac:dyDescent="0.3">
      <c r="A33" s="13">
        <v>44743</v>
      </c>
      <c r="B33" s="23">
        <v>7796</v>
      </c>
      <c r="C33" s="22">
        <v>0</v>
      </c>
      <c r="D33" s="19">
        <v>851.76099999999997</v>
      </c>
      <c r="E33" s="20">
        <v>1134.5875000000001</v>
      </c>
      <c r="F33" s="31">
        <v>134.72619047619051</v>
      </c>
      <c r="G33" s="30">
        <f t="shared" si="0"/>
        <v>10384.655026468694</v>
      </c>
      <c r="H33" s="31">
        <f t="shared" si="1"/>
        <v>0</v>
      </c>
      <c r="I33" s="31">
        <f t="shared" si="2"/>
        <v>57.865512061500382</v>
      </c>
      <c r="J33" s="31">
        <f t="shared" si="3"/>
        <v>0</v>
      </c>
    </row>
    <row r="34" spans="1:10" ht="15.6" x14ac:dyDescent="0.3">
      <c r="A34" s="13">
        <v>44774</v>
      </c>
      <c r="B34" s="23">
        <v>7796</v>
      </c>
      <c r="C34" s="22">
        <v>0</v>
      </c>
      <c r="D34" s="19">
        <v>911.13160000000005</v>
      </c>
      <c r="E34" s="20">
        <v>1134.5875000000001</v>
      </c>
      <c r="F34" s="31">
        <v>141.64772727272731</v>
      </c>
      <c r="G34" s="30">
        <f t="shared" si="0"/>
        <v>9707.9764876994723</v>
      </c>
      <c r="H34" s="31">
        <f t="shared" si="1"/>
        <v>0</v>
      </c>
      <c r="I34" s="31">
        <f t="shared" si="2"/>
        <v>55.037946249498582</v>
      </c>
      <c r="J34" s="31">
        <f t="shared" si="3"/>
        <v>0</v>
      </c>
    </row>
    <row r="35" spans="1:10" ht="15.6" x14ac:dyDescent="0.3">
      <c r="A35" s="13">
        <v>44805</v>
      </c>
      <c r="B35" s="23">
        <v>9413</v>
      </c>
      <c r="C35" s="22">
        <v>179269.7</v>
      </c>
      <c r="D35" s="19">
        <v>967.30759999999998</v>
      </c>
      <c r="E35" s="20">
        <v>1134.5875000000001</v>
      </c>
      <c r="F35" s="31">
        <v>149.61904761904759</v>
      </c>
      <c r="G35" s="30">
        <f t="shared" si="0"/>
        <v>11040.823144054695</v>
      </c>
      <c r="H35" s="31">
        <f t="shared" si="1"/>
        <v>210271.43873236398</v>
      </c>
      <c r="I35" s="31">
        <f t="shared" si="2"/>
        <v>62.913112667091035</v>
      </c>
      <c r="J35" s="31">
        <f t="shared" si="3"/>
        <v>1198.1743157224701</v>
      </c>
    </row>
    <row r="36" spans="1:10" ht="15.6" x14ac:dyDescent="0.3">
      <c r="A36" s="13">
        <v>44835</v>
      </c>
      <c r="B36" s="23">
        <v>9413</v>
      </c>
      <c r="C36" s="22">
        <v>0</v>
      </c>
      <c r="D36" s="19">
        <v>1028.7059999999999</v>
      </c>
      <c r="E36" s="20">
        <v>1134.5875000000001</v>
      </c>
      <c r="F36" s="31">
        <v>158.61842105263159</v>
      </c>
      <c r="G36" s="30">
        <f t="shared" si="0"/>
        <v>10381.850730432216</v>
      </c>
      <c r="H36" s="31">
        <f t="shared" si="1"/>
        <v>0</v>
      </c>
      <c r="I36" s="31">
        <f t="shared" si="2"/>
        <v>59.343674823724591</v>
      </c>
      <c r="J36" s="31">
        <f t="shared" si="3"/>
        <v>0</v>
      </c>
    </row>
    <row r="37" spans="1:10" ht="15.6" x14ac:dyDescent="0.3">
      <c r="A37" s="13">
        <v>44866</v>
      </c>
      <c r="B37" s="23">
        <v>11124</v>
      </c>
      <c r="C37" s="22">
        <v>179269.7</v>
      </c>
      <c r="D37" s="19">
        <v>1079.2787000000001</v>
      </c>
      <c r="E37" s="20">
        <v>1134.5875000000001</v>
      </c>
      <c r="F37" s="31">
        <v>168.39285714285711</v>
      </c>
      <c r="G37" s="30">
        <f t="shared" si="0"/>
        <v>11694.061367096378</v>
      </c>
      <c r="H37" s="31">
        <f t="shared" si="1"/>
        <v>188456.56895549779</v>
      </c>
      <c r="I37" s="31">
        <f t="shared" si="2"/>
        <v>66.059809119830348</v>
      </c>
      <c r="J37" s="31">
        <f t="shared" si="3"/>
        <v>1064.592067868505</v>
      </c>
    </row>
    <row r="38" spans="1:10" ht="15.6" x14ac:dyDescent="0.3">
      <c r="A38" s="13">
        <v>44896</v>
      </c>
      <c r="B38" s="23">
        <v>11124</v>
      </c>
      <c r="C38" s="22">
        <v>0</v>
      </c>
      <c r="D38" s="19">
        <v>1134.5875000000001</v>
      </c>
      <c r="E38" s="20">
        <v>1134.5875000000001</v>
      </c>
      <c r="F38" s="31">
        <v>179.28749999999999</v>
      </c>
      <c r="G38" s="30">
        <f t="shared" si="0"/>
        <v>11124</v>
      </c>
      <c r="H38" s="31">
        <f t="shared" si="1"/>
        <v>0</v>
      </c>
      <c r="I38" s="31">
        <f t="shared" si="2"/>
        <v>62.045597155406817</v>
      </c>
      <c r="J38" s="31">
        <f t="shared" si="3"/>
        <v>0</v>
      </c>
    </row>
    <row r="39" spans="1:10" x14ac:dyDescent="0.3">
      <c r="A39" s="5"/>
      <c r="B39" s="18"/>
      <c r="C39" s="18"/>
      <c r="D39" s="18"/>
      <c r="E39" s="18"/>
      <c r="F39" s="18"/>
    </row>
  </sheetData>
  <mergeCells count="7">
    <mergeCell ref="V10:W10"/>
    <mergeCell ref="T10:U10"/>
    <mergeCell ref="A1:J1"/>
    <mergeCell ref="T7:U7"/>
    <mergeCell ref="T8:U8"/>
    <mergeCell ref="T1:W1"/>
    <mergeCell ref="T9:U9"/>
  </mergeCell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5EC2D-4E5F-4D5F-B692-2DB5597835D7}">
  <dimension ref="A1:V98"/>
  <sheetViews>
    <sheetView topLeftCell="C1" zoomScale="83" zoomScaleNormal="59" workbookViewId="0">
      <selection activeCell="T41" sqref="T41"/>
    </sheetView>
  </sheetViews>
  <sheetFormatPr baseColWidth="10" defaultRowHeight="14.4" x14ac:dyDescent="0.3"/>
  <cols>
    <col min="4" max="4" width="17.33203125" bestFit="1" customWidth="1"/>
    <col min="5" max="5" width="14.33203125" bestFit="1" customWidth="1"/>
    <col min="6" max="6" width="20.44140625" bestFit="1" customWidth="1"/>
    <col min="7" max="7" width="24" customWidth="1"/>
    <col min="8" max="8" width="22.21875" customWidth="1"/>
    <col min="9" max="9" width="20.44140625" customWidth="1"/>
    <col min="11" max="11" width="15.77734375" bestFit="1" customWidth="1"/>
    <col min="13" max="13" width="14.44140625" bestFit="1" customWidth="1"/>
    <col min="14" max="14" width="14.5546875" bestFit="1" customWidth="1"/>
    <col min="17" max="17" width="26.44140625" customWidth="1"/>
    <col min="18" max="18" width="24.21875" customWidth="1"/>
    <col min="19" max="19" width="14.6640625" bestFit="1" customWidth="1"/>
    <col min="20" max="20" width="11.6640625" bestFit="1" customWidth="1"/>
    <col min="21" max="21" width="13.21875" bestFit="1" customWidth="1"/>
  </cols>
  <sheetData>
    <row r="1" spans="1:22" ht="17.399999999999999" x14ac:dyDescent="0.3">
      <c r="A1" s="688" t="s">
        <v>503</v>
      </c>
      <c r="B1" s="689"/>
      <c r="C1" s="689"/>
      <c r="D1" s="689"/>
      <c r="E1" s="689"/>
      <c r="G1" s="690" t="s">
        <v>504</v>
      </c>
      <c r="H1" s="691"/>
      <c r="I1" s="150"/>
      <c r="J1" s="688" t="s">
        <v>507</v>
      </c>
      <c r="K1" s="689"/>
      <c r="L1" s="689"/>
      <c r="M1" s="689"/>
      <c r="N1" s="689"/>
      <c r="O1" s="150"/>
      <c r="Q1" s="688" t="s">
        <v>505</v>
      </c>
      <c r="R1" s="689"/>
    </row>
    <row r="2" spans="1:22" ht="15" thickBot="1" x14ac:dyDescent="0.35">
      <c r="A2" s="315" t="s">
        <v>10</v>
      </c>
      <c r="B2" s="306" t="s">
        <v>458</v>
      </c>
      <c r="C2" s="306" t="s">
        <v>465</v>
      </c>
      <c r="D2" s="306" t="s">
        <v>462</v>
      </c>
      <c r="E2" s="377" t="s">
        <v>459</v>
      </c>
      <c r="G2" s="315" t="s">
        <v>458</v>
      </c>
      <c r="H2" s="386" t="s">
        <v>569</v>
      </c>
      <c r="I2" s="310"/>
      <c r="J2" s="308" t="s">
        <v>475</v>
      </c>
      <c r="K2" s="308" t="s">
        <v>476</v>
      </c>
      <c r="L2" s="308" t="s">
        <v>477</v>
      </c>
      <c r="M2" s="328" t="s">
        <v>478</v>
      </c>
      <c r="N2" s="309" t="s">
        <v>508</v>
      </c>
      <c r="Q2" s="311" t="s">
        <v>458</v>
      </c>
      <c r="R2" s="316" t="s">
        <v>480</v>
      </c>
    </row>
    <row r="3" spans="1:22" x14ac:dyDescent="0.3">
      <c r="A3" s="378">
        <v>2022</v>
      </c>
      <c r="B3" s="271" t="s">
        <v>461</v>
      </c>
      <c r="C3" s="271" t="s">
        <v>460</v>
      </c>
      <c r="D3" s="271" t="s">
        <v>464</v>
      </c>
      <c r="E3" s="379">
        <v>412318.30835093884</v>
      </c>
      <c r="G3" s="340" t="s">
        <v>461</v>
      </c>
      <c r="H3" s="384">
        <f>SUM(E3:E10)</f>
        <v>1356865.0582733634</v>
      </c>
      <c r="I3" s="310"/>
      <c r="J3" s="317">
        <v>43476</v>
      </c>
      <c r="K3" s="318">
        <v>43524</v>
      </c>
      <c r="L3" s="319">
        <v>43552</v>
      </c>
      <c r="M3" s="692">
        <v>5</v>
      </c>
      <c r="N3" s="330">
        <v>5248430.7548453063</v>
      </c>
      <c r="Q3" s="340" t="s">
        <v>461</v>
      </c>
      <c r="R3" s="383">
        <f>N18</f>
        <v>7296975.029676131</v>
      </c>
    </row>
    <row r="4" spans="1:22" x14ac:dyDescent="0.3">
      <c r="A4" s="340">
        <v>2022</v>
      </c>
      <c r="B4" s="103" t="s">
        <v>461</v>
      </c>
      <c r="C4" s="103" t="s">
        <v>460</v>
      </c>
      <c r="D4" s="103" t="s">
        <v>2</v>
      </c>
      <c r="E4" s="380">
        <v>121121.44517248182</v>
      </c>
      <c r="G4" s="340" t="s">
        <v>466</v>
      </c>
      <c r="H4" s="384">
        <f>SUM(E11:E18)</f>
        <v>490609.47677368019</v>
      </c>
      <c r="I4" s="310"/>
      <c r="J4" s="320">
        <v>43542</v>
      </c>
      <c r="K4" s="170">
        <v>43592</v>
      </c>
      <c r="L4" s="321">
        <v>43623</v>
      </c>
      <c r="M4" s="694"/>
      <c r="N4" s="331">
        <v>6637078.0503864121</v>
      </c>
      <c r="Q4" s="340" t="s">
        <v>466</v>
      </c>
      <c r="R4" s="384">
        <v>0</v>
      </c>
    </row>
    <row r="5" spans="1:22" x14ac:dyDescent="0.3">
      <c r="A5" s="340">
        <v>2022</v>
      </c>
      <c r="B5" s="103" t="s">
        <v>461</v>
      </c>
      <c r="C5" s="103" t="s">
        <v>460</v>
      </c>
      <c r="D5" s="103" t="s">
        <v>250</v>
      </c>
      <c r="E5" s="380">
        <v>5453.3520632622431</v>
      </c>
      <c r="G5" s="340" t="s">
        <v>409</v>
      </c>
      <c r="H5" s="384">
        <f>SUM(E19:E26)</f>
        <v>804968.34729565354</v>
      </c>
      <c r="I5" s="310"/>
      <c r="J5" s="320">
        <v>43608</v>
      </c>
      <c r="K5" s="170">
        <v>43660</v>
      </c>
      <c r="L5" s="321">
        <v>43691</v>
      </c>
      <c r="M5" s="694"/>
      <c r="N5" s="331">
        <v>6395060.7691238653</v>
      </c>
      <c r="Q5" s="340" t="s">
        <v>409</v>
      </c>
      <c r="R5" s="384">
        <f>N19</f>
        <v>7490454.9200651255</v>
      </c>
    </row>
    <row r="6" spans="1:22" x14ac:dyDescent="0.3">
      <c r="A6" s="340">
        <v>2022</v>
      </c>
      <c r="B6" s="103" t="s">
        <v>461</v>
      </c>
      <c r="C6" s="103" t="s">
        <v>460</v>
      </c>
      <c r="D6" s="103" t="s">
        <v>244</v>
      </c>
      <c r="E6" s="380">
        <v>72300.421049509619</v>
      </c>
      <c r="G6" s="340" t="s">
        <v>467</v>
      </c>
      <c r="H6" s="384">
        <f>SUM(E27:E34)</f>
        <v>980870.10901336605</v>
      </c>
      <c r="I6" s="310"/>
      <c r="J6" s="320">
        <v>43678</v>
      </c>
      <c r="K6" s="170">
        <v>43728</v>
      </c>
      <c r="L6" s="321">
        <v>43758</v>
      </c>
      <c r="M6" s="694"/>
      <c r="N6" s="331">
        <v>5891493.9869893519</v>
      </c>
      <c r="Q6" s="340" t="s">
        <v>467</v>
      </c>
      <c r="R6" s="384">
        <v>0</v>
      </c>
    </row>
    <row r="7" spans="1:22" ht="15" thickBot="1" x14ac:dyDescent="0.35">
      <c r="A7" s="340">
        <v>2022</v>
      </c>
      <c r="B7" s="103" t="s">
        <v>461</v>
      </c>
      <c r="C7" s="103" t="s">
        <v>460</v>
      </c>
      <c r="D7" s="103" t="s">
        <v>262</v>
      </c>
      <c r="E7" s="110">
        <v>158553</v>
      </c>
      <c r="G7" s="340" t="s">
        <v>468</v>
      </c>
      <c r="H7" s="384">
        <f>SUM(E35:E42)</f>
        <v>485138.27216486429</v>
      </c>
      <c r="I7" s="310"/>
      <c r="J7" s="322">
        <v>43746</v>
      </c>
      <c r="K7" s="323">
        <v>43795</v>
      </c>
      <c r="L7" s="324">
        <v>43825</v>
      </c>
      <c r="M7" s="693"/>
      <c r="N7" s="332">
        <v>6881853.3100165743</v>
      </c>
      <c r="Q7" s="340" t="s">
        <v>468</v>
      </c>
      <c r="R7" s="384">
        <v>0</v>
      </c>
    </row>
    <row r="8" spans="1:22" x14ac:dyDescent="0.3">
      <c r="A8" s="340">
        <v>2022</v>
      </c>
      <c r="B8" s="103" t="s">
        <v>461</v>
      </c>
      <c r="C8" s="103" t="s">
        <v>460</v>
      </c>
      <c r="D8" s="103" t="s">
        <v>263</v>
      </c>
      <c r="E8" s="110">
        <v>10776</v>
      </c>
      <c r="G8" s="340" t="s">
        <v>410</v>
      </c>
      <c r="H8" s="384">
        <f>SUM(E43:E50)</f>
        <v>2073088.5157314939</v>
      </c>
      <c r="I8" s="310"/>
      <c r="J8" s="317">
        <v>43811</v>
      </c>
      <c r="K8" s="318">
        <v>43862</v>
      </c>
      <c r="L8" s="325">
        <v>43891</v>
      </c>
      <c r="M8" s="692">
        <v>5</v>
      </c>
      <c r="N8" s="330">
        <v>6234441.3731400445</v>
      </c>
      <c r="Q8" s="340" t="s">
        <v>410</v>
      </c>
      <c r="R8" s="384">
        <f>N20</f>
        <v>7811640.0837398153</v>
      </c>
    </row>
    <row r="9" spans="1:22" x14ac:dyDescent="0.3">
      <c r="A9" s="340">
        <v>2022</v>
      </c>
      <c r="B9" s="103" t="s">
        <v>461</v>
      </c>
      <c r="C9" s="103" t="s">
        <v>460</v>
      </c>
      <c r="D9" s="103" t="s">
        <v>474</v>
      </c>
      <c r="E9" s="110">
        <v>42511.663247966237</v>
      </c>
      <c r="G9" s="340" t="s">
        <v>469</v>
      </c>
      <c r="H9" s="384">
        <f>SUM(E51:E58)</f>
        <v>488293.15761415556</v>
      </c>
      <c r="I9" s="310"/>
      <c r="J9" s="320">
        <v>43868</v>
      </c>
      <c r="K9" s="170">
        <v>43919</v>
      </c>
      <c r="L9" s="326">
        <v>43950</v>
      </c>
      <c r="M9" s="694"/>
      <c r="N9" s="331">
        <v>6841564.348150081</v>
      </c>
      <c r="Q9" s="340" t="s">
        <v>469</v>
      </c>
      <c r="R9" s="384">
        <v>0</v>
      </c>
    </row>
    <row r="10" spans="1:22" x14ac:dyDescent="0.3">
      <c r="A10" s="340">
        <v>2022</v>
      </c>
      <c r="B10" s="103" t="s">
        <v>461</v>
      </c>
      <c r="C10" s="103" t="s">
        <v>460</v>
      </c>
      <c r="D10" s="103" t="s">
        <v>473</v>
      </c>
      <c r="E10" s="380">
        <v>533830.86838920449</v>
      </c>
      <c r="G10" s="340" t="s">
        <v>470</v>
      </c>
      <c r="H10" s="384">
        <f>SUM(E59:E66)</f>
        <v>1996866.6768529145</v>
      </c>
      <c r="I10" s="310"/>
      <c r="J10" s="320">
        <v>43941</v>
      </c>
      <c r="K10" s="170">
        <v>43990</v>
      </c>
      <c r="L10" s="326">
        <v>44020</v>
      </c>
      <c r="M10" s="694"/>
      <c r="N10" s="331">
        <v>6969412.5224062121</v>
      </c>
      <c r="Q10" s="340" t="s">
        <v>470</v>
      </c>
      <c r="R10" s="384">
        <f>N21</f>
        <v>8575165.4627196565</v>
      </c>
    </row>
    <row r="11" spans="1:22" x14ac:dyDescent="0.3">
      <c r="A11" s="340">
        <v>2022</v>
      </c>
      <c r="B11" s="103" t="s">
        <v>466</v>
      </c>
      <c r="C11" s="103" t="s">
        <v>460</v>
      </c>
      <c r="D11" s="103" t="s">
        <v>464</v>
      </c>
      <c r="E11" s="380">
        <v>297344.0478316946</v>
      </c>
      <c r="G11" s="340" t="s">
        <v>411</v>
      </c>
      <c r="H11" s="384">
        <f>SUM(E67:E74)</f>
        <v>520828.52984972927</v>
      </c>
      <c r="I11" s="310"/>
      <c r="J11" s="320">
        <v>44012</v>
      </c>
      <c r="K11" s="170">
        <v>44061</v>
      </c>
      <c r="L11" s="326">
        <v>44092</v>
      </c>
      <c r="M11" s="694"/>
      <c r="N11" s="331">
        <v>6949830.305612159</v>
      </c>
      <c r="Q11" s="340" t="s">
        <v>411</v>
      </c>
      <c r="R11" s="384">
        <v>0</v>
      </c>
    </row>
    <row r="12" spans="1:22" ht="15" thickBot="1" x14ac:dyDescent="0.35">
      <c r="A12" s="340">
        <v>2022</v>
      </c>
      <c r="B12" s="103" t="s">
        <v>466</v>
      </c>
      <c r="C12" s="103" t="s">
        <v>460</v>
      </c>
      <c r="D12" s="103" t="s">
        <v>2</v>
      </c>
      <c r="E12" s="380">
        <v>98042.109466193986</v>
      </c>
      <c r="G12" s="340" t="s">
        <v>471</v>
      </c>
      <c r="H12" s="384">
        <f>SUM(E75:E82)</f>
        <v>524569.63733499253</v>
      </c>
      <c r="I12" s="310"/>
      <c r="J12" s="322">
        <v>44088</v>
      </c>
      <c r="K12" s="323">
        <v>44138</v>
      </c>
      <c r="L12" s="327">
        <v>44168</v>
      </c>
      <c r="M12" s="693"/>
      <c r="N12" s="332">
        <v>6760835.1630780967</v>
      </c>
      <c r="Q12" s="340" t="s">
        <v>471</v>
      </c>
      <c r="R12" s="384">
        <f>N22</f>
        <v>8164165.8718696125</v>
      </c>
    </row>
    <row r="13" spans="1:22" x14ac:dyDescent="0.3">
      <c r="A13" s="340">
        <v>2022</v>
      </c>
      <c r="B13" s="103" t="s">
        <v>466</v>
      </c>
      <c r="C13" s="103" t="s">
        <v>460</v>
      </c>
      <c r="D13" s="103" t="s">
        <v>250</v>
      </c>
      <c r="E13" s="380">
        <v>4574.8783736263313</v>
      </c>
      <c r="G13" s="340" t="s">
        <v>412</v>
      </c>
      <c r="H13" s="384">
        <f>SUM(E83:E90)</f>
        <v>515665.42022628081</v>
      </c>
      <c r="I13" s="310"/>
      <c r="J13" s="317">
        <v>44161</v>
      </c>
      <c r="K13" s="318">
        <v>44215</v>
      </c>
      <c r="L13" s="319">
        <v>44246</v>
      </c>
      <c r="M13" s="692">
        <v>5</v>
      </c>
      <c r="N13" s="330">
        <v>6484101.9674613662</v>
      </c>
      <c r="Q13" s="340" t="s">
        <v>412</v>
      </c>
      <c r="R13" s="384">
        <v>0</v>
      </c>
    </row>
    <row r="14" spans="1:22" x14ac:dyDescent="0.3">
      <c r="A14" s="340">
        <v>2022</v>
      </c>
      <c r="B14" s="103" t="s">
        <v>466</v>
      </c>
      <c r="C14" s="103" t="s">
        <v>460</v>
      </c>
      <c r="D14" s="103" t="s">
        <v>244</v>
      </c>
      <c r="E14" s="380">
        <v>32924.777854199034</v>
      </c>
      <c r="G14" s="344" t="s">
        <v>472</v>
      </c>
      <c r="H14" s="385">
        <f>SUM(E91:E98)</f>
        <v>1814927.0816573408</v>
      </c>
      <c r="J14" s="320">
        <v>44229</v>
      </c>
      <c r="K14" s="170">
        <v>44280</v>
      </c>
      <c r="L14" s="321">
        <v>44311</v>
      </c>
      <c r="M14" s="694"/>
      <c r="N14" s="331">
        <v>7148054.0872010887</v>
      </c>
      <c r="Q14" s="344" t="s">
        <v>472</v>
      </c>
      <c r="R14" s="385">
        <v>0</v>
      </c>
    </row>
    <row r="15" spans="1:22" x14ac:dyDescent="0.3">
      <c r="A15" s="340">
        <v>2022</v>
      </c>
      <c r="B15" s="103" t="s">
        <v>466</v>
      </c>
      <c r="C15" s="103" t="s">
        <v>460</v>
      </c>
      <c r="D15" s="103" t="s">
        <v>262</v>
      </c>
      <c r="E15" s="110">
        <v>8028</v>
      </c>
      <c r="H15" s="305"/>
      <c r="J15" s="320">
        <v>44302</v>
      </c>
      <c r="K15" s="170">
        <v>44352</v>
      </c>
      <c r="L15" s="321">
        <v>44382</v>
      </c>
      <c r="M15" s="694"/>
      <c r="N15" s="331">
        <v>7455496.1953323716</v>
      </c>
    </row>
    <row r="16" spans="1:22" ht="17.399999999999999" x14ac:dyDescent="0.3">
      <c r="A16" s="340">
        <v>2022</v>
      </c>
      <c r="B16" s="103" t="s">
        <v>466</v>
      </c>
      <c r="C16" s="103" t="s">
        <v>460</v>
      </c>
      <c r="D16" s="103" t="s">
        <v>263</v>
      </c>
      <c r="E16" s="110">
        <v>7184</v>
      </c>
      <c r="G16" s="150"/>
      <c r="H16" s="150"/>
      <c r="J16" s="320">
        <v>44371</v>
      </c>
      <c r="K16" s="170">
        <v>44421</v>
      </c>
      <c r="L16" s="321">
        <v>44452</v>
      </c>
      <c r="M16" s="694"/>
      <c r="N16" s="331">
        <v>7128062.829874278</v>
      </c>
      <c r="P16" s="41"/>
      <c r="Q16" s="41"/>
      <c r="R16" s="41"/>
      <c r="S16" s="41"/>
      <c r="T16" s="41"/>
      <c r="U16" s="41"/>
      <c r="V16" s="41"/>
    </row>
    <row r="17" spans="1:22" ht="18" thickBot="1" x14ac:dyDescent="0.35">
      <c r="A17" s="340">
        <v>2022</v>
      </c>
      <c r="B17" s="103" t="s">
        <v>466</v>
      </c>
      <c r="C17" s="103" t="s">
        <v>460</v>
      </c>
      <c r="D17" s="103" t="s">
        <v>474</v>
      </c>
      <c r="E17" s="110">
        <v>42511.663247966237</v>
      </c>
      <c r="H17" s="29"/>
      <c r="J17" s="322">
        <v>44438</v>
      </c>
      <c r="K17" s="323">
        <v>44486</v>
      </c>
      <c r="L17" s="324">
        <v>44547</v>
      </c>
      <c r="M17" s="693"/>
      <c r="N17" s="332">
        <v>7192952.7064342154</v>
      </c>
      <c r="P17" s="41"/>
      <c r="Q17" s="436" t="s">
        <v>570</v>
      </c>
      <c r="R17" s="437"/>
      <c r="S17" s="438"/>
      <c r="T17" s="429"/>
      <c r="U17" s="429"/>
      <c r="V17" s="41"/>
    </row>
    <row r="18" spans="1:22" x14ac:dyDescent="0.3">
      <c r="A18" s="340">
        <v>2022</v>
      </c>
      <c r="B18" s="103" t="s">
        <v>466</v>
      </c>
      <c r="C18" s="103" t="s">
        <v>460</v>
      </c>
      <c r="D18" s="103" t="s">
        <v>473</v>
      </c>
      <c r="E18" s="380">
        <v>0</v>
      </c>
      <c r="J18" s="317">
        <v>44504</v>
      </c>
      <c r="K18" s="318">
        <v>44555</v>
      </c>
      <c r="L18" s="325">
        <v>44586</v>
      </c>
      <c r="M18" s="692">
        <v>5</v>
      </c>
      <c r="N18" s="330">
        <v>7296975.029676131</v>
      </c>
      <c r="P18" s="41"/>
      <c r="Q18" s="308" t="s">
        <v>458</v>
      </c>
      <c r="R18" s="308" t="s">
        <v>465</v>
      </c>
      <c r="S18" s="308" t="s">
        <v>479</v>
      </c>
      <c r="T18" s="41"/>
      <c r="U18" s="41"/>
      <c r="V18" s="41"/>
    </row>
    <row r="19" spans="1:22" x14ac:dyDescent="0.3">
      <c r="A19" s="340">
        <v>2022</v>
      </c>
      <c r="B19" s="103" t="s">
        <v>409</v>
      </c>
      <c r="C19" s="103" t="s">
        <v>460</v>
      </c>
      <c r="D19" s="103" t="s">
        <v>464</v>
      </c>
      <c r="E19" s="380">
        <v>291968.2109499647</v>
      </c>
      <c r="J19" s="320">
        <v>44567</v>
      </c>
      <c r="K19" s="170">
        <v>44616</v>
      </c>
      <c r="L19" s="326">
        <v>44644</v>
      </c>
      <c r="M19" s="694"/>
      <c r="N19" s="331">
        <v>7490454.9200651255</v>
      </c>
      <c r="P19" s="41"/>
      <c r="Q19" s="334" t="s">
        <v>461</v>
      </c>
      <c r="R19" s="335" t="s">
        <v>463</v>
      </c>
      <c r="S19" s="336">
        <f>R3</f>
        <v>7296975.029676131</v>
      </c>
      <c r="T19" s="430"/>
      <c r="U19" s="41"/>
      <c r="V19" s="41"/>
    </row>
    <row r="20" spans="1:22" x14ac:dyDescent="0.3">
      <c r="A20" s="340">
        <v>2022</v>
      </c>
      <c r="B20" s="103" t="s">
        <v>409</v>
      </c>
      <c r="C20" s="103" t="s">
        <v>460</v>
      </c>
      <c r="D20" s="103" t="s">
        <v>2</v>
      </c>
      <c r="E20" s="380">
        <v>94916.703835790424</v>
      </c>
      <c r="J20" s="320">
        <v>44638</v>
      </c>
      <c r="K20" s="170">
        <v>44687</v>
      </c>
      <c r="L20" s="326">
        <v>44718</v>
      </c>
      <c r="M20" s="694"/>
      <c r="N20" s="331">
        <v>7811640.0837398153</v>
      </c>
      <c r="P20" s="41"/>
      <c r="Q20" s="337" t="s">
        <v>461</v>
      </c>
      <c r="R20" s="338" t="s">
        <v>506</v>
      </c>
      <c r="S20" s="339">
        <f>H3</f>
        <v>1356865.0582733634</v>
      </c>
      <c r="T20" s="430"/>
      <c r="U20" s="41"/>
      <c r="V20" s="41"/>
    </row>
    <row r="21" spans="1:22" ht="15" thickBot="1" x14ac:dyDescent="0.35">
      <c r="A21" s="340">
        <v>2022</v>
      </c>
      <c r="B21" s="103" t="s">
        <v>409</v>
      </c>
      <c r="C21" s="103" t="s">
        <v>460</v>
      </c>
      <c r="D21" s="103" t="s">
        <v>250</v>
      </c>
      <c r="E21" s="380">
        <v>4496.6341588393352</v>
      </c>
      <c r="J21" s="320">
        <v>44714</v>
      </c>
      <c r="K21" s="170">
        <v>44763</v>
      </c>
      <c r="L21" s="326">
        <v>44794</v>
      </c>
      <c r="M21" s="694"/>
      <c r="N21" s="331">
        <v>8575165.4627196565</v>
      </c>
      <c r="P21" s="41"/>
      <c r="Q21" s="337" t="s">
        <v>466</v>
      </c>
      <c r="R21" s="338" t="s">
        <v>506</v>
      </c>
      <c r="S21" s="339">
        <f>H4</f>
        <v>490609.47677368019</v>
      </c>
      <c r="T21" s="430"/>
      <c r="U21" s="41"/>
      <c r="V21" s="41"/>
    </row>
    <row r="22" spans="1:22" ht="15" thickBot="1" x14ac:dyDescent="0.35">
      <c r="A22" s="340">
        <v>2022</v>
      </c>
      <c r="B22" s="103" t="s">
        <v>409</v>
      </c>
      <c r="C22" s="103" t="s">
        <v>460</v>
      </c>
      <c r="D22" s="103" t="s">
        <v>244</v>
      </c>
      <c r="E22" s="380">
        <v>72464.200404030256</v>
      </c>
      <c r="J22" s="322">
        <v>44784</v>
      </c>
      <c r="K22" s="323">
        <v>44832</v>
      </c>
      <c r="L22" s="327">
        <v>44862</v>
      </c>
      <c r="M22" s="693"/>
      <c r="N22" s="332">
        <v>8164165.8718696125</v>
      </c>
      <c r="P22" s="41"/>
      <c r="Q22" s="340" t="s">
        <v>482</v>
      </c>
      <c r="R22" s="307" t="s">
        <v>9</v>
      </c>
      <c r="S22" s="439">
        <f>SUM(S20:S21)</f>
        <v>1847474.5350470436</v>
      </c>
      <c r="T22" s="435">
        <f>S22/S19</f>
        <v>0.25318361753103624</v>
      </c>
      <c r="U22" s="41"/>
      <c r="V22" s="41"/>
    </row>
    <row r="23" spans="1:22" x14ac:dyDescent="0.3">
      <c r="A23" s="340">
        <v>2022</v>
      </c>
      <c r="B23" s="103" t="s">
        <v>409</v>
      </c>
      <c r="C23" s="103" t="s">
        <v>460</v>
      </c>
      <c r="D23" s="103" t="s">
        <v>262</v>
      </c>
      <c r="E23" s="110">
        <v>8028</v>
      </c>
      <c r="J23" s="317">
        <v>44851</v>
      </c>
      <c r="K23" s="318">
        <v>44899</v>
      </c>
      <c r="L23" s="319">
        <v>44930</v>
      </c>
      <c r="M23" s="692">
        <v>2</v>
      </c>
      <c r="N23" s="330">
        <v>8332009.5940418877</v>
      </c>
      <c r="P23" s="41"/>
      <c r="Q23" s="341" t="s">
        <v>409</v>
      </c>
      <c r="R23" s="342" t="s">
        <v>463</v>
      </c>
      <c r="S23" s="343">
        <f>R5</f>
        <v>7490454.9200651255</v>
      </c>
      <c r="T23" s="431"/>
      <c r="U23" s="432"/>
      <c r="V23" s="41"/>
    </row>
    <row r="24" spans="1:22" ht="15" thickBot="1" x14ac:dyDescent="0.35">
      <c r="A24" s="340">
        <v>2022</v>
      </c>
      <c r="B24" s="103" t="s">
        <v>409</v>
      </c>
      <c r="C24" s="103" t="s">
        <v>460</v>
      </c>
      <c r="D24" s="103" t="s">
        <v>263</v>
      </c>
      <c r="E24" s="110">
        <v>7184</v>
      </c>
      <c r="J24" s="322">
        <v>44917</v>
      </c>
      <c r="K24" s="323">
        <v>44968</v>
      </c>
      <c r="L24" s="324">
        <v>44996</v>
      </c>
      <c r="M24" s="693"/>
      <c r="N24" s="332">
        <v>11521797.114886247</v>
      </c>
      <c r="P24" s="41"/>
      <c r="Q24" s="337" t="s">
        <v>409</v>
      </c>
      <c r="R24" s="338" t="s">
        <v>506</v>
      </c>
      <c r="S24" s="339">
        <f>H5</f>
        <v>804968.34729565354</v>
      </c>
      <c r="T24" s="431"/>
      <c r="U24" s="41"/>
      <c r="V24" s="41"/>
    </row>
    <row r="25" spans="1:22" x14ac:dyDescent="0.3">
      <c r="A25" s="340">
        <v>2022</v>
      </c>
      <c r="B25" s="103" t="s">
        <v>409</v>
      </c>
      <c r="C25" s="103" t="s">
        <v>460</v>
      </c>
      <c r="D25" s="103" t="s">
        <v>474</v>
      </c>
      <c r="E25" s="110">
        <v>42511.663247966237</v>
      </c>
      <c r="P25" s="41"/>
      <c r="Q25" s="337" t="s">
        <v>467</v>
      </c>
      <c r="R25" s="338" t="s">
        <v>506</v>
      </c>
      <c r="S25" s="339">
        <f>H6</f>
        <v>980870.10901336605</v>
      </c>
      <c r="T25" s="431"/>
      <c r="U25" s="41"/>
      <c r="V25" s="41"/>
    </row>
    <row r="26" spans="1:22" ht="15" thickBot="1" x14ac:dyDescent="0.35">
      <c r="A26" s="340">
        <v>2022</v>
      </c>
      <c r="B26" s="103" t="s">
        <v>409</v>
      </c>
      <c r="C26" s="103" t="s">
        <v>460</v>
      </c>
      <c r="D26" s="103" t="s">
        <v>473</v>
      </c>
      <c r="E26" s="380">
        <v>283398.93469906267</v>
      </c>
      <c r="P26" s="41"/>
      <c r="Q26" s="337" t="s">
        <v>468</v>
      </c>
      <c r="R26" s="338" t="s">
        <v>506</v>
      </c>
      <c r="S26" s="339">
        <f>H7</f>
        <v>485138.27216486429</v>
      </c>
      <c r="T26" s="431"/>
      <c r="U26" s="41"/>
      <c r="V26" s="41"/>
    </row>
    <row r="27" spans="1:22" ht="15" thickBot="1" x14ac:dyDescent="0.35">
      <c r="A27" s="340">
        <v>2022</v>
      </c>
      <c r="B27" s="103" t="s">
        <v>467</v>
      </c>
      <c r="C27" s="103" t="s">
        <v>460</v>
      </c>
      <c r="D27" s="103" t="s">
        <v>464</v>
      </c>
      <c r="E27" s="380">
        <v>262760.75909161411</v>
      </c>
      <c r="P27" s="41"/>
      <c r="Q27" s="340" t="s">
        <v>482</v>
      </c>
      <c r="R27" s="307" t="s">
        <v>9</v>
      </c>
      <c r="S27" s="439">
        <f>SUM(S24:S26)</f>
        <v>2270976.7284738841</v>
      </c>
      <c r="T27" s="435">
        <f>S27/S23</f>
        <v>0.30318275094220032</v>
      </c>
      <c r="U27" s="41"/>
      <c r="V27" s="41"/>
    </row>
    <row r="28" spans="1:22" x14ac:dyDescent="0.3">
      <c r="A28" s="340">
        <v>2022</v>
      </c>
      <c r="B28" s="103" t="s">
        <v>467</v>
      </c>
      <c r="C28" s="103" t="s">
        <v>460</v>
      </c>
      <c r="D28" s="103" t="s">
        <v>2</v>
      </c>
      <c r="E28" s="380">
        <v>98195.497150089155</v>
      </c>
      <c r="P28" s="41"/>
      <c r="Q28" s="341" t="s">
        <v>410</v>
      </c>
      <c r="R28" s="342" t="s">
        <v>463</v>
      </c>
      <c r="S28" s="343">
        <f>R8</f>
        <v>7811640.0837398153</v>
      </c>
      <c r="T28" s="431"/>
      <c r="U28" s="41"/>
      <c r="V28" s="41"/>
    </row>
    <row r="29" spans="1:22" x14ac:dyDescent="0.3">
      <c r="A29" s="340">
        <v>2022</v>
      </c>
      <c r="B29" s="103" t="s">
        <v>467</v>
      </c>
      <c r="C29" s="103" t="s">
        <v>460</v>
      </c>
      <c r="D29" s="103" t="s">
        <v>250</v>
      </c>
      <c r="E29" s="380">
        <v>4131.4521814694617</v>
      </c>
      <c r="P29" s="41"/>
      <c r="Q29" s="337" t="s">
        <v>410</v>
      </c>
      <c r="R29" s="338" t="s">
        <v>506</v>
      </c>
      <c r="S29" s="339">
        <f>H8</f>
        <v>2073088.5157314939</v>
      </c>
      <c r="T29" s="431"/>
      <c r="U29" s="41"/>
      <c r="V29" s="41"/>
    </row>
    <row r="30" spans="1:22" ht="15" thickBot="1" x14ac:dyDescent="0.35">
      <c r="A30" s="340">
        <v>2022</v>
      </c>
      <c r="B30" s="103" t="s">
        <v>467</v>
      </c>
      <c r="C30" s="103" t="s">
        <v>460</v>
      </c>
      <c r="D30" s="103" t="s">
        <v>244</v>
      </c>
      <c r="E30" s="380">
        <v>26384.043889054097</v>
      </c>
      <c r="P30" s="41"/>
      <c r="Q30" s="337" t="s">
        <v>469</v>
      </c>
      <c r="R30" s="338" t="s">
        <v>506</v>
      </c>
      <c r="S30" s="339">
        <f>H9</f>
        <v>488293.15761415556</v>
      </c>
      <c r="T30" s="431"/>
      <c r="U30" s="41"/>
      <c r="V30" s="41"/>
    </row>
    <row r="31" spans="1:22" ht="15" thickBot="1" x14ac:dyDescent="0.35">
      <c r="A31" s="340">
        <v>2022</v>
      </c>
      <c r="B31" s="103" t="s">
        <v>467</v>
      </c>
      <c r="C31" s="103" t="s">
        <v>460</v>
      </c>
      <c r="D31" s="103" t="s">
        <v>262</v>
      </c>
      <c r="E31" s="110">
        <v>8028</v>
      </c>
      <c r="P31" s="41"/>
      <c r="Q31" s="340" t="s">
        <v>482</v>
      </c>
      <c r="R31" s="307" t="s">
        <v>9</v>
      </c>
      <c r="S31" s="439">
        <f>SUM(S29:S30)</f>
        <v>2561381.6733456496</v>
      </c>
      <c r="T31" s="435">
        <f>S31/S28</f>
        <v>0.32789294512905803</v>
      </c>
      <c r="U31" s="41"/>
      <c r="V31" s="41"/>
    </row>
    <row r="32" spans="1:22" x14ac:dyDescent="0.3">
      <c r="A32" s="340">
        <v>2022</v>
      </c>
      <c r="B32" s="103" t="s">
        <v>467</v>
      </c>
      <c r="C32" s="103" t="s">
        <v>460</v>
      </c>
      <c r="D32" s="103" t="s">
        <v>263</v>
      </c>
      <c r="E32" s="110">
        <v>7184</v>
      </c>
      <c r="P32" s="41"/>
      <c r="Q32" s="341" t="s">
        <v>470</v>
      </c>
      <c r="R32" s="342" t="s">
        <v>463</v>
      </c>
      <c r="S32" s="343">
        <f>R10</f>
        <v>8575165.4627196565</v>
      </c>
      <c r="T32" s="431"/>
      <c r="U32" s="41"/>
      <c r="V32" s="41"/>
    </row>
    <row r="33" spans="1:22" x14ac:dyDescent="0.3">
      <c r="A33" s="340">
        <v>2022</v>
      </c>
      <c r="B33" s="103" t="s">
        <v>467</v>
      </c>
      <c r="C33" s="103" t="s">
        <v>460</v>
      </c>
      <c r="D33" s="103" t="s">
        <v>474</v>
      </c>
      <c r="E33" s="110">
        <v>42511.663247966237</v>
      </c>
      <c r="P33" s="41"/>
      <c r="Q33" s="337" t="s">
        <v>470</v>
      </c>
      <c r="R33" s="338" t="s">
        <v>506</v>
      </c>
      <c r="S33" s="339">
        <f>H10</f>
        <v>1996866.6768529145</v>
      </c>
      <c r="T33" s="431"/>
      <c r="U33" s="41"/>
      <c r="V33" s="41"/>
    </row>
    <row r="34" spans="1:22" ht="15" thickBot="1" x14ac:dyDescent="0.35">
      <c r="A34" s="340">
        <v>2022</v>
      </c>
      <c r="B34" s="103" t="s">
        <v>467</v>
      </c>
      <c r="C34" s="103" t="s">
        <v>460</v>
      </c>
      <c r="D34" s="103" t="s">
        <v>473</v>
      </c>
      <c r="E34" s="380">
        <v>531674.69345317292</v>
      </c>
      <c r="P34" s="41"/>
      <c r="Q34" s="337" t="s">
        <v>411</v>
      </c>
      <c r="R34" s="338" t="s">
        <v>506</v>
      </c>
      <c r="S34" s="339">
        <f>H11</f>
        <v>520828.52984972927</v>
      </c>
      <c r="T34" s="431"/>
      <c r="U34" s="41"/>
      <c r="V34" s="41"/>
    </row>
    <row r="35" spans="1:22" ht="15" thickBot="1" x14ac:dyDescent="0.35">
      <c r="A35" s="340">
        <v>2022</v>
      </c>
      <c r="B35" s="103" t="s">
        <v>468</v>
      </c>
      <c r="C35" s="103" t="s">
        <v>460</v>
      </c>
      <c r="D35" s="103" t="s">
        <v>464</v>
      </c>
      <c r="E35" s="380">
        <v>250794.38537179388</v>
      </c>
      <c r="P35" s="41"/>
      <c r="Q35" s="340" t="s">
        <v>482</v>
      </c>
      <c r="R35" s="307" t="s">
        <v>9</v>
      </c>
      <c r="S35" s="439">
        <f>SUM(S33:S34)</f>
        <v>2517695.206702644</v>
      </c>
      <c r="T35" s="435">
        <f>S35/S32</f>
        <v>0.2936031051118802</v>
      </c>
      <c r="U35" s="41"/>
      <c r="V35" s="41"/>
    </row>
    <row r="36" spans="1:22" x14ac:dyDescent="0.3">
      <c r="A36" s="340">
        <v>2022</v>
      </c>
      <c r="B36" s="103" t="s">
        <v>468</v>
      </c>
      <c r="C36" s="103" t="s">
        <v>460</v>
      </c>
      <c r="D36" s="103" t="s">
        <v>2</v>
      </c>
      <c r="E36" s="380">
        <v>93723.581249999159</v>
      </c>
      <c r="P36" s="41"/>
      <c r="Q36" s="341" t="s">
        <v>471</v>
      </c>
      <c r="R36" s="342" t="s">
        <v>463</v>
      </c>
      <c r="S36" s="343">
        <f>R12</f>
        <v>8164165.8718696125</v>
      </c>
      <c r="T36" s="431"/>
      <c r="U36" s="41"/>
      <c r="V36" s="41"/>
    </row>
    <row r="37" spans="1:22" x14ac:dyDescent="0.3">
      <c r="A37" s="340">
        <v>2022</v>
      </c>
      <c r="B37" s="103" t="s">
        <v>468</v>
      </c>
      <c r="C37" s="103" t="s">
        <v>460</v>
      </c>
      <c r="D37" s="103" t="s">
        <v>250</v>
      </c>
      <c r="E37" s="380">
        <v>3943.3019379553884</v>
      </c>
      <c r="P37" s="41"/>
      <c r="Q37" s="337" t="s">
        <v>471</v>
      </c>
      <c r="R37" s="338" t="s">
        <v>506</v>
      </c>
      <c r="S37" s="339">
        <f>H12</f>
        <v>524569.63733499253</v>
      </c>
      <c r="T37" s="431"/>
      <c r="U37" s="41"/>
      <c r="V37" s="41"/>
    </row>
    <row r="38" spans="1:22" x14ac:dyDescent="0.3">
      <c r="A38" s="340">
        <v>2022</v>
      </c>
      <c r="B38" s="103" t="s">
        <v>468</v>
      </c>
      <c r="C38" s="103" t="s">
        <v>460</v>
      </c>
      <c r="D38" s="103" t="s">
        <v>244</v>
      </c>
      <c r="E38" s="380">
        <v>38795.83789606957</v>
      </c>
      <c r="P38" s="41"/>
      <c r="Q38" s="337" t="s">
        <v>412</v>
      </c>
      <c r="R38" s="338" t="s">
        <v>506</v>
      </c>
      <c r="S38" s="339">
        <f>H13</f>
        <v>515665.42022628081</v>
      </c>
      <c r="T38" s="431"/>
      <c r="U38" s="41"/>
      <c r="V38" s="41"/>
    </row>
    <row r="39" spans="1:22" ht="15" thickBot="1" x14ac:dyDescent="0.35">
      <c r="A39" s="340">
        <v>2022</v>
      </c>
      <c r="B39" s="103" t="s">
        <v>468</v>
      </c>
      <c r="C39" s="103" t="s">
        <v>460</v>
      </c>
      <c r="D39" s="103" t="s">
        <v>262</v>
      </c>
      <c r="E39" s="110">
        <v>8028</v>
      </c>
      <c r="P39" s="41"/>
      <c r="Q39" s="337" t="s">
        <v>472</v>
      </c>
      <c r="R39" s="338" t="s">
        <v>506</v>
      </c>
      <c r="S39" s="339">
        <f>H14</f>
        <v>1814927.0816573408</v>
      </c>
      <c r="T39" s="431"/>
      <c r="U39" s="41"/>
      <c r="V39" s="41"/>
    </row>
    <row r="40" spans="1:22" ht="15" thickBot="1" x14ac:dyDescent="0.35">
      <c r="A40" s="340">
        <v>2022</v>
      </c>
      <c r="B40" s="103" t="s">
        <v>468</v>
      </c>
      <c r="C40" s="103" t="s">
        <v>460</v>
      </c>
      <c r="D40" s="103" t="s">
        <v>263</v>
      </c>
      <c r="E40" s="110">
        <v>7184</v>
      </c>
      <c r="P40" s="41"/>
      <c r="Q40" s="344" t="s">
        <v>482</v>
      </c>
      <c r="R40" s="312" t="s">
        <v>9</v>
      </c>
      <c r="S40" s="440">
        <f>SUM(S37:S39)</f>
        <v>2855162.139218614</v>
      </c>
      <c r="T40" s="435">
        <f>S40/S36</f>
        <v>0.34971878132171946</v>
      </c>
      <c r="U40" s="41"/>
      <c r="V40" s="41"/>
    </row>
    <row r="41" spans="1:22" x14ac:dyDescent="0.3">
      <c r="A41" s="340">
        <v>2022</v>
      </c>
      <c r="B41" s="103" t="s">
        <v>468</v>
      </c>
      <c r="C41" s="103" t="s">
        <v>460</v>
      </c>
      <c r="D41" s="103" t="s">
        <v>474</v>
      </c>
      <c r="E41" s="110">
        <v>42511.663247966237</v>
      </c>
      <c r="P41" s="41"/>
      <c r="Q41" s="41"/>
      <c r="R41" s="41"/>
      <c r="S41" s="41"/>
      <c r="T41" s="41"/>
      <c r="U41" s="41"/>
      <c r="V41" s="41"/>
    </row>
    <row r="42" spans="1:22" ht="15" thickBot="1" x14ac:dyDescent="0.35">
      <c r="A42" s="340">
        <v>2022</v>
      </c>
      <c r="B42" s="103" t="s">
        <v>468</v>
      </c>
      <c r="C42" s="103" t="s">
        <v>460</v>
      </c>
      <c r="D42" s="103" t="s">
        <v>473</v>
      </c>
      <c r="E42" s="380">
        <v>40157.502461080039</v>
      </c>
      <c r="P42" s="41"/>
      <c r="Q42" s="41"/>
      <c r="R42" s="41"/>
      <c r="S42" s="41"/>
      <c r="T42" s="41"/>
      <c r="U42" s="41"/>
      <c r="V42" s="41"/>
    </row>
    <row r="43" spans="1:22" ht="15" thickBot="1" x14ac:dyDescent="0.35">
      <c r="A43" s="340">
        <v>2022</v>
      </c>
      <c r="B43" s="103" t="s">
        <v>410</v>
      </c>
      <c r="C43" s="103" t="s">
        <v>460</v>
      </c>
      <c r="D43" s="103" t="s">
        <v>464</v>
      </c>
      <c r="E43" s="380">
        <v>373185.58525427978</v>
      </c>
      <c r="P43" s="41"/>
      <c r="Q43" s="333" t="s">
        <v>484</v>
      </c>
      <c r="R43" s="433"/>
      <c r="S43" s="434">
        <f>AVERAGE(S22,S27,S31,S35,S40)</f>
        <v>2410538.0565575669</v>
      </c>
      <c r="T43" s="345">
        <f>AVERAGE(T22:T40)</f>
        <v>0.30551624000717881</v>
      </c>
      <c r="U43" s="41"/>
      <c r="V43" s="41"/>
    </row>
    <row r="44" spans="1:22" x14ac:dyDescent="0.3">
      <c r="A44" s="340">
        <v>2022</v>
      </c>
      <c r="B44" s="103" t="s">
        <v>410</v>
      </c>
      <c r="C44" s="103" t="s">
        <v>460</v>
      </c>
      <c r="D44" s="103" t="s">
        <v>2</v>
      </c>
      <c r="E44" s="380">
        <v>135532.34440240456</v>
      </c>
      <c r="P44" s="41"/>
      <c r="Q44" s="41"/>
      <c r="R44" s="41"/>
      <c r="S44" s="41"/>
      <c r="T44" s="41"/>
      <c r="U44" s="41"/>
      <c r="V44" s="41"/>
    </row>
    <row r="45" spans="1:22" x14ac:dyDescent="0.3">
      <c r="A45" s="340">
        <v>2022</v>
      </c>
      <c r="B45" s="103" t="s">
        <v>410</v>
      </c>
      <c r="C45" s="103" t="s">
        <v>460</v>
      </c>
      <c r="D45" s="103" t="s">
        <v>250</v>
      </c>
      <c r="E45" s="380">
        <v>5822.0150646973543</v>
      </c>
      <c r="P45" s="41"/>
      <c r="Q45" s="41"/>
      <c r="R45" s="41"/>
      <c r="S45" s="41"/>
      <c r="T45" s="41"/>
      <c r="U45" s="41"/>
      <c r="V45" s="41"/>
    </row>
    <row r="46" spans="1:22" x14ac:dyDescent="0.3">
      <c r="A46" s="340">
        <v>2022</v>
      </c>
      <c r="B46" s="103" t="s">
        <v>410</v>
      </c>
      <c r="C46" s="103" t="s">
        <v>460</v>
      </c>
      <c r="D46" s="103" t="s">
        <v>244</v>
      </c>
      <c r="E46" s="380">
        <v>39818.367070362307</v>
      </c>
    </row>
    <row r="47" spans="1:22" x14ac:dyDescent="0.3">
      <c r="A47" s="340">
        <v>2022</v>
      </c>
      <c r="B47" s="103" t="s">
        <v>410</v>
      </c>
      <c r="C47" s="103" t="s">
        <v>460</v>
      </c>
      <c r="D47" s="103" t="s">
        <v>262</v>
      </c>
      <c r="E47" s="110">
        <v>8028</v>
      </c>
    </row>
    <row r="48" spans="1:22" x14ac:dyDescent="0.3">
      <c r="A48" s="340">
        <v>2022</v>
      </c>
      <c r="B48" s="103" t="s">
        <v>410</v>
      </c>
      <c r="C48" s="103" t="s">
        <v>460</v>
      </c>
      <c r="D48" s="103" t="s">
        <v>263</v>
      </c>
      <c r="E48" s="110">
        <v>7184</v>
      </c>
    </row>
    <row r="49" spans="1:5" x14ac:dyDescent="0.3">
      <c r="A49" s="340">
        <v>2022</v>
      </c>
      <c r="B49" s="103" t="s">
        <v>410</v>
      </c>
      <c r="C49" s="103" t="s">
        <v>460</v>
      </c>
      <c r="D49" s="103" t="s">
        <v>474</v>
      </c>
      <c r="E49" s="110">
        <v>42511.663247966237</v>
      </c>
    </row>
    <row r="50" spans="1:5" x14ac:dyDescent="0.3">
      <c r="A50" s="340">
        <v>2022</v>
      </c>
      <c r="B50" s="103" t="s">
        <v>410</v>
      </c>
      <c r="C50" s="103" t="s">
        <v>460</v>
      </c>
      <c r="D50" s="103" t="s">
        <v>473</v>
      </c>
      <c r="E50" s="380">
        <v>1461006.5406917839</v>
      </c>
    </row>
    <row r="51" spans="1:5" x14ac:dyDescent="0.3">
      <c r="A51" s="340">
        <v>2022</v>
      </c>
      <c r="B51" s="103" t="s">
        <v>469</v>
      </c>
      <c r="C51" s="103" t="s">
        <v>460</v>
      </c>
      <c r="D51" s="103" t="s">
        <v>464</v>
      </c>
      <c r="E51" s="380">
        <v>287902.30298310542</v>
      </c>
    </row>
    <row r="52" spans="1:5" x14ac:dyDescent="0.3">
      <c r="A52" s="340">
        <v>2022</v>
      </c>
      <c r="B52" s="103" t="s">
        <v>469</v>
      </c>
      <c r="C52" s="103" t="s">
        <v>460</v>
      </c>
      <c r="D52" s="103" t="s">
        <v>2</v>
      </c>
      <c r="E52" s="380">
        <v>109986.26129136549</v>
      </c>
    </row>
    <row r="53" spans="1:5" x14ac:dyDescent="0.3">
      <c r="A53" s="340">
        <v>2022</v>
      </c>
      <c r="B53" s="103" t="s">
        <v>469</v>
      </c>
      <c r="C53" s="103" t="s">
        <v>460</v>
      </c>
      <c r="D53" s="103" t="s">
        <v>250</v>
      </c>
      <c r="E53" s="380">
        <v>4526.7609781345109</v>
      </c>
    </row>
    <row r="54" spans="1:5" x14ac:dyDescent="0.3">
      <c r="A54" s="340">
        <v>2022</v>
      </c>
      <c r="B54" s="103" t="s">
        <v>469</v>
      </c>
      <c r="C54" s="103" t="s">
        <v>460</v>
      </c>
      <c r="D54" s="103" t="s">
        <v>244</v>
      </c>
      <c r="E54" s="380">
        <v>28154.169113583885</v>
      </c>
    </row>
    <row r="55" spans="1:5" x14ac:dyDescent="0.3">
      <c r="A55" s="340">
        <v>2022</v>
      </c>
      <c r="B55" s="103" t="s">
        <v>469</v>
      </c>
      <c r="C55" s="103" t="s">
        <v>460</v>
      </c>
      <c r="D55" s="103" t="s">
        <v>262</v>
      </c>
      <c r="E55" s="110">
        <v>8028</v>
      </c>
    </row>
    <row r="56" spans="1:5" x14ac:dyDescent="0.3">
      <c r="A56" s="340">
        <v>2022</v>
      </c>
      <c r="B56" s="103" t="s">
        <v>469</v>
      </c>
      <c r="C56" s="103" t="s">
        <v>460</v>
      </c>
      <c r="D56" s="103" t="s">
        <v>263</v>
      </c>
      <c r="E56" s="110">
        <v>7184</v>
      </c>
    </row>
    <row r="57" spans="1:5" x14ac:dyDescent="0.3">
      <c r="A57" s="340">
        <v>2022</v>
      </c>
      <c r="B57" s="103" t="s">
        <v>469</v>
      </c>
      <c r="C57" s="103" t="s">
        <v>460</v>
      </c>
      <c r="D57" s="103" t="s">
        <v>474</v>
      </c>
      <c r="E57" s="110">
        <v>42511.663247966237</v>
      </c>
    </row>
    <row r="58" spans="1:5" x14ac:dyDescent="0.3">
      <c r="A58" s="340">
        <v>2022</v>
      </c>
      <c r="B58" s="103" t="s">
        <v>469</v>
      </c>
      <c r="C58" s="103" t="s">
        <v>460</v>
      </c>
      <c r="D58" s="103" t="s">
        <v>473</v>
      </c>
      <c r="E58" s="380">
        <v>0</v>
      </c>
    </row>
    <row r="59" spans="1:5" x14ac:dyDescent="0.3">
      <c r="A59" s="340">
        <v>2022</v>
      </c>
      <c r="B59" s="103" t="s">
        <v>470</v>
      </c>
      <c r="C59" s="103" t="s">
        <v>460</v>
      </c>
      <c r="D59" s="103" t="s">
        <v>464</v>
      </c>
      <c r="E59" s="380">
        <v>317750.07281216263</v>
      </c>
    </row>
    <row r="60" spans="1:5" x14ac:dyDescent="0.3">
      <c r="A60" s="340">
        <v>2022</v>
      </c>
      <c r="B60" s="103" t="s">
        <v>470</v>
      </c>
      <c r="C60" s="103" t="s">
        <v>460</v>
      </c>
      <c r="D60" s="103" t="s">
        <v>2</v>
      </c>
      <c r="E60" s="380">
        <v>122786.64282374523</v>
      </c>
    </row>
    <row r="61" spans="1:5" x14ac:dyDescent="0.3">
      <c r="A61" s="340">
        <v>2022</v>
      </c>
      <c r="B61" s="103" t="s">
        <v>470</v>
      </c>
      <c r="C61" s="103" t="s">
        <v>460</v>
      </c>
      <c r="D61" s="103" t="s">
        <v>250</v>
      </c>
      <c r="E61" s="380">
        <v>4996.0722474942568</v>
      </c>
    </row>
    <row r="62" spans="1:5" x14ac:dyDescent="0.3">
      <c r="A62" s="340">
        <v>2022</v>
      </c>
      <c r="B62" s="103" t="s">
        <v>470</v>
      </c>
      <c r="C62" s="103" t="s">
        <v>460</v>
      </c>
      <c r="D62" s="103" t="s">
        <v>244</v>
      </c>
      <c r="E62" s="380">
        <v>41434.094202114487</v>
      </c>
    </row>
    <row r="63" spans="1:5" x14ac:dyDescent="0.3">
      <c r="A63" s="340">
        <v>2022</v>
      </c>
      <c r="B63" s="103" t="s">
        <v>470</v>
      </c>
      <c r="C63" s="103" t="s">
        <v>460</v>
      </c>
      <c r="D63" s="103" t="s">
        <v>262</v>
      </c>
      <c r="E63" s="110">
        <v>8028</v>
      </c>
    </row>
    <row r="64" spans="1:5" x14ac:dyDescent="0.3">
      <c r="A64" s="340">
        <v>2022</v>
      </c>
      <c r="B64" s="103" t="s">
        <v>470</v>
      </c>
      <c r="C64" s="103" t="s">
        <v>460</v>
      </c>
      <c r="D64" s="103" t="s">
        <v>263</v>
      </c>
      <c r="E64" s="110">
        <v>7184</v>
      </c>
    </row>
    <row r="65" spans="1:5" x14ac:dyDescent="0.3">
      <c r="A65" s="340">
        <v>2022</v>
      </c>
      <c r="B65" s="103" t="s">
        <v>470</v>
      </c>
      <c r="C65" s="103" t="s">
        <v>460</v>
      </c>
      <c r="D65" s="103" t="s">
        <v>474</v>
      </c>
      <c r="E65" s="110">
        <v>42511.663247966237</v>
      </c>
    </row>
    <row r="66" spans="1:5" x14ac:dyDescent="0.3">
      <c r="A66" s="340">
        <v>2022</v>
      </c>
      <c r="B66" s="103" t="s">
        <v>470</v>
      </c>
      <c r="C66" s="103" t="s">
        <v>460</v>
      </c>
      <c r="D66" s="103" t="s">
        <v>473</v>
      </c>
      <c r="E66" s="380">
        <v>1452176.1315194317</v>
      </c>
    </row>
    <row r="67" spans="1:5" x14ac:dyDescent="0.3">
      <c r="A67" s="340">
        <v>2022</v>
      </c>
      <c r="B67" s="103" t="s">
        <v>411</v>
      </c>
      <c r="C67" s="103" t="s">
        <v>460</v>
      </c>
      <c r="D67" s="103" t="s">
        <v>464</v>
      </c>
      <c r="E67" s="380">
        <v>302489.30129019899</v>
      </c>
    </row>
    <row r="68" spans="1:5" x14ac:dyDescent="0.3">
      <c r="A68" s="340">
        <v>2022</v>
      </c>
      <c r="B68" s="103" t="s">
        <v>411</v>
      </c>
      <c r="C68" s="103" t="s">
        <v>460</v>
      </c>
      <c r="D68" s="103" t="s">
        <v>2</v>
      </c>
      <c r="E68" s="380">
        <v>116954.0647532642</v>
      </c>
    </row>
    <row r="69" spans="1:5" x14ac:dyDescent="0.3">
      <c r="A69" s="340">
        <v>2022</v>
      </c>
      <c r="B69" s="103" t="s">
        <v>411</v>
      </c>
      <c r="C69" s="103" t="s">
        <v>460</v>
      </c>
      <c r="D69" s="103" t="s">
        <v>250</v>
      </c>
      <c r="E69" s="380">
        <v>4708.1218824139496</v>
      </c>
    </row>
    <row r="70" spans="1:5" x14ac:dyDescent="0.3">
      <c r="A70" s="340">
        <v>2022</v>
      </c>
      <c r="B70" s="103" t="s">
        <v>411</v>
      </c>
      <c r="C70" s="103" t="s">
        <v>460</v>
      </c>
      <c r="D70" s="103" t="s">
        <v>244</v>
      </c>
      <c r="E70" s="380">
        <v>38953.378675885891</v>
      </c>
    </row>
    <row r="71" spans="1:5" x14ac:dyDescent="0.3">
      <c r="A71" s="340">
        <v>2022</v>
      </c>
      <c r="B71" s="103" t="s">
        <v>411</v>
      </c>
      <c r="C71" s="103" t="s">
        <v>460</v>
      </c>
      <c r="D71" s="103" t="s">
        <v>262</v>
      </c>
      <c r="E71" s="110">
        <v>8028</v>
      </c>
    </row>
    <row r="72" spans="1:5" x14ac:dyDescent="0.3">
      <c r="A72" s="340">
        <v>2022</v>
      </c>
      <c r="B72" s="103" t="s">
        <v>411</v>
      </c>
      <c r="C72" s="103" t="s">
        <v>460</v>
      </c>
      <c r="D72" s="103" t="s">
        <v>263</v>
      </c>
      <c r="E72" s="110">
        <v>7184</v>
      </c>
    </row>
    <row r="73" spans="1:5" x14ac:dyDescent="0.3">
      <c r="A73" s="340">
        <v>2022</v>
      </c>
      <c r="B73" s="103" t="s">
        <v>411</v>
      </c>
      <c r="C73" s="103" t="s">
        <v>460</v>
      </c>
      <c r="D73" s="103" t="s">
        <v>474</v>
      </c>
      <c r="E73" s="110">
        <v>42511.663247966237</v>
      </c>
    </row>
    <row r="74" spans="1:5" x14ac:dyDescent="0.3">
      <c r="A74" s="340">
        <v>2022</v>
      </c>
      <c r="B74" s="103" t="s">
        <v>411</v>
      </c>
      <c r="C74" s="103" t="s">
        <v>460</v>
      </c>
      <c r="D74" s="103" t="s">
        <v>473</v>
      </c>
      <c r="E74" s="380">
        <v>0</v>
      </c>
    </row>
    <row r="75" spans="1:5" x14ac:dyDescent="0.3">
      <c r="A75" s="340">
        <v>2022</v>
      </c>
      <c r="B75" s="103" t="s">
        <v>471</v>
      </c>
      <c r="C75" s="103" t="s">
        <v>460</v>
      </c>
      <c r="D75" s="103" t="s">
        <v>464</v>
      </c>
      <c r="E75" s="380">
        <v>303180.1698147381</v>
      </c>
    </row>
    <row r="76" spans="1:5" x14ac:dyDescent="0.3">
      <c r="A76" s="340">
        <v>2022</v>
      </c>
      <c r="B76" s="103" t="s">
        <v>471</v>
      </c>
      <c r="C76" s="103" t="s">
        <v>460</v>
      </c>
      <c r="D76" s="103" t="s">
        <v>2</v>
      </c>
      <c r="E76" s="380">
        <v>117675.58226179813</v>
      </c>
    </row>
    <row r="77" spans="1:5" x14ac:dyDescent="0.3">
      <c r="A77" s="340">
        <v>2022</v>
      </c>
      <c r="B77" s="103" t="s">
        <v>471</v>
      </c>
      <c r="C77" s="103" t="s">
        <v>460</v>
      </c>
      <c r="D77" s="103" t="s">
        <v>250</v>
      </c>
      <c r="E77" s="380">
        <v>4766.9840853886981</v>
      </c>
    </row>
    <row r="78" spans="1:5" x14ac:dyDescent="0.3">
      <c r="A78" s="340">
        <v>2022</v>
      </c>
      <c r="B78" s="103" t="s">
        <v>471</v>
      </c>
      <c r="C78" s="103" t="s">
        <v>460</v>
      </c>
      <c r="D78" s="103" t="s">
        <v>244</v>
      </c>
      <c r="E78" s="380">
        <v>41223.237925101297</v>
      </c>
    </row>
    <row r="79" spans="1:5" x14ac:dyDescent="0.3">
      <c r="A79" s="340">
        <v>2022</v>
      </c>
      <c r="B79" s="103" t="s">
        <v>471</v>
      </c>
      <c r="C79" s="103" t="s">
        <v>460</v>
      </c>
      <c r="D79" s="103" t="s">
        <v>262</v>
      </c>
      <c r="E79" s="110">
        <v>8028</v>
      </c>
    </row>
    <row r="80" spans="1:5" x14ac:dyDescent="0.3">
      <c r="A80" s="340">
        <v>2022</v>
      </c>
      <c r="B80" s="103" t="s">
        <v>471</v>
      </c>
      <c r="C80" s="103" t="s">
        <v>460</v>
      </c>
      <c r="D80" s="103" t="s">
        <v>263</v>
      </c>
      <c r="E80" s="110">
        <v>7184</v>
      </c>
    </row>
    <row r="81" spans="1:5" x14ac:dyDescent="0.3">
      <c r="A81" s="340">
        <v>2022</v>
      </c>
      <c r="B81" s="103" t="s">
        <v>471</v>
      </c>
      <c r="C81" s="103" t="s">
        <v>460</v>
      </c>
      <c r="D81" s="103" t="s">
        <v>474</v>
      </c>
      <c r="E81" s="110">
        <v>42511.663247966237</v>
      </c>
    </row>
    <row r="82" spans="1:5" x14ac:dyDescent="0.3">
      <c r="A82" s="340">
        <v>2022</v>
      </c>
      <c r="B82" s="103" t="s">
        <v>471</v>
      </c>
      <c r="C82" s="103" t="s">
        <v>460</v>
      </c>
      <c r="D82" s="103" t="s">
        <v>473</v>
      </c>
      <c r="E82" s="380">
        <v>0</v>
      </c>
    </row>
    <row r="83" spans="1:5" x14ac:dyDescent="0.3">
      <c r="A83" s="340">
        <v>2022</v>
      </c>
      <c r="B83" s="103" t="s">
        <v>412</v>
      </c>
      <c r="C83" s="103" t="s">
        <v>460</v>
      </c>
      <c r="D83" s="103" t="s">
        <v>464</v>
      </c>
      <c r="E83" s="380">
        <v>288744.73140236142</v>
      </c>
    </row>
    <row r="84" spans="1:5" x14ac:dyDescent="0.3">
      <c r="A84" s="340">
        <v>2022</v>
      </c>
      <c r="B84" s="103" t="s">
        <v>412</v>
      </c>
      <c r="C84" s="103" t="s">
        <v>460</v>
      </c>
      <c r="D84" s="103" t="s">
        <v>2</v>
      </c>
      <c r="E84" s="380">
        <v>116511.44775423993</v>
      </c>
    </row>
    <row r="85" spans="1:5" x14ac:dyDescent="0.3">
      <c r="A85" s="340">
        <v>2022</v>
      </c>
      <c r="B85" s="103" t="s">
        <v>412</v>
      </c>
      <c r="C85" s="103" t="s">
        <v>460</v>
      </c>
      <c r="D85" s="103" t="s">
        <v>250</v>
      </c>
      <c r="E85" s="380">
        <v>4540.0117698198483</v>
      </c>
    </row>
    <row r="86" spans="1:5" x14ac:dyDescent="0.3">
      <c r="A86" s="340">
        <v>2022</v>
      </c>
      <c r="B86" s="103" t="s">
        <v>412</v>
      </c>
      <c r="C86" s="103" t="s">
        <v>460</v>
      </c>
      <c r="D86" s="103" t="s">
        <v>244</v>
      </c>
      <c r="E86" s="380">
        <v>48145.566051893446</v>
      </c>
    </row>
    <row r="87" spans="1:5" x14ac:dyDescent="0.3">
      <c r="A87" s="340">
        <v>2022</v>
      </c>
      <c r="B87" s="103" t="s">
        <v>412</v>
      </c>
      <c r="C87" s="103" t="s">
        <v>460</v>
      </c>
      <c r="D87" s="103" t="s">
        <v>262</v>
      </c>
      <c r="E87" s="110">
        <v>8028</v>
      </c>
    </row>
    <row r="88" spans="1:5" x14ac:dyDescent="0.3">
      <c r="A88" s="340">
        <v>2022</v>
      </c>
      <c r="B88" s="103" t="s">
        <v>412</v>
      </c>
      <c r="C88" s="103" t="s">
        <v>460</v>
      </c>
      <c r="D88" s="103" t="s">
        <v>263</v>
      </c>
      <c r="E88" s="110">
        <v>7184</v>
      </c>
    </row>
    <row r="89" spans="1:5" x14ac:dyDescent="0.3">
      <c r="A89" s="340">
        <v>2022</v>
      </c>
      <c r="B89" s="103" t="s">
        <v>412</v>
      </c>
      <c r="C89" s="103" t="s">
        <v>460</v>
      </c>
      <c r="D89" s="103" t="s">
        <v>474</v>
      </c>
      <c r="E89" s="110">
        <v>42511.663247966237</v>
      </c>
    </row>
    <row r="90" spans="1:5" x14ac:dyDescent="0.3">
      <c r="A90" s="340">
        <v>2022</v>
      </c>
      <c r="B90" s="103" t="s">
        <v>412</v>
      </c>
      <c r="C90" s="103" t="s">
        <v>460</v>
      </c>
      <c r="D90" s="103" t="s">
        <v>473</v>
      </c>
      <c r="E90" s="380">
        <v>0</v>
      </c>
    </row>
    <row r="91" spans="1:5" x14ac:dyDescent="0.3">
      <c r="A91" s="340">
        <v>2022</v>
      </c>
      <c r="B91" s="103" t="s">
        <v>472</v>
      </c>
      <c r="C91" s="103" t="s">
        <v>460</v>
      </c>
      <c r="D91" s="103" t="s">
        <v>464</v>
      </c>
      <c r="E91" s="380">
        <v>610092.03135080705</v>
      </c>
    </row>
    <row r="92" spans="1:5" x14ac:dyDescent="0.3">
      <c r="A92" s="340">
        <v>2022</v>
      </c>
      <c r="B92" s="103" t="s">
        <v>472</v>
      </c>
      <c r="C92" s="103" t="s">
        <v>460</v>
      </c>
      <c r="D92" s="103" t="s">
        <v>2</v>
      </c>
      <c r="E92" s="380">
        <v>177288.85135664989</v>
      </c>
    </row>
    <row r="93" spans="1:5" x14ac:dyDescent="0.3">
      <c r="A93" s="340">
        <v>2022</v>
      </c>
      <c r="B93" s="103" t="s">
        <v>472</v>
      </c>
      <c r="C93" s="103" t="s">
        <v>460</v>
      </c>
      <c r="D93" s="103" t="s">
        <v>250</v>
      </c>
      <c r="E93" s="380">
        <v>7031.6505782810582</v>
      </c>
    </row>
    <row r="94" spans="1:5" x14ac:dyDescent="0.3">
      <c r="A94" s="340">
        <v>2022</v>
      </c>
      <c r="B94" s="103" t="s">
        <v>472</v>
      </c>
      <c r="C94" s="103" t="s">
        <v>460</v>
      </c>
      <c r="D94" s="103" t="s">
        <v>244</v>
      </c>
      <c r="E94" s="380">
        <v>72992.549587792557</v>
      </c>
    </row>
    <row r="95" spans="1:5" x14ac:dyDescent="0.3">
      <c r="A95" s="340">
        <v>2022</v>
      </c>
      <c r="B95" s="103" t="s">
        <v>472</v>
      </c>
      <c r="C95" s="103" t="s">
        <v>460</v>
      </c>
      <c r="D95" s="103" t="s">
        <v>262</v>
      </c>
      <c r="E95" s="110">
        <v>8028</v>
      </c>
    </row>
    <row r="96" spans="1:5" x14ac:dyDescent="0.3">
      <c r="A96" s="340">
        <v>2022</v>
      </c>
      <c r="B96" s="103" t="s">
        <v>472</v>
      </c>
      <c r="C96" s="103" t="s">
        <v>460</v>
      </c>
      <c r="D96" s="103" t="s">
        <v>263</v>
      </c>
      <c r="E96" s="110">
        <v>7184</v>
      </c>
    </row>
    <row r="97" spans="1:5" x14ac:dyDescent="0.3">
      <c r="A97" s="340">
        <v>2022</v>
      </c>
      <c r="B97" s="103" t="s">
        <v>472</v>
      </c>
      <c r="C97" s="103" t="s">
        <v>460</v>
      </c>
      <c r="D97" s="103" t="s">
        <v>474</v>
      </c>
      <c r="E97" s="110">
        <v>42511.663247966237</v>
      </c>
    </row>
    <row r="98" spans="1:5" x14ac:dyDescent="0.3">
      <c r="A98" s="344">
        <v>2022</v>
      </c>
      <c r="B98" s="381" t="s">
        <v>472</v>
      </c>
      <c r="C98" s="381" t="s">
        <v>460</v>
      </c>
      <c r="D98" s="381" t="s">
        <v>473</v>
      </c>
      <c r="E98" s="382">
        <v>889798.33553584409</v>
      </c>
    </row>
  </sheetData>
  <mergeCells count="9">
    <mergeCell ref="Q1:R1"/>
    <mergeCell ref="A1:E1"/>
    <mergeCell ref="G1:H1"/>
    <mergeCell ref="J1:N1"/>
    <mergeCell ref="M23:M24"/>
    <mergeCell ref="M3:M7"/>
    <mergeCell ref="M8:M12"/>
    <mergeCell ref="M13:M17"/>
    <mergeCell ref="M18:M22"/>
  </mergeCells>
  <phoneticPr fontId="23" type="noConversion"/>
  <pageMargins left="0.7" right="0.7" top="0.75" bottom="0.75" header="0.3" footer="0.3"/>
  <ignoredErrors>
    <ignoredError sqref="H3:H14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ABFD2-1BE7-4F26-9BBC-FACA1C36F2DB}">
  <dimension ref="A1:Y12"/>
  <sheetViews>
    <sheetView zoomScale="92" zoomScaleNormal="121" workbookViewId="0">
      <selection activeCell="F12" sqref="F12"/>
    </sheetView>
  </sheetViews>
  <sheetFormatPr baseColWidth="10" defaultRowHeight="14.4" x14ac:dyDescent="0.3"/>
  <cols>
    <col min="1" max="1" width="48" bestFit="1" customWidth="1"/>
    <col min="2" max="2" width="32.44140625" hidden="1" customWidth="1"/>
    <col min="3" max="3" width="21.33203125" hidden="1" customWidth="1"/>
    <col min="4" max="4" width="33.5546875" bestFit="1" customWidth="1"/>
    <col min="5" max="5" width="16.77734375" bestFit="1" customWidth="1"/>
    <col min="6" max="6" width="22.21875" customWidth="1"/>
    <col min="7" max="7" width="20.109375" bestFit="1" customWidth="1"/>
    <col min="8" max="8" width="16.5546875" hidden="1" customWidth="1"/>
    <col min="9" max="9" width="15.88671875" hidden="1" customWidth="1"/>
    <col min="10" max="10" width="10.6640625" bestFit="1" customWidth="1"/>
    <col min="11" max="11" width="15.88671875" hidden="1" customWidth="1"/>
    <col min="12" max="12" width="23.44140625" hidden="1" customWidth="1"/>
    <col min="13" max="13" width="12.88671875" hidden="1" customWidth="1"/>
    <col min="14" max="14" width="17" hidden="1" customWidth="1"/>
    <col min="15" max="15" width="20.109375" customWidth="1"/>
    <col min="16" max="16" width="8.77734375" hidden="1" customWidth="1"/>
    <col min="17" max="17" width="8.5546875" hidden="1" customWidth="1"/>
    <col min="18" max="18" width="10.33203125" hidden="1" customWidth="1"/>
    <col min="19" max="19" width="13.109375" hidden="1" customWidth="1"/>
    <col min="22" max="22" width="15.5546875" bestFit="1" customWidth="1"/>
    <col min="23" max="23" width="15.77734375" bestFit="1" customWidth="1"/>
    <col min="24" max="24" width="13.6640625" bestFit="1" customWidth="1"/>
    <col min="25" max="25" width="17.88671875" bestFit="1" customWidth="1"/>
    <col min="26" max="26" width="16.21875" bestFit="1" customWidth="1"/>
  </cols>
  <sheetData>
    <row r="1" spans="1:25" ht="17.399999999999999" x14ac:dyDescent="0.3">
      <c r="A1" s="445" t="s">
        <v>567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9"/>
      <c r="V1" s="304" t="s">
        <v>457</v>
      </c>
      <c r="W1" s="84" t="s">
        <v>455</v>
      </c>
      <c r="X1" s="84" t="s">
        <v>456</v>
      </c>
      <c r="Y1" s="84" t="s">
        <v>451</v>
      </c>
    </row>
    <row r="2" spans="1:25" ht="31.2" x14ac:dyDescent="0.3">
      <c r="A2" s="34" t="s">
        <v>19</v>
      </c>
      <c r="B2" s="34" t="s">
        <v>96</v>
      </c>
      <c r="C2" s="34" t="s">
        <v>97</v>
      </c>
      <c r="D2" s="32" t="s">
        <v>102</v>
      </c>
      <c r="E2" s="32" t="s">
        <v>20</v>
      </c>
      <c r="F2" s="33" t="s">
        <v>145</v>
      </c>
      <c r="G2" s="33" t="s">
        <v>449</v>
      </c>
      <c r="H2" s="33" t="s">
        <v>22</v>
      </c>
      <c r="I2" s="33" t="s">
        <v>323</v>
      </c>
      <c r="J2" s="33" t="s">
        <v>360</v>
      </c>
      <c r="K2" s="33" t="s">
        <v>434</v>
      </c>
      <c r="L2" s="283" t="s">
        <v>436</v>
      </c>
      <c r="M2" s="33" t="s">
        <v>11</v>
      </c>
      <c r="N2" s="33" t="s">
        <v>439</v>
      </c>
      <c r="O2" s="144" t="s">
        <v>450</v>
      </c>
      <c r="P2" s="144" t="s">
        <v>103</v>
      </c>
      <c r="Q2" s="33" t="s">
        <v>22</v>
      </c>
      <c r="R2" s="33" t="s">
        <v>214</v>
      </c>
      <c r="S2" s="33" t="s">
        <v>215</v>
      </c>
      <c r="V2" s="346">
        <v>1</v>
      </c>
      <c r="W2" s="347">
        <v>1</v>
      </c>
      <c r="X2" s="347">
        <v>1</v>
      </c>
      <c r="Y2" s="348">
        <v>0.33329999999999999</v>
      </c>
    </row>
    <row r="3" spans="1:25" ht="15.6" x14ac:dyDescent="0.3">
      <c r="A3" s="48" t="s">
        <v>440</v>
      </c>
      <c r="B3" s="207" t="s">
        <v>87</v>
      </c>
      <c r="C3" s="211">
        <v>45069</v>
      </c>
      <c r="D3" s="313" t="s">
        <v>110</v>
      </c>
      <c r="E3" s="209">
        <v>170</v>
      </c>
      <c r="F3" s="423">
        <f>36500</f>
        <v>36500</v>
      </c>
      <c r="G3" s="54">
        <f>(F3*M3)/L3</f>
        <v>28073.610309491087</v>
      </c>
      <c r="H3" s="424" t="s">
        <v>45</v>
      </c>
      <c r="I3" s="54">
        <f>F3*E3</f>
        <v>6205000</v>
      </c>
      <c r="J3" s="49" t="s">
        <v>308</v>
      </c>
      <c r="K3" s="54">
        <f>I3-(I3*21%)</f>
        <v>4901950</v>
      </c>
      <c r="L3" s="172">
        <v>1475.1378</v>
      </c>
      <c r="M3" s="284">
        <v>1134.5875000000001</v>
      </c>
      <c r="N3" s="287">
        <f>(K3*M3)/L3</f>
        <v>3770285.864564653</v>
      </c>
      <c r="O3" s="288">
        <f>G3*E3-((G3*E3)*21%)</f>
        <v>3770285.864564653</v>
      </c>
      <c r="P3" s="54">
        <v>244</v>
      </c>
      <c r="Q3" s="49" t="s">
        <v>23</v>
      </c>
      <c r="R3" s="49">
        <f>S3/E3</f>
        <v>118.17622950819671</v>
      </c>
      <c r="S3" s="50">
        <f>K3/P3</f>
        <v>20089.959016393441</v>
      </c>
      <c r="V3" s="346">
        <v>2</v>
      </c>
      <c r="W3" s="347">
        <v>1</v>
      </c>
      <c r="X3" s="347">
        <v>1</v>
      </c>
      <c r="Y3" s="347">
        <v>1</v>
      </c>
    </row>
    <row r="4" spans="1:25" ht="15.6" x14ac:dyDescent="0.3">
      <c r="A4" s="48" t="s">
        <v>437</v>
      </c>
      <c r="B4" s="9" t="s">
        <v>435</v>
      </c>
      <c r="C4" s="285">
        <v>44957</v>
      </c>
      <c r="D4" s="314" t="s">
        <v>453</v>
      </c>
      <c r="E4" s="286">
        <v>1700</v>
      </c>
      <c r="F4" s="247">
        <v>824.38</v>
      </c>
      <c r="G4" s="54">
        <f>(F4*M4)/L4</f>
        <v>792.00455495369476</v>
      </c>
      <c r="H4" s="425" t="s">
        <v>45</v>
      </c>
      <c r="I4" s="54">
        <f>F4*E4</f>
        <v>1401446</v>
      </c>
      <c r="J4" s="11" t="s">
        <v>317</v>
      </c>
      <c r="K4" s="219">
        <f>I4</f>
        <v>1401446</v>
      </c>
      <c r="L4" s="11">
        <v>1180.9670000000001</v>
      </c>
      <c r="M4" s="284">
        <v>1134.5875000000001</v>
      </c>
      <c r="N4" s="287">
        <f>(K4*M4)/L4</f>
        <v>1346407.743421281</v>
      </c>
      <c r="O4" s="289">
        <f>G4*E4</f>
        <v>1346407.743421281</v>
      </c>
      <c r="S4" s="6"/>
      <c r="V4" s="346">
        <v>3</v>
      </c>
      <c r="W4" s="347">
        <v>1</v>
      </c>
      <c r="X4" s="347">
        <v>1</v>
      </c>
      <c r="Y4" s="349">
        <v>0</v>
      </c>
    </row>
    <row r="5" spans="1:25" ht="15.6" x14ac:dyDescent="0.3">
      <c r="A5" s="256" t="s">
        <v>441</v>
      </c>
      <c r="B5" s="9" t="s">
        <v>438</v>
      </c>
      <c r="C5" s="285">
        <v>45015</v>
      </c>
      <c r="D5" s="300" t="s">
        <v>110</v>
      </c>
      <c r="E5" s="11">
        <v>240</v>
      </c>
      <c r="F5" s="257">
        <v>8502</v>
      </c>
      <c r="G5" s="54">
        <f>(F5*M5)/L5</f>
        <v>7100.6746229939736</v>
      </c>
      <c r="H5" s="300" t="s">
        <v>45</v>
      </c>
      <c r="I5" s="31">
        <f>F5*E5</f>
        <v>2040480</v>
      </c>
      <c r="J5" s="11" t="s">
        <v>317</v>
      </c>
      <c r="K5" s="219">
        <f>I5</f>
        <v>2040480</v>
      </c>
      <c r="L5" s="90">
        <v>1358.4994999999999</v>
      </c>
      <c r="M5" s="284">
        <v>1134.5875000000001</v>
      </c>
      <c r="N5" s="287">
        <f>(K5*M5)/L5</f>
        <v>1704161.9095185534</v>
      </c>
      <c r="O5" s="289">
        <f>G5*E5</f>
        <v>1704161.9095185536</v>
      </c>
      <c r="P5" s="7"/>
      <c r="Q5" s="7"/>
      <c r="R5" s="7"/>
      <c r="S5" s="8"/>
      <c r="V5" s="346">
        <v>4</v>
      </c>
      <c r="W5" s="347">
        <v>1</v>
      </c>
      <c r="X5" s="347">
        <v>1</v>
      </c>
      <c r="Y5" s="349">
        <v>0</v>
      </c>
    </row>
    <row r="6" spans="1:25" ht="19.2" thickBot="1" x14ac:dyDescent="0.35">
      <c r="A6" s="420" t="s">
        <v>573</v>
      </c>
      <c r="B6" s="232"/>
      <c r="C6" s="298"/>
      <c r="D6" s="299"/>
      <c r="E6" s="299"/>
      <c r="F6" s="299"/>
      <c r="G6" s="299"/>
      <c r="H6" s="299"/>
      <c r="I6" s="299"/>
      <c r="J6" s="299"/>
      <c r="K6" s="299"/>
      <c r="L6" s="299"/>
      <c r="M6" s="282"/>
      <c r="N6" s="298"/>
      <c r="O6" s="421">
        <f>+SUM(O3:O5)</f>
        <v>6820855.5175044881</v>
      </c>
      <c r="P6" s="229"/>
      <c r="Q6" s="229"/>
      <c r="R6" s="229"/>
      <c r="S6" s="230"/>
      <c r="V6" s="346">
        <v>5</v>
      </c>
      <c r="W6" s="349">
        <v>0.22</v>
      </c>
      <c r="X6" s="349">
        <v>0.25</v>
      </c>
      <c r="Y6" s="350" t="s">
        <v>9</v>
      </c>
    </row>
    <row r="7" spans="1:25" ht="19.2" thickTop="1" x14ac:dyDescent="0.3">
      <c r="A7" s="420" t="s">
        <v>574</v>
      </c>
      <c r="B7" s="232"/>
      <c r="C7" s="299"/>
      <c r="D7" s="299"/>
      <c r="E7" s="299"/>
      <c r="F7" s="299"/>
      <c r="G7" s="299"/>
      <c r="H7" s="299"/>
      <c r="I7" s="299"/>
      <c r="J7" s="299"/>
      <c r="K7" s="299"/>
      <c r="L7" s="299"/>
      <c r="M7" s="299"/>
      <c r="N7" s="299"/>
      <c r="O7" s="421">
        <f>O6*(1+'Proyecciones económicas'!C112)</f>
        <v>15551550.579910235</v>
      </c>
      <c r="V7" s="346">
        <v>6</v>
      </c>
      <c r="W7" s="349">
        <v>0.17</v>
      </c>
      <c r="X7" s="347">
        <v>1</v>
      </c>
      <c r="Y7" s="350" t="s">
        <v>9</v>
      </c>
    </row>
    <row r="8" spans="1:25" ht="18.600000000000001" x14ac:dyDescent="0.3">
      <c r="A8" s="446"/>
      <c r="C8" s="447"/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8"/>
      <c r="V8" s="351">
        <v>7</v>
      </c>
      <c r="W8" s="352">
        <v>0.77</v>
      </c>
      <c r="X8" s="353">
        <v>1</v>
      </c>
      <c r="Y8" s="354" t="s">
        <v>9</v>
      </c>
    </row>
    <row r="10" spans="1:25" ht="16.8" x14ac:dyDescent="0.3">
      <c r="A10" s="695" t="s">
        <v>568</v>
      </c>
      <c r="B10" s="696"/>
      <c r="C10" s="696"/>
      <c r="D10" s="696"/>
      <c r="E10" s="696"/>
      <c r="F10" s="697"/>
    </row>
    <row r="11" spans="1:25" ht="15.6" x14ac:dyDescent="0.3">
      <c r="A11" s="34" t="s">
        <v>558</v>
      </c>
      <c r="B11" s="34" t="s">
        <v>96</v>
      </c>
      <c r="C11" s="34" t="s">
        <v>97</v>
      </c>
      <c r="D11" s="34" t="s">
        <v>565</v>
      </c>
      <c r="E11" s="32" t="s">
        <v>559</v>
      </c>
      <c r="F11" s="33" t="s">
        <v>566</v>
      </c>
    </row>
    <row r="12" spans="1:25" ht="15.6" x14ac:dyDescent="0.3">
      <c r="A12" s="95">
        <f>O7</f>
        <v>15551550.579910235</v>
      </c>
      <c r="B12" s="143"/>
      <c r="C12" s="143"/>
      <c r="D12" s="426">
        <v>5</v>
      </c>
      <c r="E12" s="143">
        <v>0</v>
      </c>
      <c r="F12" s="427">
        <f>(1/D12)*(A12-E12)</f>
        <v>3110310.1159820473</v>
      </c>
    </row>
  </sheetData>
  <mergeCells count="1">
    <mergeCell ref="A10:F10"/>
  </mergeCells>
  <pageMargins left="0.7" right="0.7" top="0.75" bottom="0.75" header="0.3" footer="0.3"/>
  <pageSetup paperSize="9" orientation="portrait" verticalDpi="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605CE-821B-4183-A415-FBBA03479D83}">
  <dimension ref="A1:I21"/>
  <sheetViews>
    <sheetView zoomScale="113" zoomScaleNormal="100" workbookViewId="0">
      <selection activeCell="F21" sqref="F21"/>
    </sheetView>
  </sheetViews>
  <sheetFormatPr baseColWidth="10" defaultRowHeight="14.4" x14ac:dyDescent="0.3"/>
  <cols>
    <col min="1" max="1" width="33.44140625" bestFit="1" customWidth="1"/>
    <col min="2" max="2" width="16.109375" customWidth="1"/>
    <col min="3" max="3" width="32.33203125" bestFit="1" customWidth="1"/>
  </cols>
  <sheetData>
    <row r="1" spans="1:9" ht="17.399999999999999" thickBot="1" x14ac:dyDescent="0.35">
      <c r="A1" s="660" t="s">
        <v>582</v>
      </c>
      <c r="B1" s="660"/>
      <c r="C1" s="660"/>
      <c r="D1" s="660"/>
      <c r="E1" s="25"/>
      <c r="F1" s="375" t="s">
        <v>501</v>
      </c>
      <c r="G1" s="25"/>
    </row>
    <row r="2" spans="1:9" ht="15" thickBot="1" x14ac:dyDescent="0.35">
      <c r="A2" s="103"/>
      <c r="B2" s="372" t="s">
        <v>479</v>
      </c>
      <c r="C2" s="374" t="s">
        <v>499</v>
      </c>
      <c r="D2" s="373" t="s">
        <v>500</v>
      </c>
      <c r="E2" s="103"/>
      <c r="F2" s="103"/>
    </row>
    <row r="3" spans="1:9" x14ac:dyDescent="0.3">
      <c r="A3" s="700" t="s">
        <v>488</v>
      </c>
      <c r="B3" s="360">
        <v>0</v>
      </c>
      <c r="C3" s="362" t="s">
        <v>489</v>
      </c>
      <c r="D3" s="698" t="s">
        <v>9</v>
      </c>
      <c r="E3" s="329"/>
      <c r="F3" s="329"/>
      <c r="G3" s="329"/>
      <c r="H3" s="329"/>
      <c r="I3" s="329"/>
    </row>
    <row r="4" spans="1:9" ht="15" thickBot="1" x14ac:dyDescent="0.35">
      <c r="A4" s="701"/>
      <c r="B4" s="361">
        <v>1</v>
      </c>
      <c r="C4" s="363" t="s">
        <v>490</v>
      </c>
      <c r="D4" s="699"/>
      <c r="E4" s="329"/>
      <c r="F4" s="329"/>
      <c r="G4" s="329"/>
      <c r="H4" s="329"/>
      <c r="I4" s="329"/>
    </row>
    <row r="5" spans="1:9" x14ac:dyDescent="0.3">
      <c r="A5" s="700" t="s">
        <v>498</v>
      </c>
      <c r="B5" s="703">
        <f>D5+D6*D7</f>
        <v>0.2706993940617497</v>
      </c>
      <c r="C5" s="364" t="s">
        <v>492</v>
      </c>
      <c r="D5" s="367">
        <v>4.0599999999999997E-2</v>
      </c>
      <c r="E5" s="329"/>
      <c r="F5" s="329"/>
      <c r="G5" s="329"/>
      <c r="H5" s="329"/>
      <c r="I5" s="329"/>
    </row>
    <row r="6" spans="1:9" x14ac:dyDescent="0.3">
      <c r="A6" s="702"/>
      <c r="B6" s="704"/>
      <c r="C6" s="365" t="s">
        <v>493</v>
      </c>
      <c r="D6" s="368">
        <f>B8</f>
        <v>0.86341236045684688</v>
      </c>
      <c r="E6" s="358"/>
      <c r="F6" s="329"/>
      <c r="G6" s="329"/>
      <c r="H6" s="329"/>
      <c r="I6" s="329"/>
    </row>
    <row r="7" spans="1:9" ht="15" thickBot="1" x14ac:dyDescent="0.35">
      <c r="A7" s="701"/>
      <c r="B7" s="699"/>
      <c r="C7" s="366" t="s">
        <v>494</v>
      </c>
      <c r="D7" s="369">
        <v>0.26650000000000001</v>
      </c>
      <c r="E7" s="329"/>
      <c r="F7" s="329"/>
      <c r="G7" s="329"/>
      <c r="H7" s="329"/>
      <c r="I7" s="329"/>
    </row>
    <row r="8" spans="1:9" x14ac:dyDescent="0.3">
      <c r="A8" s="700" t="s">
        <v>495</v>
      </c>
      <c r="B8" s="698">
        <f>D8/(1+(1-D9)*(D10))</f>
        <v>0.86341236045684688</v>
      </c>
      <c r="C8" s="364" t="s">
        <v>496</v>
      </c>
      <c r="D8" s="370">
        <v>1.1399999999999999</v>
      </c>
      <c r="E8" s="329"/>
      <c r="F8" s="329"/>
      <c r="G8" s="329"/>
      <c r="H8" s="329"/>
      <c r="I8" s="329"/>
    </row>
    <row r="9" spans="1:9" x14ac:dyDescent="0.3">
      <c r="A9" s="702"/>
      <c r="B9" s="704"/>
      <c r="C9" s="365" t="s">
        <v>497</v>
      </c>
      <c r="D9" s="371">
        <v>5.4199999999999998E-2</v>
      </c>
      <c r="E9" s="329"/>
      <c r="F9" s="329"/>
      <c r="G9" s="329"/>
      <c r="H9" s="329"/>
      <c r="I9" s="329"/>
    </row>
    <row r="10" spans="1:9" ht="15" thickBot="1" x14ac:dyDescent="0.35">
      <c r="A10" s="701"/>
      <c r="B10" s="699"/>
      <c r="C10" s="366" t="s">
        <v>491</v>
      </c>
      <c r="D10" s="369">
        <v>0.3387</v>
      </c>
      <c r="E10" s="329"/>
      <c r="F10" s="329"/>
      <c r="G10" s="329"/>
      <c r="H10" s="329"/>
      <c r="I10" s="329"/>
    </row>
    <row r="11" spans="1:9" ht="16.2" thickBot="1" x14ac:dyDescent="0.35">
      <c r="A11" s="375" t="s">
        <v>454</v>
      </c>
      <c r="B11" s="376">
        <f>B5</f>
        <v>0.2706993940617497</v>
      </c>
      <c r="C11" s="329"/>
      <c r="D11" s="329"/>
      <c r="E11" s="329"/>
      <c r="F11" s="329"/>
      <c r="G11" s="329"/>
      <c r="H11" s="329"/>
      <c r="I11" s="329"/>
    </row>
    <row r="12" spans="1:9" x14ac:dyDescent="0.3">
      <c r="B12" s="359"/>
      <c r="C12" s="329"/>
      <c r="D12" s="329"/>
      <c r="E12" s="329"/>
      <c r="F12" s="329"/>
      <c r="G12" s="329"/>
      <c r="H12" s="329"/>
      <c r="I12" s="329"/>
    </row>
    <row r="13" spans="1:9" x14ac:dyDescent="0.3">
      <c r="A13" s="329"/>
      <c r="B13" s="329"/>
      <c r="C13" s="329"/>
      <c r="D13" s="329"/>
      <c r="E13" s="329"/>
      <c r="F13" s="329"/>
      <c r="G13" s="329"/>
      <c r="H13" s="329"/>
      <c r="I13" s="329"/>
    </row>
    <row r="14" spans="1:9" x14ac:dyDescent="0.3">
      <c r="A14" s="329"/>
      <c r="B14" s="329"/>
      <c r="C14" s="329"/>
      <c r="D14" s="329"/>
      <c r="E14" s="329"/>
      <c r="F14" s="329"/>
      <c r="G14" s="329"/>
      <c r="H14" s="329"/>
      <c r="I14" s="329"/>
    </row>
    <row r="15" spans="1:9" x14ac:dyDescent="0.3">
      <c r="A15" s="329"/>
      <c r="B15" s="329"/>
      <c r="C15" s="329"/>
      <c r="D15" s="329"/>
      <c r="E15" s="329"/>
      <c r="F15" s="329"/>
      <c r="G15" s="329"/>
      <c r="H15" s="329"/>
      <c r="I15" s="329"/>
    </row>
    <row r="16" spans="1:9" x14ac:dyDescent="0.3">
      <c r="A16" s="329"/>
      <c r="B16" s="329"/>
      <c r="C16" s="329"/>
      <c r="D16" s="329"/>
      <c r="E16" s="329"/>
      <c r="F16" s="329"/>
      <c r="G16" s="329"/>
      <c r="H16" s="329"/>
      <c r="I16" s="329"/>
    </row>
    <row r="17" spans="1:9" x14ac:dyDescent="0.3">
      <c r="A17" s="329"/>
      <c r="B17" s="329"/>
      <c r="C17" s="329"/>
      <c r="D17" s="329"/>
      <c r="E17" s="356"/>
      <c r="F17" s="329"/>
      <c r="G17" s="329"/>
      <c r="H17" s="329"/>
      <c r="I17" s="329"/>
    </row>
    <row r="18" spans="1:9" x14ac:dyDescent="0.3">
      <c r="A18" s="329"/>
      <c r="B18" s="329"/>
      <c r="C18" s="329"/>
      <c r="D18" s="329"/>
      <c r="E18" s="329"/>
      <c r="F18" s="329"/>
      <c r="G18" s="329"/>
      <c r="H18" s="329"/>
      <c r="I18" s="329"/>
    </row>
    <row r="19" spans="1:9" x14ac:dyDescent="0.3">
      <c r="A19" s="329"/>
      <c r="B19" s="329"/>
      <c r="C19" s="329"/>
      <c r="D19" s="329"/>
      <c r="E19" s="329"/>
      <c r="F19" s="329"/>
      <c r="G19" s="329"/>
      <c r="H19" s="357"/>
      <c r="I19" s="329"/>
    </row>
    <row r="20" spans="1:9" x14ac:dyDescent="0.3">
      <c r="A20" s="329"/>
      <c r="B20" s="329"/>
      <c r="C20" s="329"/>
      <c r="D20" s="329"/>
      <c r="E20" s="329"/>
      <c r="F20" s="329"/>
      <c r="G20" s="329"/>
      <c r="H20" s="329"/>
      <c r="I20" s="329"/>
    </row>
    <row r="21" spans="1:9" x14ac:dyDescent="0.3">
      <c r="A21" s="329"/>
      <c r="B21" s="329"/>
      <c r="C21" s="329"/>
      <c r="D21" s="329"/>
      <c r="E21" s="329"/>
      <c r="F21" s="329"/>
      <c r="G21" s="329"/>
      <c r="H21" s="329"/>
      <c r="I21" s="329"/>
    </row>
  </sheetData>
  <mergeCells count="7">
    <mergeCell ref="D3:D4"/>
    <mergeCell ref="A1:D1"/>
    <mergeCell ref="A3:A4"/>
    <mergeCell ref="A5:A7"/>
    <mergeCell ref="A8:A10"/>
    <mergeCell ref="B5:B7"/>
    <mergeCell ref="B8:B10"/>
  </mergeCells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3F21C-0490-4483-9856-69028FCBCD01}">
  <dimension ref="A1:R22"/>
  <sheetViews>
    <sheetView zoomScaleNormal="100" workbookViewId="0">
      <selection activeCell="H22" sqref="H22"/>
    </sheetView>
  </sheetViews>
  <sheetFormatPr baseColWidth="10" defaultRowHeight="14.4" x14ac:dyDescent="0.3"/>
  <cols>
    <col min="3" max="3" width="17.109375" bestFit="1" customWidth="1"/>
    <col min="4" max="4" width="19.109375" bestFit="1" customWidth="1"/>
    <col min="5" max="5" width="19.5546875" bestFit="1" customWidth="1"/>
    <col min="6" max="6" width="12.77734375" bestFit="1" customWidth="1"/>
    <col min="7" max="7" width="20.33203125" bestFit="1" customWidth="1"/>
    <col min="8" max="8" width="23.88671875" bestFit="1" customWidth="1"/>
    <col min="9" max="9" width="20" bestFit="1" customWidth="1"/>
    <col min="10" max="10" width="23.5546875" bestFit="1" customWidth="1"/>
    <col min="11" max="11" width="27.109375" bestFit="1" customWidth="1"/>
    <col min="12" max="12" width="8.6640625" bestFit="1" customWidth="1"/>
    <col min="13" max="13" width="13.33203125" bestFit="1" customWidth="1"/>
    <col min="14" max="14" width="11.6640625" bestFit="1" customWidth="1"/>
    <col min="16" max="16" width="21.77734375" bestFit="1" customWidth="1"/>
  </cols>
  <sheetData>
    <row r="1" spans="1:18" ht="15.6" x14ac:dyDescent="0.3">
      <c r="A1" s="705" t="s">
        <v>527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</row>
    <row r="2" spans="1:18" ht="15.6" x14ac:dyDescent="0.3">
      <c r="A2" s="620" t="s">
        <v>528</v>
      </c>
      <c r="B2" s="620" t="s">
        <v>529</v>
      </c>
      <c r="C2" s="620" t="s">
        <v>530</v>
      </c>
      <c r="D2" s="620" t="s">
        <v>531</v>
      </c>
      <c r="E2" s="620" t="s">
        <v>532</v>
      </c>
      <c r="F2" s="620" t="s">
        <v>533</v>
      </c>
      <c r="G2" s="620" t="s">
        <v>534</v>
      </c>
      <c r="H2" s="620" t="s">
        <v>535</v>
      </c>
      <c r="I2" s="620" t="s">
        <v>536</v>
      </c>
      <c r="J2" s="620" t="s">
        <v>537</v>
      </c>
      <c r="K2" s="620" t="s">
        <v>538</v>
      </c>
      <c r="L2" s="620" t="s">
        <v>539</v>
      </c>
      <c r="M2" s="620" t="s">
        <v>540</v>
      </c>
      <c r="N2" s="620" t="s">
        <v>541</v>
      </c>
      <c r="O2" s="620" t="s">
        <v>542</v>
      </c>
      <c r="P2" s="620" t="s">
        <v>543</v>
      </c>
    </row>
    <row r="3" spans="1:18" ht="15.6" x14ac:dyDescent="0.3">
      <c r="A3" s="706" t="s">
        <v>544</v>
      </c>
      <c r="B3" s="613">
        <v>2013</v>
      </c>
      <c r="C3" s="613">
        <v>768816219</v>
      </c>
      <c r="D3" s="613">
        <v>14257477</v>
      </c>
      <c r="E3" s="613">
        <v>11000</v>
      </c>
      <c r="F3" s="613">
        <v>41992</v>
      </c>
      <c r="G3" s="613">
        <v>114150</v>
      </c>
      <c r="H3" s="613">
        <v>26500</v>
      </c>
      <c r="I3" s="613">
        <v>4108262</v>
      </c>
      <c r="J3" s="613">
        <v>50300</v>
      </c>
      <c r="K3" s="613">
        <v>0</v>
      </c>
      <c r="L3" s="613">
        <v>0</v>
      </c>
      <c r="M3" s="613">
        <v>0</v>
      </c>
      <c r="N3" s="613">
        <v>63001</v>
      </c>
      <c r="O3" s="613">
        <v>787488901</v>
      </c>
      <c r="P3" s="614">
        <v>0.97628832358616313</v>
      </c>
    </row>
    <row r="4" spans="1:18" ht="15.6" x14ac:dyDescent="0.3">
      <c r="A4" s="707"/>
      <c r="B4" s="613">
        <v>2014</v>
      </c>
      <c r="C4" s="613">
        <v>752948910</v>
      </c>
      <c r="D4" s="613">
        <v>14149012</v>
      </c>
      <c r="E4" s="613">
        <v>0</v>
      </c>
      <c r="F4" s="613">
        <v>27840</v>
      </c>
      <c r="G4" s="613">
        <v>328884</v>
      </c>
      <c r="H4" s="613">
        <v>0</v>
      </c>
      <c r="I4" s="613">
        <v>5078258</v>
      </c>
      <c r="J4" s="613">
        <v>0</v>
      </c>
      <c r="K4" s="613">
        <v>0</v>
      </c>
      <c r="L4" s="613">
        <v>0</v>
      </c>
      <c r="M4" s="613">
        <v>0</v>
      </c>
      <c r="N4" s="613">
        <v>665273</v>
      </c>
      <c r="O4" s="613">
        <v>773198177</v>
      </c>
      <c r="P4" s="614">
        <v>0.9738110259408953</v>
      </c>
    </row>
    <row r="5" spans="1:18" ht="15.6" x14ac:dyDescent="0.3">
      <c r="A5" s="707"/>
      <c r="B5" s="613">
        <v>2015</v>
      </c>
      <c r="C5" s="613">
        <v>746159036</v>
      </c>
      <c r="D5" s="613">
        <v>13352060</v>
      </c>
      <c r="E5" s="613">
        <v>0</v>
      </c>
      <c r="F5" s="613">
        <v>96860</v>
      </c>
      <c r="G5" s="613">
        <v>185697</v>
      </c>
      <c r="H5" s="613">
        <v>0</v>
      </c>
      <c r="I5" s="613">
        <v>5199022</v>
      </c>
      <c r="J5" s="613">
        <v>0</v>
      </c>
      <c r="K5" s="613">
        <v>0</v>
      </c>
      <c r="L5" s="613">
        <v>0</v>
      </c>
      <c r="M5" s="613">
        <v>0</v>
      </c>
      <c r="N5" s="613">
        <v>2844669</v>
      </c>
      <c r="O5" s="613">
        <v>767837344</v>
      </c>
      <c r="P5" s="614">
        <v>0.97176705695627119</v>
      </c>
    </row>
    <row r="6" spans="1:18" ht="15.6" x14ac:dyDescent="0.3">
      <c r="A6" s="707"/>
      <c r="B6" s="613">
        <v>2016</v>
      </c>
      <c r="C6" s="613">
        <v>731958612</v>
      </c>
      <c r="D6" s="613">
        <v>13893016</v>
      </c>
      <c r="E6" s="613">
        <v>0</v>
      </c>
      <c r="F6" s="613">
        <v>72700</v>
      </c>
      <c r="G6" s="613">
        <v>239688</v>
      </c>
      <c r="H6" s="613">
        <v>0</v>
      </c>
      <c r="I6" s="613">
        <v>4671270</v>
      </c>
      <c r="J6" s="613">
        <v>0</v>
      </c>
      <c r="K6" s="613">
        <v>40000</v>
      </c>
      <c r="L6" s="613">
        <v>32000</v>
      </c>
      <c r="M6" s="613">
        <v>0</v>
      </c>
      <c r="N6" s="613">
        <v>2080513</v>
      </c>
      <c r="O6" s="613">
        <v>752987799</v>
      </c>
      <c r="P6" s="615">
        <v>0.97207234031158585</v>
      </c>
      <c r="Q6" s="621">
        <f>AVERAGE(P3:P7)</f>
        <v>0.97052803490725592</v>
      </c>
      <c r="R6" s="622" t="s">
        <v>229</v>
      </c>
    </row>
    <row r="7" spans="1:18" ht="15.6" x14ac:dyDescent="0.3">
      <c r="A7" s="707"/>
      <c r="B7" s="613">
        <v>2017</v>
      </c>
      <c r="C7" s="613">
        <v>736204222</v>
      </c>
      <c r="D7" s="613">
        <v>15019611</v>
      </c>
      <c r="E7" s="613">
        <v>0</v>
      </c>
      <c r="F7" s="613">
        <v>96487</v>
      </c>
      <c r="G7" s="613">
        <v>206250</v>
      </c>
      <c r="H7" s="613">
        <v>4100</v>
      </c>
      <c r="I7" s="613">
        <v>5838363</v>
      </c>
      <c r="J7" s="613">
        <v>0</v>
      </c>
      <c r="K7" s="613">
        <v>0</v>
      </c>
      <c r="L7" s="613">
        <v>0</v>
      </c>
      <c r="M7" s="613">
        <v>0</v>
      </c>
      <c r="N7" s="613">
        <v>10549112</v>
      </c>
      <c r="O7" s="613">
        <v>767918145</v>
      </c>
      <c r="P7" s="615">
        <v>0.95870142774136424</v>
      </c>
      <c r="Q7" s="623">
        <f>AVERAGE(O3:O7)</f>
        <v>769886073.20000005</v>
      </c>
      <c r="R7" s="624" t="s">
        <v>229</v>
      </c>
    </row>
    <row r="8" spans="1:18" ht="15.6" x14ac:dyDescent="0.3">
      <c r="A8" s="707"/>
      <c r="B8" s="613">
        <v>2018</v>
      </c>
      <c r="C8" s="613">
        <v>613144308</v>
      </c>
      <c r="D8" s="613">
        <v>11833277</v>
      </c>
      <c r="E8" s="613">
        <v>0</v>
      </c>
      <c r="F8" s="613">
        <v>176981</v>
      </c>
      <c r="G8" s="613">
        <v>189589</v>
      </c>
      <c r="H8" s="613">
        <v>0</v>
      </c>
      <c r="I8" s="613">
        <v>4363422</v>
      </c>
      <c r="J8" s="613">
        <v>30000</v>
      </c>
      <c r="K8" s="613">
        <v>0</v>
      </c>
      <c r="L8" s="613">
        <v>0</v>
      </c>
      <c r="M8" s="613">
        <v>16100</v>
      </c>
      <c r="N8" s="613">
        <v>2865052</v>
      </c>
      <c r="O8" s="613">
        <v>632618729</v>
      </c>
      <c r="P8" s="614">
        <v>0.96921618012988042</v>
      </c>
    </row>
    <row r="9" spans="1:18" ht="16.2" thickBot="1" x14ac:dyDescent="0.35">
      <c r="A9" s="707"/>
      <c r="B9" s="613">
        <v>2019</v>
      </c>
      <c r="C9" s="613">
        <v>129667176</v>
      </c>
      <c r="D9" s="613">
        <v>2569268</v>
      </c>
      <c r="E9" s="613">
        <v>0</v>
      </c>
      <c r="F9" s="613">
        <v>13196</v>
      </c>
      <c r="G9" s="613">
        <v>68732</v>
      </c>
      <c r="H9" s="613">
        <v>0</v>
      </c>
      <c r="I9" s="613">
        <v>784205</v>
      </c>
      <c r="J9" s="613">
        <v>0</v>
      </c>
      <c r="K9" s="613">
        <v>0</v>
      </c>
      <c r="L9" s="613">
        <v>0</v>
      </c>
      <c r="M9" s="613">
        <v>0</v>
      </c>
      <c r="N9" s="613">
        <v>15212</v>
      </c>
      <c r="O9" s="613">
        <v>133117789</v>
      </c>
      <c r="P9" s="614">
        <v>0.97407849825390358</v>
      </c>
    </row>
    <row r="10" spans="1:18" ht="15.6" x14ac:dyDescent="0.3">
      <c r="A10" s="708" t="s">
        <v>545</v>
      </c>
      <c r="B10" s="612" t="s">
        <v>546</v>
      </c>
      <c r="C10" s="612">
        <v>390730</v>
      </c>
      <c r="D10" s="612"/>
      <c r="E10" s="612"/>
      <c r="F10" s="612"/>
      <c r="G10" s="612"/>
      <c r="H10" s="612"/>
      <c r="I10" s="612"/>
      <c r="J10" s="612"/>
      <c r="K10" s="612"/>
      <c r="L10" s="612"/>
      <c r="M10" s="612"/>
      <c r="N10" s="612"/>
      <c r="O10" s="612"/>
      <c r="P10" s="616"/>
    </row>
    <row r="11" spans="1:18" ht="15.6" x14ac:dyDescent="0.3">
      <c r="A11" s="709"/>
      <c r="B11" s="613" t="s">
        <v>547</v>
      </c>
      <c r="C11" s="613">
        <v>656414035</v>
      </c>
      <c r="D11" s="613"/>
      <c r="E11" s="613"/>
      <c r="F11" s="613"/>
      <c r="G11" s="613"/>
      <c r="H11" s="613"/>
      <c r="I11" s="613"/>
      <c r="J11" s="613"/>
      <c r="K11" s="613"/>
      <c r="L11" s="613"/>
      <c r="M11" s="613"/>
      <c r="N11" s="613"/>
      <c r="O11" s="613"/>
      <c r="P11" s="617"/>
    </row>
    <row r="12" spans="1:18" ht="15.6" x14ac:dyDescent="0.3">
      <c r="A12" s="709"/>
      <c r="B12" s="613" t="s">
        <v>548</v>
      </c>
      <c r="C12" s="613">
        <v>682448196</v>
      </c>
      <c r="D12" s="613"/>
      <c r="E12" s="613"/>
      <c r="F12" s="613"/>
      <c r="G12" s="613"/>
      <c r="H12" s="613"/>
      <c r="I12" s="613"/>
      <c r="J12" s="613"/>
      <c r="K12" s="613"/>
      <c r="L12" s="613"/>
      <c r="M12" s="613"/>
      <c r="N12" s="613"/>
      <c r="O12" s="613"/>
      <c r="P12" s="617"/>
    </row>
    <row r="13" spans="1:18" ht="16.2" thickBot="1" x14ac:dyDescent="0.35">
      <c r="A13" s="710"/>
      <c r="B13" s="618" t="s">
        <v>549</v>
      </c>
      <c r="C13" s="618">
        <v>255999373</v>
      </c>
      <c r="D13" s="618"/>
      <c r="E13" s="618"/>
      <c r="F13" s="618"/>
      <c r="G13" s="618"/>
      <c r="H13" s="618"/>
      <c r="I13" s="618"/>
      <c r="J13" s="618"/>
      <c r="K13" s="618"/>
      <c r="L13" s="618"/>
      <c r="M13" s="618"/>
      <c r="N13" s="618"/>
      <c r="O13" s="618"/>
      <c r="P13" s="619"/>
    </row>
    <row r="22" spans="5:5" x14ac:dyDescent="0.3">
      <c r="E22" s="411"/>
    </row>
  </sheetData>
  <mergeCells count="3">
    <mergeCell ref="A1:P1"/>
    <mergeCell ref="A3:A9"/>
    <mergeCell ref="A10:A13"/>
  </mergeCells>
  <hyperlinks>
    <hyperlink ref="A3:A9" r:id="rId1" display="https://www.argentina.gob.ar/senasa/mercados-y-estadisticas/estadisticas/animal-estadisticas/aves" xr:uid="{963304A7-6B1F-4507-9B42-81D0CFD2A09E}"/>
  </hyperlinks>
  <pageMargins left="0.7" right="0.7" top="0.75" bottom="0.75" header="0.3" footer="0.3"/>
  <pageSetup paperSize="9" orientation="portrait" verticalDpi="0" r:id="rId2"/>
  <ignoredErrors>
    <ignoredError sqref="Q6:R7" formulaRange="1"/>
  </ignoredErrors>
  <drawing r:id="rId3"/>
  <legacyDrawing r:id="rId4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83686-F02C-415C-852A-B20AD79345D9}">
  <dimension ref="A1:K22"/>
  <sheetViews>
    <sheetView zoomScale="79" workbookViewId="0">
      <selection activeCell="N23" sqref="N23"/>
    </sheetView>
  </sheetViews>
  <sheetFormatPr baseColWidth="10" defaultRowHeight="14.4" x14ac:dyDescent="0.3"/>
  <cols>
    <col min="1" max="1" width="18.33203125" bestFit="1" customWidth="1"/>
    <col min="2" max="2" width="19.44140625" bestFit="1" customWidth="1"/>
    <col min="4" max="4" width="19" bestFit="1" customWidth="1"/>
    <col min="5" max="5" width="18.77734375" bestFit="1" customWidth="1"/>
    <col min="7" max="7" width="31.77734375" bestFit="1" customWidth="1"/>
    <col min="8" max="8" width="19.44140625" bestFit="1" customWidth="1"/>
    <col min="10" max="10" width="36.109375" bestFit="1" customWidth="1"/>
    <col min="11" max="11" width="18.77734375" bestFit="1" customWidth="1"/>
  </cols>
  <sheetData>
    <row r="1" spans="1:11" ht="15.6" x14ac:dyDescent="0.3">
      <c r="A1" s="539" t="s">
        <v>586</v>
      </c>
      <c r="B1" s="716" t="s">
        <v>583</v>
      </c>
      <c r="D1" s="539" t="s">
        <v>577</v>
      </c>
      <c r="E1" s="716" t="s">
        <v>583</v>
      </c>
      <c r="G1" s="539" t="s">
        <v>585</v>
      </c>
      <c r="H1" s="716" t="s">
        <v>583</v>
      </c>
      <c r="J1" s="539" t="s">
        <v>584</v>
      </c>
      <c r="K1" s="716" t="s">
        <v>583</v>
      </c>
    </row>
    <row r="2" spans="1:11" ht="15.6" x14ac:dyDescent="0.3">
      <c r="A2" s="717">
        <v>0.1</v>
      </c>
      <c r="B2" s="247">
        <v>434725.80180289387</v>
      </c>
      <c r="D2" s="717">
        <v>0</v>
      </c>
      <c r="E2" s="247">
        <v>244095.64496486247</v>
      </c>
      <c r="G2" s="717">
        <v>0</v>
      </c>
      <c r="H2" s="247">
        <v>177438.64538974749</v>
      </c>
      <c r="J2" s="717">
        <v>0</v>
      </c>
      <c r="K2" s="247">
        <v>223687.35918751595</v>
      </c>
    </row>
    <row r="3" spans="1:11" ht="15.6" x14ac:dyDescent="0.3">
      <c r="A3" s="717">
        <v>0.11</v>
      </c>
      <c r="B3" s="247">
        <v>415438.61105575017</v>
      </c>
      <c r="D3" s="717">
        <v>0.01</v>
      </c>
      <c r="E3" s="247">
        <v>240602.74682867879</v>
      </c>
      <c r="G3" s="717">
        <v>0.01</v>
      </c>
      <c r="H3" s="247">
        <v>182868.78928435312</v>
      </c>
      <c r="J3" s="717">
        <v>0.01</v>
      </c>
      <c r="K3" s="247">
        <v>222949.96438852066</v>
      </c>
    </row>
    <row r="4" spans="1:11" ht="15.6" x14ac:dyDescent="0.3">
      <c r="A4" s="717">
        <v>0.12</v>
      </c>
      <c r="B4" s="247">
        <v>397377.73632792814</v>
      </c>
      <c r="D4" s="717">
        <v>0.02</v>
      </c>
      <c r="E4" s="247">
        <v>237109.84869249508</v>
      </c>
      <c r="G4" s="717">
        <v>0.02</v>
      </c>
      <c r="H4" s="247">
        <v>188396.30793422152</v>
      </c>
      <c r="J4" s="717">
        <v>0.02</v>
      </c>
      <c r="K4" s="247">
        <v>222199.38383332689</v>
      </c>
    </row>
    <row r="5" spans="1:11" ht="15.6" x14ac:dyDescent="0.3">
      <c r="A5" s="717">
        <v>0.13</v>
      </c>
      <c r="B5" s="247">
        <v>380443.39041353815</v>
      </c>
      <c r="D5" s="717">
        <v>0.03</v>
      </c>
      <c r="E5" s="247">
        <v>233616.95055631144</v>
      </c>
      <c r="G5" s="717">
        <v>0.03</v>
      </c>
      <c r="H5" s="247">
        <v>194022.63080237861</v>
      </c>
      <c r="J5" s="717">
        <v>0.03</v>
      </c>
      <c r="K5" s="247">
        <v>221435.42414157104</v>
      </c>
    </row>
    <row r="6" spans="1:11" ht="15.6" x14ac:dyDescent="0.3">
      <c r="A6" s="717">
        <v>0.14000000000000001</v>
      </c>
      <c r="B6" s="247">
        <v>364545.66530439357</v>
      </c>
      <c r="D6" s="717">
        <v>0.04</v>
      </c>
      <c r="E6" s="247">
        <v>230124.05242012773</v>
      </c>
      <c r="G6" s="717">
        <v>0.04</v>
      </c>
      <c r="H6" s="247">
        <v>199749.20185705891</v>
      </c>
      <c r="J6" s="717">
        <v>0.04</v>
      </c>
      <c r="K6" s="247">
        <v>220657.88997123385</v>
      </c>
    </row>
    <row r="7" spans="1:11" ht="15.6" x14ac:dyDescent="0.3">
      <c r="A7" s="717">
        <v>0.15</v>
      </c>
      <c r="B7" s="247">
        <v>349603.37957479816</v>
      </c>
      <c r="D7" s="717">
        <v>0.05</v>
      </c>
      <c r="E7" s="247">
        <v>226631.15428394405</v>
      </c>
      <c r="G7" s="717">
        <v>0.05</v>
      </c>
      <c r="H7" s="247">
        <v>205577.47964669662</v>
      </c>
      <c r="J7" s="717">
        <v>0.05</v>
      </c>
      <c r="K7" s="247">
        <v>219866.58400849887</v>
      </c>
    </row>
    <row r="8" spans="1:11" ht="15.6" x14ac:dyDescent="0.3">
      <c r="A8" s="717">
        <v>0.16</v>
      </c>
      <c r="B8" s="247">
        <v>335543.08056438231</v>
      </c>
      <c r="D8" s="717">
        <v>0.06</v>
      </c>
      <c r="E8" s="247">
        <v>223138.2561477604</v>
      </c>
      <c r="G8" s="717">
        <v>0.06</v>
      </c>
      <c r="H8" s="247">
        <v>211508.93737491764</v>
      </c>
      <c r="J8" s="717">
        <v>0.06</v>
      </c>
      <c r="K8" s="247">
        <v>219061.3069576108</v>
      </c>
    </row>
    <row r="9" spans="1:11" ht="15.6" x14ac:dyDescent="0.3">
      <c r="A9" s="717">
        <v>0.17</v>
      </c>
      <c r="B9" s="247">
        <v>322298.17786911264</v>
      </c>
      <c r="D9" s="717">
        <v>7.0000000000000007E-2</v>
      </c>
      <c r="E9" s="247">
        <v>219645.3580115767</v>
      </c>
      <c r="G9" s="717">
        <v>7.0000000000000007E-2</v>
      </c>
      <c r="H9" s="247">
        <v>217545.06297552993</v>
      </c>
      <c r="J9" s="717">
        <v>7.0000000000000007E-2</v>
      </c>
      <c r="K9" s="247">
        <v>218241.85753073372</v>
      </c>
    </row>
    <row r="10" spans="1:11" ht="15.6" x14ac:dyDescent="0.3">
      <c r="A10" s="717">
        <v>0.18</v>
      </c>
      <c r="B10" s="247">
        <v>309808.18861703045</v>
      </c>
      <c r="D10" s="717">
        <v>0.08</v>
      </c>
      <c r="E10" s="247">
        <v>216152.45987539302</v>
      </c>
      <c r="G10" s="717">
        <v>0.08</v>
      </c>
      <c r="H10" s="247">
        <v>223687.35918751595</v>
      </c>
      <c r="J10" s="717">
        <v>0.08</v>
      </c>
      <c r="K10" s="247">
        <v>217408.03243780957</v>
      </c>
    </row>
    <row r="11" spans="1:11" ht="15.6" x14ac:dyDescent="0.3">
      <c r="A11" s="717">
        <v>0.19</v>
      </c>
      <c r="B11" s="247">
        <v>298018.07823584252</v>
      </c>
      <c r="D11" s="717">
        <v>0.09</v>
      </c>
      <c r="E11" s="247">
        <v>212659.56173920931</v>
      </c>
      <c r="G11" s="717">
        <v>0.09</v>
      </c>
      <c r="H11" s="247">
        <v>229937.34363002295</v>
      </c>
      <c r="J11" s="717">
        <v>0.09</v>
      </c>
      <c r="K11" s="247">
        <v>216559.6263764161</v>
      </c>
    </row>
    <row r="12" spans="1:11" ht="15.6" x14ac:dyDescent="0.3">
      <c r="A12" s="717">
        <v>0.2</v>
      </c>
      <c r="B12" s="247">
        <v>286877.68306256563</v>
      </c>
      <c r="D12" s="717">
        <v>0.1</v>
      </c>
      <c r="E12" s="247">
        <v>209166.66360302563</v>
      </c>
      <c r="G12" s="717">
        <v>0.1</v>
      </c>
      <c r="H12" s="247">
        <v>236296.54887735489</v>
      </c>
      <c r="J12" s="717">
        <v>0.1</v>
      </c>
      <c r="K12" s="247">
        <v>215696.43202162578</v>
      </c>
    </row>
    <row r="13" spans="1:11" ht="15.6" x14ac:dyDescent="0.3">
      <c r="A13" s="717">
        <v>0.21</v>
      </c>
      <c r="B13" s="247">
        <v>276341.20331721735</v>
      </c>
      <c r="D13" s="717">
        <v>0.11</v>
      </c>
      <c r="E13" s="247">
        <v>205673.76546684196</v>
      </c>
      <c r="G13" s="717">
        <v>0.11</v>
      </c>
      <c r="H13" s="247">
        <v>242766.52253396384</v>
      </c>
      <c r="J13" s="717">
        <v>0.11</v>
      </c>
      <c r="K13" s="247">
        <v>214818.2400158635</v>
      </c>
    </row>
    <row r="14" spans="1:11" ht="15.6" x14ac:dyDescent="0.3">
      <c r="A14" s="717">
        <v>0.22</v>
      </c>
      <c r="B14" s="247">
        <v>266366.75675443315</v>
      </c>
      <c r="D14" s="718">
        <v>0.12</v>
      </c>
      <c r="E14" s="257">
        <v>202180.86733065831</v>
      </c>
      <c r="G14" s="717">
        <v>0.12</v>
      </c>
      <c r="H14" s="247">
        <v>249348.82730944047</v>
      </c>
      <c r="J14" s="717">
        <v>0.12</v>
      </c>
      <c r="K14" s="247">
        <v>213924.83895876553</v>
      </c>
    </row>
    <row r="15" spans="1:11" ht="15.6" x14ac:dyDescent="0.3">
      <c r="A15" s="717">
        <v>0.23</v>
      </c>
      <c r="B15" s="247">
        <v>256915.98479120215</v>
      </c>
      <c r="D15" s="715"/>
      <c r="G15" s="717">
        <v>0.13</v>
      </c>
      <c r="H15" s="247">
        <v>256045.04109350691</v>
      </c>
      <c r="J15" s="717">
        <v>0.13</v>
      </c>
      <c r="K15" s="247">
        <v>213016.015397037</v>
      </c>
    </row>
    <row r="16" spans="1:11" ht="15.6" x14ac:dyDescent="0.3">
      <c r="A16" s="717">
        <v>0.24</v>
      </c>
      <c r="B16" s="247">
        <v>247953.70414307818</v>
      </c>
      <c r="D16" s="715"/>
      <c r="G16" s="717">
        <v>0.14000000000000001</v>
      </c>
      <c r="H16" s="247">
        <v>262856.75703100651</v>
      </c>
      <c r="J16" s="717">
        <v>0.14000000000000001</v>
      </c>
      <c r="K16" s="247">
        <v>212091.55381431128</v>
      </c>
    </row>
    <row r="17" spans="1:11" ht="15.6" x14ac:dyDescent="0.3">
      <c r="A17" s="717">
        <v>0.25</v>
      </c>
      <c r="B17" s="247">
        <v>239447.59803114642</v>
      </c>
      <c r="D17" s="723">
        <f>B19</f>
        <v>223687.35918751595</v>
      </c>
      <c r="G17" s="717">
        <v>0.15</v>
      </c>
      <c r="H17" s="247">
        <v>269785.58359689591</v>
      </c>
      <c r="J17" s="717">
        <v>0.15</v>
      </c>
      <c r="K17" s="247">
        <v>211151.23662100732</v>
      </c>
    </row>
    <row r="18" spans="1:11" ht="15.6" x14ac:dyDescent="0.3">
      <c r="A18" s="717">
        <v>0.26</v>
      </c>
      <c r="B18" s="247">
        <v>231367.9418844844</v>
      </c>
      <c r="D18" s="723">
        <f>K12</f>
        <v>215696.43202162578</v>
      </c>
      <c r="E18" s="29"/>
      <c r="G18" s="717">
        <v>0.16</v>
      </c>
      <c r="H18" s="247">
        <v>276833.14467123663</v>
      </c>
      <c r="J18" s="717">
        <v>0.16</v>
      </c>
      <c r="K18" s="247">
        <v>210194.8441441886</v>
      </c>
    </row>
    <row r="19" spans="1:11" ht="15.6" x14ac:dyDescent="0.3">
      <c r="A19" s="717">
        <v>0.27</v>
      </c>
      <c r="B19" s="247">
        <v>223687.35918751595</v>
      </c>
      <c r="D19" s="723">
        <f>D17-D18</f>
        <v>7990.9271658901707</v>
      </c>
      <c r="E19" s="715"/>
      <c r="G19" s="717">
        <v>0.17</v>
      </c>
      <c r="H19" s="247">
        <v>284001.0796141855</v>
      </c>
      <c r="J19" s="717">
        <v>0.17</v>
      </c>
      <c r="K19" s="247">
        <v>209222.15461742121</v>
      </c>
    </row>
    <row r="20" spans="1:11" ht="15.6" x14ac:dyDescent="0.3">
      <c r="A20" s="719">
        <v>0.28000000000000003</v>
      </c>
      <c r="B20" s="720">
        <v>216380.60373248241</v>
      </c>
      <c r="D20" s="715">
        <f>(D17-D18)/D17</f>
        <v>3.5723642117798077E-2</v>
      </c>
      <c r="E20" s="715"/>
      <c r="G20" s="717">
        <v>0.18</v>
      </c>
      <c r="H20" s="247">
        <v>291291.043340987</v>
      </c>
      <c r="J20" s="717">
        <v>0.18</v>
      </c>
      <c r="K20" s="247">
        <v>208232.94417063217</v>
      </c>
    </row>
    <row r="21" spans="1:11" ht="15.6" x14ac:dyDescent="0.3">
      <c r="A21" s="719">
        <v>0.28999999999999998</v>
      </c>
      <c r="B21" s="720">
        <v>209424.36505372752</v>
      </c>
      <c r="G21" s="717">
        <v>0.19</v>
      </c>
      <c r="H21" s="247">
        <v>298704.70639696397</v>
      </c>
      <c r="J21" s="717">
        <v>0.19</v>
      </c>
      <c r="K21" s="247">
        <v>207226.98681996786</v>
      </c>
    </row>
    <row r="22" spans="1:11" ht="15.6" x14ac:dyDescent="0.3">
      <c r="A22" s="721">
        <v>0.3</v>
      </c>
      <c r="B22" s="722">
        <v>202797.09425848644</v>
      </c>
      <c r="G22" s="718">
        <v>0.2</v>
      </c>
      <c r="H22" s="257">
        <v>306243.75503250898</v>
      </c>
      <c r="J22" s="718">
        <v>0.2</v>
      </c>
      <c r="K22" s="257">
        <v>206204.05445765224</v>
      </c>
    </row>
  </sheetData>
  <sortState xmlns:xlrd2="http://schemas.microsoft.com/office/spreadsheetml/2017/richdata2" ref="A2:B22">
    <sortCondition ref="A2:A22"/>
  </sortState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01F58-2155-4002-B43B-07EC2C302A11}">
  <dimension ref="B2:H14"/>
  <sheetViews>
    <sheetView zoomScale="105" workbookViewId="0">
      <selection activeCell="B24" sqref="B24"/>
    </sheetView>
  </sheetViews>
  <sheetFormatPr baseColWidth="10" defaultRowHeight="14.4" x14ac:dyDescent="0.3"/>
  <cols>
    <col min="1" max="1" width="5.33203125" style="41" customWidth="1"/>
    <col min="2" max="2" width="43.6640625" style="41" customWidth="1"/>
    <col min="3" max="3" width="18.33203125" style="41" hidden="1" customWidth="1"/>
    <col min="4" max="4" width="16.77734375" style="41" bestFit="1" customWidth="1"/>
    <col min="5" max="6" width="17.109375" style="41" bestFit="1" customWidth="1"/>
    <col min="7" max="7" width="17.21875" style="41" bestFit="1" customWidth="1"/>
    <col min="8" max="8" width="18.33203125" style="41" bestFit="1" customWidth="1"/>
    <col min="9" max="16384" width="11.5546875" style="41"/>
  </cols>
  <sheetData>
    <row r="2" spans="2:8" ht="16.8" x14ac:dyDescent="0.3">
      <c r="B2" s="640" t="s">
        <v>272</v>
      </c>
      <c r="C2" s="641"/>
      <c r="D2" s="641"/>
      <c r="E2" s="641"/>
      <c r="F2" s="641"/>
      <c r="G2" s="641"/>
      <c r="H2" s="642"/>
    </row>
    <row r="3" spans="2:8" ht="15.6" x14ac:dyDescent="0.3">
      <c r="B3" s="255"/>
      <c r="C3" s="454">
        <v>2022</v>
      </c>
      <c r="D3" s="454">
        <v>2023</v>
      </c>
      <c r="E3" s="454">
        <v>2024</v>
      </c>
      <c r="F3" s="454">
        <v>2025</v>
      </c>
      <c r="G3" s="454">
        <v>2026</v>
      </c>
      <c r="H3" s="455">
        <v>2027</v>
      </c>
    </row>
    <row r="4" spans="2:8" ht="15.6" x14ac:dyDescent="0.3">
      <c r="B4" s="450" t="s">
        <v>8</v>
      </c>
      <c r="C4" s="451">
        <f>'Proyecciones económicas'!B19</f>
        <v>39338401.368070334</v>
      </c>
      <c r="D4" s="451">
        <f>'Proyecciones económicas'!C19</f>
        <v>90123695.762886882</v>
      </c>
      <c r="E4" s="451">
        <f>'Proyecciones económicas'!D19</f>
        <v>196692027.18633443</v>
      </c>
      <c r="F4" s="451">
        <f>'Proyecciones económicas'!E19</f>
        <v>325844665.16655701</v>
      </c>
      <c r="G4" s="451">
        <f>'Proyecciones económicas'!F19</f>
        <v>520311534.48404479</v>
      </c>
      <c r="H4" s="452">
        <f>'Proyecciones económicas'!G19</f>
        <v>796076647.76058853</v>
      </c>
    </row>
    <row r="5" spans="2:8" ht="15.6" x14ac:dyDescent="0.3">
      <c r="B5" s="402" t="s">
        <v>270</v>
      </c>
      <c r="C5" s="407">
        <f>'Proyecciones económicas'!B60</f>
        <v>12052690.282787835</v>
      </c>
      <c r="D5" s="407">
        <f>'Proyecciones económicas'!C60</f>
        <v>25771460.789367225</v>
      </c>
      <c r="E5" s="407">
        <f>'Proyecciones económicas'!D60</f>
        <v>53578866.981094457</v>
      </c>
      <c r="F5" s="407">
        <f>'Proyecciones económicas'!E60</f>
        <v>83529453.62352626</v>
      </c>
      <c r="G5" s="407">
        <f>'Proyecciones económicas'!F60</f>
        <v>125294180.43528938</v>
      </c>
      <c r="H5" s="419">
        <f>'Proyecciones económicas'!G60</f>
        <v>181676561.63116965</v>
      </c>
    </row>
    <row r="6" spans="2:8" ht="15.6" x14ac:dyDescent="0.3">
      <c r="B6" s="401" t="s">
        <v>562</v>
      </c>
      <c r="C6" s="449">
        <f t="shared" ref="C6:H6" si="0">C4-C5</f>
        <v>27285711.085282497</v>
      </c>
      <c r="D6" s="449">
        <f t="shared" si="0"/>
        <v>64352234.973519653</v>
      </c>
      <c r="E6" s="449">
        <f t="shared" si="0"/>
        <v>143113160.20523998</v>
      </c>
      <c r="F6" s="449">
        <f t="shared" si="0"/>
        <v>242315211.54303074</v>
      </c>
      <c r="G6" s="449">
        <f t="shared" si="0"/>
        <v>395017354.04875541</v>
      </c>
      <c r="H6" s="453">
        <f t="shared" si="0"/>
        <v>614400086.12941885</v>
      </c>
    </row>
    <row r="7" spans="2:8" ht="15.6" x14ac:dyDescent="0.3">
      <c r="B7" s="402" t="s">
        <v>511</v>
      </c>
      <c r="C7" s="407">
        <f>'Proyecciones económicas'!B77</f>
        <v>848208.02189442085</v>
      </c>
      <c r="D7" s="407">
        <f>'Proyecciones económicas'!C77</f>
        <v>1658556.0307192795</v>
      </c>
      <c r="E7" s="407">
        <f>'Proyecciones económicas'!D77</f>
        <v>3008041.4871316222</v>
      </c>
      <c r="F7" s="407">
        <f>'Proyecciones económicas'!E77</f>
        <v>4289325.1161161186</v>
      </c>
      <c r="G7" s="407">
        <f>'Proyecciones económicas'!F77</f>
        <v>5935942.6413846342</v>
      </c>
      <c r="H7" s="419">
        <f>'Proyecciones económicas'!G77</f>
        <v>8001992.1151684225</v>
      </c>
    </row>
    <row r="8" spans="2:8" ht="15.6" x14ac:dyDescent="0.3">
      <c r="B8" s="402" t="s">
        <v>561</v>
      </c>
      <c r="C8" s="407">
        <f>C4*3.5%</f>
        <v>1376844.0478824619</v>
      </c>
      <c r="D8" s="407">
        <f t="shared" ref="D8:H8" si="1">D4*3.5%</f>
        <v>3154329.3517010412</v>
      </c>
      <c r="E8" s="407">
        <f t="shared" si="1"/>
        <v>6884220.9515217058</v>
      </c>
      <c r="F8" s="407">
        <f t="shared" si="1"/>
        <v>11404563.280829497</v>
      </c>
      <c r="G8" s="407">
        <f t="shared" si="1"/>
        <v>18210903.706941571</v>
      </c>
      <c r="H8" s="419">
        <f t="shared" si="1"/>
        <v>27862682.6716206</v>
      </c>
    </row>
    <row r="9" spans="2:8" ht="15.6" x14ac:dyDescent="0.3">
      <c r="B9" s="401" t="s">
        <v>563</v>
      </c>
      <c r="C9" s="394">
        <f>C6-C7-C8</f>
        <v>25060659.015505612</v>
      </c>
      <c r="D9" s="394">
        <f t="shared" ref="D9:H9" si="2">D6-D7-D8</f>
        <v>59539349.591099329</v>
      </c>
      <c r="E9" s="394">
        <f t="shared" si="2"/>
        <v>133220897.76658665</v>
      </c>
      <c r="F9" s="394">
        <f t="shared" si="2"/>
        <v>226621323.14608514</v>
      </c>
      <c r="G9" s="394">
        <f t="shared" si="2"/>
        <v>370870507.7004292</v>
      </c>
      <c r="H9" s="418">
        <f t="shared" si="2"/>
        <v>578535411.34262979</v>
      </c>
    </row>
    <row r="10" spans="2:8" ht="15.6" x14ac:dyDescent="0.3">
      <c r="B10" s="402" t="s">
        <v>526</v>
      </c>
      <c r="C10" s="407"/>
      <c r="D10" s="407">
        <f>'Proyecciones económicas'!C91</f>
        <v>3110310.1159820473</v>
      </c>
      <c r="E10" s="407">
        <f>'Proyecciones económicas'!D91</f>
        <v>3110310.1159820473</v>
      </c>
      <c r="F10" s="407">
        <f>'Proyecciones económicas'!E91</f>
        <v>3110310.1159820473</v>
      </c>
      <c r="G10" s="407">
        <f>'Proyecciones económicas'!F91</f>
        <v>3110310.1159820473</v>
      </c>
      <c r="H10" s="419">
        <f>'Proyecciones económicas'!G91</f>
        <v>3110310.1159820473</v>
      </c>
    </row>
    <row r="11" spans="2:8" ht="15.6" x14ac:dyDescent="0.3">
      <c r="B11" s="401" t="s">
        <v>564</v>
      </c>
      <c r="C11" s="394">
        <f>C6-C7</f>
        <v>26437503.063388076</v>
      </c>
      <c r="D11" s="394">
        <f t="shared" ref="D11:H11" si="3">D6-D7</f>
        <v>62693678.942800373</v>
      </c>
      <c r="E11" s="394">
        <f t="shared" si="3"/>
        <v>140105118.71810836</v>
      </c>
      <c r="F11" s="394">
        <f t="shared" si="3"/>
        <v>238025886.42691463</v>
      </c>
      <c r="G11" s="394">
        <f t="shared" si="3"/>
        <v>389081411.40737075</v>
      </c>
      <c r="H11" s="418">
        <f t="shared" si="3"/>
        <v>606398094.0142504</v>
      </c>
    </row>
    <row r="12" spans="2:8" ht="15.6" x14ac:dyDescent="0.3">
      <c r="B12" s="402" t="s">
        <v>514</v>
      </c>
      <c r="C12" s="407">
        <f>C11*35%</f>
        <v>9253126.0721858256</v>
      </c>
      <c r="D12" s="407">
        <f t="shared" ref="D12:H12" si="4">D11*35%</f>
        <v>21942787.629980128</v>
      </c>
      <c r="E12" s="407">
        <f t="shared" si="4"/>
        <v>49036791.55133792</v>
      </c>
      <c r="F12" s="407">
        <f t="shared" si="4"/>
        <v>83309060.249420121</v>
      </c>
      <c r="G12" s="407">
        <f t="shared" si="4"/>
        <v>136178493.99257976</v>
      </c>
      <c r="H12" s="419">
        <f t="shared" si="4"/>
        <v>212239332.90498763</v>
      </c>
    </row>
    <row r="13" spans="2:8" ht="16.2" thickBot="1" x14ac:dyDescent="0.35">
      <c r="B13" s="456" t="s">
        <v>556</v>
      </c>
      <c r="C13" s="457">
        <f>C11-C12</f>
        <v>17184376.99120225</v>
      </c>
      <c r="D13" s="457">
        <f t="shared" ref="D13:H13" si="5">D11-D12</f>
        <v>40750891.312820241</v>
      </c>
      <c r="E13" s="457">
        <f t="shared" si="5"/>
        <v>91068327.166770428</v>
      </c>
      <c r="F13" s="457">
        <f t="shared" si="5"/>
        <v>154716826.17749453</v>
      </c>
      <c r="G13" s="457">
        <f t="shared" si="5"/>
        <v>252902917.41479099</v>
      </c>
      <c r="H13" s="458">
        <f t="shared" si="5"/>
        <v>394158761.10926276</v>
      </c>
    </row>
    <row r="14" spans="2:8" ht="15" thickTop="1" x14ac:dyDescent="0.3"/>
  </sheetData>
  <mergeCells count="1">
    <mergeCell ref="B2:H2"/>
  </mergeCells>
  <pageMargins left="0.7" right="0.7" top="0.75" bottom="0.75" header="0.3" footer="0.3"/>
  <pageSetup paperSize="9" orientation="portrait" verticalDpi="0" r:id="rId1"/>
  <ignoredErrors>
    <ignoredError sqref="C7:H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1CB1A-6344-483B-AEC6-B0BE84120889}">
  <dimension ref="A1:P113"/>
  <sheetViews>
    <sheetView topLeftCell="B90" zoomScale="118" workbookViewId="0">
      <selection activeCell="C95" sqref="C95"/>
    </sheetView>
  </sheetViews>
  <sheetFormatPr baseColWidth="10" defaultRowHeight="14.4" x14ac:dyDescent="0.3"/>
  <cols>
    <col min="1" max="1" width="36.109375" bestFit="1" customWidth="1"/>
    <col min="2" max="3" width="16.44140625" bestFit="1" customWidth="1"/>
    <col min="4" max="7" width="17.77734375" bestFit="1" customWidth="1"/>
    <col min="9" max="10" width="14.33203125" bestFit="1" customWidth="1"/>
  </cols>
  <sheetData>
    <row r="1" spans="1:16" ht="16.8" x14ac:dyDescent="0.3">
      <c r="A1" s="643" t="s">
        <v>576</v>
      </c>
      <c r="B1" s="643"/>
      <c r="C1" s="643"/>
      <c r="D1" s="643"/>
      <c r="E1" s="643"/>
      <c r="F1" s="643"/>
      <c r="G1" s="643"/>
      <c r="H1" s="25"/>
      <c r="I1" s="25"/>
      <c r="J1" s="25"/>
      <c r="K1" s="25"/>
      <c r="L1" s="25"/>
      <c r="M1" s="25"/>
      <c r="N1" s="25"/>
      <c r="O1" s="25"/>
      <c r="P1" s="25"/>
    </row>
    <row r="2" spans="1:16" s="114" customFormat="1" ht="17.399999999999999" x14ac:dyDescent="0.3">
      <c r="A2" s="301"/>
      <c r="B2" s="302"/>
      <c r="C2" s="302"/>
      <c r="D2" s="302"/>
      <c r="E2" s="302"/>
      <c r="F2" s="302"/>
      <c r="G2" s="302"/>
      <c r="H2" s="118"/>
      <c r="I2" s="118"/>
      <c r="J2" s="118"/>
      <c r="K2" s="118"/>
      <c r="L2" s="118"/>
      <c r="M2" s="118"/>
      <c r="N2" s="118"/>
      <c r="O2" s="118"/>
      <c r="P2" s="118"/>
    </row>
    <row r="3" spans="1:16" ht="19.8" customHeight="1" x14ac:dyDescent="0.3">
      <c r="A3" s="640" t="s">
        <v>227</v>
      </c>
      <c r="B3" s="641"/>
      <c r="C3" s="641"/>
      <c r="D3" s="641"/>
      <c r="E3" s="641"/>
      <c r="F3" s="641"/>
      <c r="G3" s="642"/>
      <c r="H3" s="25"/>
    </row>
    <row r="4" spans="1:16" ht="15.6" x14ac:dyDescent="0.3">
      <c r="A4" s="485"/>
      <c r="B4" s="486">
        <v>2022</v>
      </c>
      <c r="C4" s="487">
        <v>2023</v>
      </c>
      <c r="D4" s="487">
        <v>2024</v>
      </c>
      <c r="E4" s="487">
        <v>2025</v>
      </c>
      <c r="F4" s="487">
        <v>2026</v>
      </c>
      <c r="G4" s="488">
        <v>2027</v>
      </c>
    </row>
    <row r="5" spans="1:16" ht="15.6" x14ac:dyDescent="0.3">
      <c r="A5" s="489" t="s">
        <v>4</v>
      </c>
      <c r="B5" s="490" t="s">
        <v>9</v>
      </c>
      <c r="C5" s="491">
        <f>110000*5</f>
        <v>550000</v>
      </c>
      <c r="D5" s="491">
        <f t="shared" ref="D5:G5" si="0">110000*5</f>
        <v>550000</v>
      </c>
      <c r="E5" s="491">
        <f t="shared" si="0"/>
        <v>550000</v>
      </c>
      <c r="F5" s="491">
        <f t="shared" si="0"/>
        <v>550000</v>
      </c>
      <c r="G5" s="492">
        <f t="shared" si="0"/>
        <v>550000</v>
      </c>
    </row>
    <row r="6" spans="1:16" ht="16.8" x14ac:dyDescent="0.3">
      <c r="A6" s="489" t="s">
        <v>424</v>
      </c>
      <c r="B6" s="493" t="str">
        <f>B108</f>
        <v>-</v>
      </c>
      <c r="C6" s="493">
        <f>C108</f>
        <v>0.08</v>
      </c>
      <c r="D6" s="493">
        <f t="shared" ref="C6:G6" si="1">D108</f>
        <v>7.0000000000000007E-2</v>
      </c>
      <c r="E6" s="493">
        <f t="shared" si="1"/>
        <v>0.06</v>
      </c>
      <c r="F6" s="493">
        <f t="shared" si="1"/>
        <v>0.05</v>
      </c>
      <c r="G6" s="493">
        <f t="shared" si="1"/>
        <v>0.05</v>
      </c>
      <c r="I6" s="98"/>
    </row>
    <row r="7" spans="1:16" ht="17.399999999999999" thickBot="1" x14ac:dyDescent="0.35">
      <c r="A7" s="494" t="s">
        <v>226</v>
      </c>
      <c r="B7" s="495">
        <f>'Precios y Cant. hist.'!H33</f>
        <v>566904</v>
      </c>
      <c r="C7" s="496">
        <f>C5-(C5*C6)</f>
        <v>506000</v>
      </c>
      <c r="D7" s="496">
        <f>D5-(D5*D6)</f>
        <v>511500</v>
      </c>
      <c r="E7" s="496">
        <f>E5-(E5*E6)</f>
        <v>517000</v>
      </c>
      <c r="F7" s="496">
        <f>F5-(F5*F6)</f>
        <v>522500</v>
      </c>
      <c r="G7" s="497">
        <f>G5-(G5*G6)</f>
        <v>522500</v>
      </c>
      <c r="J7" s="98"/>
    </row>
    <row r="8" spans="1:16" ht="16.2" thickTop="1" x14ac:dyDescent="0.3">
      <c r="A8" s="498"/>
      <c r="B8" s="499"/>
      <c r="C8" s="499"/>
      <c r="D8" s="499"/>
      <c r="E8" s="499"/>
      <c r="F8" s="499"/>
      <c r="G8" s="500"/>
    </row>
    <row r="9" spans="1:16" ht="16.8" x14ac:dyDescent="0.3">
      <c r="A9" s="640" t="s">
        <v>231</v>
      </c>
      <c r="B9" s="641"/>
      <c r="C9" s="641"/>
      <c r="D9" s="641"/>
      <c r="E9" s="641"/>
      <c r="F9" s="641"/>
      <c r="G9" s="642"/>
    </row>
    <row r="10" spans="1:16" ht="15.6" x14ac:dyDescent="0.3">
      <c r="A10" s="485"/>
      <c r="B10" s="486">
        <v>2022</v>
      </c>
      <c r="C10" s="487">
        <v>2023</v>
      </c>
      <c r="D10" s="487">
        <v>2024</v>
      </c>
      <c r="E10" s="487">
        <v>2025</v>
      </c>
      <c r="F10" s="487">
        <v>2026</v>
      </c>
      <c r="G10" s="488">
        <v>2027</v>
      </c>
    </row>
    <row r="11" spans="1:16" ht="15.6" x14ac:dyDescent="0.3">
      <c r="A11" s="489" t="s">
        <v>233</v>
      </c>
      <c r="B11" s="490" t="s">
        <v>9</v>
      </c>
      <c r="C11" s="501">
        <f>$C$112</f>
        <v>1.28</v>
      </c>
      <c r="D11" s="501">
        <f>$D$112</f>
        <v>1.079</v>
      </c>
      <c r="E11" s="501">
        <f>$E$112</f>
        <v>0.55900000000000005</v>
      </c>
      <c r="F11" s="501">
        <f>$F$112</f>
        <v>0.5</v>
      </c>
      <c r="G11" s="502">
        <f>$G$112</f>
        <v>0.45</v>
      </c>
    </row>
    <row r="12" spans="1:16" ht="15.6" x14ac:dyDescent="0.3">
      <c r="A12" s="489" t="s">
        <v>232</v>
      </c>
      <c r="B12" s="493" t="str">
        <f>B109</f>
        <v>-</v>
      </c>
      <c r="C12" s="493">
        <f t="shared" ref="C12:G12" si="2">C109</f>
        <v>0.08</v>
      </c>
      <c r="D12" s="493">
        <f t="shared" si="2"/>
        <v>0.08</v>
      </c>
      <c r="E12" s="493">
        <f t="shared" si="2"/>
        <v>0.08</v>
      </c>
      <c r="F12" s="493">
        <f t="shared" si="2"/>
        <v>0.08</v>
      </c>
      <c r="G12" s="493">
        <f t="shared" si="2"/>
        <v>0.08</v>
      </c>
    </row>
    <row r="13" spans="1:16" ht="16.2" thickBot="1" x14ac:dyDescent="0.35">
      <c r="A13" s="494" t="s">
        <v>15</v>
      </c>
      <c r="B13" s="503">
        <f>'Precios y Cant. hist.'!N33</f>
        <v>75.470368931204263</v>
      </c>
      <c r="C13" s="503">
        <f>B13+(B13*C11)+(B13*C12)</f>
        <v>178.11007067764206</v>
      </c>
      <c r="D13" s="503">
        <f>C13+(C13*D11)+(C13*D12)</f>
        <v>384.53964259302921</v>
      </c>
      <c r="E13" s="503">
        <f>D13+(D13*E11)+(D13*E12)</f>
        <v>630.26047420997486</v>
      </c>
      <c r="F13" s="503">
        <f>E13+(E13*F11)+(E13*F12)</f>
        <v>995.81154925176031</v>
      </c>
      <c r="G13" s="504">
        <f>F13+(F13*G11)+(F13*G12)</f>
        <v>1523.5916703551934</v>
      </c>
    </row>
    <row r="14" spans="1:16" ht="16.2" thickTop="1" x14ac:dyDescent="0.3">
      <c r="A14" s="498"/>
      <c r="B14" s="499"/>
      <c r="C14" s="499"/>
      <c r="D14" s="499"/>
      <c r="E14" s="499"/>
      <c r="F14" s="499"/>
      <c r="G14" s="499"/>
    </row>
    <row r="15" spans="1:16" ht="16.8" x14ac:dyDescent="0.3">
      <c r="A15" s="640" t="s">
        <v>234</v>
      </c>
      <c r="B15" s="641"/>
      <c r="C15" s="641"/>
      <c r="D15" s="641"/>
      <c r="E15" s="641"/>
      <c r="F15" s="641"/>
      <c r="G15" s="642"/>
    </row>
    <row r="16" spans="1:16" ht="15.6" x14ac:dyDescent="0.3">
      <c r="A16" s="485"/>
      <c r="B16" s="486">
        <v>2022</v>
      </c>
      <c r="C16" s="487">
        <v>2023</v>
      </c>
      <c r="D16" s="487">
        <v>2024</v>
      </c>
      <c r="E16" s="487">
        <v>2025</v>
      </c>
      <c r="F16" s="487">
        <v>2026</v>
      </c>
      <c r="G16" s="488">
        <v>2027</v>
      </c>
    </row>
    <row r="17" spans="1:9" ht="15.6" x14ac:dyDescent="0.3">
      <c r="A17" s="489" t="s">
        <v>226</v>
      </c>
      <c r="B17" s="490" t="s">
        <v>9</v>
      </c>
      <c r="C17" s="505">
        <f>C7</f>
        <v>506000</v>
      </c>
      <c r="D17" s="505">
        <f>D7</f>
        <v>511500</v>
      </c>
      <c r="E17" s="505">
        <f>E7</f>
        <v>517000</v>
      </c>
      <c r="F17" s="505">
        <f>F7</f>
        <v>522500</v>
      </c>
      <c r="G17" s="506">
        <f>G7</f>
        <v>522500</v>
      </c>
    </row>
    <row r="18" spans="1:9" ht="15.6" x14ac:dyDescent="0.3">
      <c r="A18" s="489" t="s">
        <v>15</v>
      </c>
      <c r="B18" s="507" t="s">
        <v>9</v>
      </c>
      <c r="C18" s="507">
        <f>C13</f>
        <v>178.11007067764206</v>
      </c>
      <c r="D18" s="507">
        <f>D13</f>
        <v>384.53964259302921</v>
      </c>
      <c r="E18" s="507">
        <f>E13</f>
        <v>630.26047420997486</v>
      </c>
      <c r="F18" s="507">
        <f>F13</f>
        <v>995.81154925176031</v>
      </c>
      <c r="G18" s="508">
        <f>G13</f>
        <v>1523.5916703551934</v>
      </c>
    </row>
    <row r="19" spans="1:9" ht="16.2" thickBot="1" x14ac:dyDescent="0.35">
      <c r="A19" s="509" t="s">
        <v>235</v>
      </c>
      <c r="B19" s="510">
        <f>'Ventas históricas'!N9</f>
        <v>39338401.368070334</v>
      </c>
      <c r="C19" s="510">
        <f>C17*C18</f>
        <v>90123695.762886882</v>
      </c>
      <c r="D19" s="510">
        <f>D17*D18</f>
        <v>196692027.18633443</v>
      </c>
      <c r="E19" s="510">
        <f>E17*E18</f>
        <v>325844665.16655701</v>
      </c>
      <c r="F19" s="510">
        <f>F17*F18</f>
        <v>520311534.48404479</v>
      </c>
      <c r="G19" s="511">
        <f>G17*G18</f>
        <v>796076647.76058853</v>
      </c>
    </row>
    <row r="20" spans="1:9" ht="16.2" thickTop="1" x14ac:dyDescent="0.3">
      <c r="A20" s="9"/>
      <c r="B20" s="9"/>
      <c r="C20" s="9"/>
      <c r="D20" s="9"/>
      <c r="E20" s="9"/>
      <c r="F20" s="9"/>
      <c r="G20" s="9"/>
    </row>
    <row r="21" spans="1:9" ht="16.8" x14ac:dyDescent="0.3">
      <c r="A21" s="640" t="s">
        <v>345</v>
      </c>
      <c r="B21" s="641"/>
      <c r="C21" s="641"/>
      <c r="D21" s="641"/>
      <c r="E21" s="641"/>
      <c r="F21" s="641"/>
      <c r="G21" s="642"/>
    </row>
    <row r="22" spans="1:9" ht="15.6" x14ac:dyDescent="0.3">
      <c r="A22" s="485"/>
      <c r="B22" s="486">
        <v>2022</v>
      </c>
      <c r="C22" s="487">
        <v>2023</v>
      </c>
      <c r="D22" s="487">
        <v>2024</v>
      </c>
      <c r="E22" s="487">
        <v>2025</v>
      </c>
      <c r="F22" s="487">
        <v>2026</v>
      </c>
      <c r="G22" s="488">
        <v>2027</v>
      </c>
      <c r="H22" s="417"/>
    </row>
    <row r="23" spans="1:9" ht="15.6" x14ac:dyDescent="0.3">
      <c r="A23" s="489" t="s">
        <v>233</v>
      </c>
      <c r="B23" s="490" t="s">
        <v>9</v>
      </c>
      <c r="C23" s="501">
        <f>$C$112</f>
        <v>1.28</v>
      </c>
      <c r="D23" s="501">
        <f>$D$112</f>
        <v>1.079</v>
      </c>
      <c r="E23" s="501">
        <f>$E$112</f>
        <v>0.55900000000000005</v>
      </c>
      <c r="F23" s="501">
        <f>$F$112</f>
        <v>0.5</v>
      </c>
      <c r="G23" s="512">
        <f>$G$112</f>
        <v>0.45</v>
      </c>
    </row>
    <row r="24" spans="1:9" ht="16.2" thickBot="1" x14ac:dyDescent="0.35">
      <c r="A24" s="509" t="s">
        <v>354</v>
      </c>
      <c r="B24" s="513">
        <f>'Costos hist. - Mano de Obra'!P9</f>
        <v>5460255.6733430643</v>
      </c>
      <c r="C24" s="513">
        <f>B24*(1+C23)</f>
        <v>12449382.935222188</v>
      </c>
      <c r="D24" s="513">
        <f t="shared" ref="D24:G24" si="3">C24*(1+D23)</f>
        <v>25882267.122326925</v>
      </c>
      <c r="E24" s="513">
        <f t="shared" si="3"/>
        <v>40350454.443707682</v>
      </c>
      <c r="F24" s="513">
        <f t="shared" si="3"/>
        <v>60525681.665561527</v>
      </c>
      <c r="G24" s="514">
        <f t="shared" si="3"/>
        <v>87762238.415064216</v>
      </c>
    </row>
    <row r="25" spans="1:9" ht="16.2" thickTop="1" x14ac:dyDescent="0.3">
      <c r="A25" s="9"/>
      <c r="B25" s="9"/>
      <c r="C25" s="9"/>
      <c r="D25" s="9"/>
      <c r="E25" s="9"/>
      <c r="F25" s="9"/>
      <c r="G25" s="9"/>
    </row>
    <row r="26" spans="1:9" ht="16.8" x14ac:dyDescent="0.3">
      <c r="A26" s="640" t="s">
        <v>347</v>
      </c>
      <c r="B26" s="641"/>
      <c r="C26" s="641"/>
      <c r="D26" s="641"/>
      <c r="E26" s="641"/>
      <c r="F26" s="641"/>
      <c r="G26" s="642"/>
    </row>
    <row r="27" spans="1:9" ht="15.6" x14ac:dyDescent="0.3">
      <c r="A27" s="485"/>
      <c r="B27" s="486">
        <v>2022</v>
      </c>
      <c r="C27" s="487">
        <v>2023</v>
      </c>
      <c r="D27" s="487">
        <v>2024</v>
      </c>
      <c r="E27" s="487">
        <v>2025</v>
      </c>
      <c r="F27" s="487">
        <v>2026</v>
      </c>
      <c r="G27" s="488">
        <v>2027</v>
      </c>
    </row>
    <row r="28" spans="1:9" ht="15.6" x14ac:dyDescent="0.3">
      <c r="A28" s="489" t="s">
        <v>352</v>
      </c>
      <c r="B28" s="515">
        <f>'Costos estimados - Mant.'!M17</f>
        <v>510139.95897559484</v>
      </c>
      <c r="C28" s="516">
        <v>510140</v>
      </c>
      <c r="D28" s="516">
        <v>510140</v>
      </c>
      <c r="E28" s="516">
        <v>510140</v>
      </c>
      <c r="F28" s="516">
        <v>510140</v>
      </c>
      <c r="G28" s="517">
        <v>510140</v>
      </c>
    </row>
    <row r="29" spans="1:9" ht="15.6" x14ac:dyDescent="0.3">
      <c r="A29" s="489" t="s">
        <v>233</v>
      </c>
      <c r="B29" s="490" t="s">
        <v>9</v>
      </c>
      <c r="C29" s="501">
        <f>$C$112</f>
        <v>1.28</v>
      </c>
      <c r="D29" s="501">
        <f>$D$112</f>
        <v>1.079</v>
      </c>
      <c r="E29" s="501">
        <f>$E$112</f>
        <v>0.55900000000000005</v>
      </c>
      <c r="F29" s="501">
        <f>$F$112</f>
        <v>0.5</v>
      </c>
      <c r="G29" s="518">
        <f>$G$112</f>
        <v>0.45</v>
      </c>
    </row>
    <row r="30" spans="1:9" ht="16.2" thickBot="1" x14ac:dyDescent="0.35">
      <c r="A30" s="494" t="s">
        <v>352</v>
      </c>
      <c r="B30" s="519">
        <f>'Costos estimados - Mant.'!M17</f>
        <v>510139.95897559484</v>
      </c>
      <c r="C30" s="503">
        <f>B30*(1+C29)</f>
        <v>1163119.1064643564</v>
      </c>
      <c r="D30" s="503">
        <f>C30*(1+D29)</f>
        <v>2418124.6223393967</v>
      </c>
      <c r="E30" s="503">
        <f t="shared" ref="E30:G30" si="4">D30*(1+E29)</f>
        <v>3769856.2862271201</v>
      </c>
      <c r="F30" s="503">
        <f t="shared" si="4"/>
        <v>5654784.4293406801</v>
      </c>
      <c r="G30" s="503">
        <f t="shared" si="4"/>
        <v>8199437.4225439858</v>
      </c>
      <c r="H30" s="4"/>
    </row>
    <row r="31" spans="1:9" ht="16.2" thickTop="1" x14ac:dyDescent="0.3">
      <c r="A31" s="9"/>
      <c r="B31" s="9"/>
      <c r="C31" s="520"/>
      <c r="D31" s="520"/>
      <c r="E31" s="9"/>
      <c r="F31" s="9"/>
      <c r="G31" s="9"/>
      <c r="I31" s="29"/>
    </row>
    <row r="32" spans="1:9" ht="16.8" x14ac:dyDescent="0.3">
      <c r="A32" s="640" t="s">
        <v>351</v>
      </c>
      <c r="B32" s="641"/>
      <c r="C32" s="641"/>
      <c r="D32" s="641"/>
      <c r="E32" s="641"/>
      <c r="F32" s="641"/>
      <c r="G32" s="642"/>
    </row>
    <row r="33" spans="1:8" ht="15.6" x14ac:dyDescent="0.3">
      <c r="A33" s="485"/>
      <c r="B33" s="486">
        <v>2022</v>
      </c>
      <c r="C33" s="487">
        <v>2023</v>
      </c>
      <c r="D33" s="487">
        <v>2024</v>
      </c>
      <c r="E33" s="487">
        <v>2025</v>
      </c>
      <c r="F33" s="487">
        <v>2026</v>
      </c>
      <c r="G33" s="521">
        <v>2027</v>
      </c>
    </row>
    <row r="34" spans="1:8" ht="15.6" x14ac:dyDescent="0.3">
      <c r="A34" s="489" t="s">
        <v>348</v>
      </c>
      <c r="B34" s="522" t="s">
        <v>9</v>
      </c>
      <c r="C34" s="522">
        <v>50000</v>
      </c>
      <c r="D34" s="522">
        <v>50000</v>
      </c>
      <c r="E34" s="522">
        <v>50000</v>
      </c>
      <c r="F34" s="522">
        <v>50000</v>
      </c>
      <c r="G34" s="523">
        <v>50000</v>
      </c>
    </row>
    <row r="35" spans="1:8" ht="15.6" x14ac:dyDescent="0.3">
      <c r="A35" s="489" t="s">
        <v>580</v>
      </c>
      <c r="B35" s="490" t="str">
        <f>B110</f>
        <v>-</v>
      </c>
      <c r="C35" s="501">
        <f>C110</f>
        <v>1.28</v>
      </c>
      <c r="D35" s="501">
        <f t="shared" ref="D35:G35" si="5">D110</f>
        <v>1.079</v>
      </c>
      <c r="E35" s="501">
        <f t="shared" si="5"/>
        <v>0.55900000000000005</v>
      </c>
      <c r="F35" s="501">
        <f t="shared" si="5"/>
        <v>0.5</v>
      </c>
      <c r="G35" s="501">
        <f t="shared" si="5"/>
        <v>0.45</v>
      </c>
    </row>
    <row r="36" spans="1:8" ht="15.6" x14ac:dyDescent="0.3">
      <c r="A36" s="489" t="s">
        <v>350</v>
      </c>
      <c r="B36" s="524">
        <f>'Costos hist. - GLP'!B80</f>
        <v>88.852500000000006</v>
      </c>
      <c r="C36" s="524">
        <f>B36+(B36*C35)</f>
        <v>202.58370000000002</v>
      </c>
      <c r="D36" s="524">
        <f>C36+(C36*D35)</f>
        <v>421.17151230000002</v>
      </c>
      <c r="E36" s="524">
        <f>D36+(D36*E35)</f>
        <v>656.60638767570003</v>
      </c>
      <c r="F36" s="524">
        <f>E36+(E36*F35)</f>
        <v>984.90958151355005</v>
      </c>
      <c r="G36" s="525">
        <f>F36+(F36*G35)</f>
        <v>1428.1188931946476</v>
      </c>
    </row>
    <row r="37" spans="1:8" ht="16.2" thickBot="1" x14ac:dyDescent="0.35">
      <c r="A37" s="509" t="s">
        <v>349</v>
      </c>
      <c r="B37" s="513">
        <v>5192043.0067495797</v>
      </c>
      <c r="C37" s="513">
        <f>C36*C34</f>
        <v>10129185.000000002</v>
      </c>
      <c r="D37" s="513">
        <f>D36*D34</f>
        <v>21058575.615000002</v>
      </c>
      <c r="E37" s="513">
        <f>E36*E34</f>
        <v>32830319.383785002</v>
      </c>
      <c r="F37" s="513">
        <f>F36*F34</f>
        <v>49245479.075677499</v>
      </c>
      <c r="G37" s="514">
        <f>G36*G34</f>
        <v>71405944.659732386</v>
      </c>
    </row>
    <row r="38" spans="1:8" ht="16.2" thickTop="1" x14ac:dyDescent="0.3">
      <c r="A38" s="9"/>
      <c r="B38" s="9"/>
      <c r="C38" s="9"/>
      <c r="D38" s="9"/>
      <c r="E38" s="9"/>
      <c r="F38" s="9"/>
      <c r="G38" s="9"/>
    </row>
    <row r="39" spans="1:8" ht="16.8" x14ac:dyDescent="0.3">
      <c r="A39" s="640" t="s">
        <v>373</v>
      </c>
      <c r="B39" s="641"/>
      <c r="C39" s="641"/>
      <c r="D39" s="641"/>
      <c r="E39" s="641"/>
      <c r="F39" s="641"/>
      <c r="G39" s="642"/>
    </row>
    <row r="40" spans="1:8" ht="15.6" x14ac:dyDescent="0.3">
      <c r="A40" s="485"/>
      <c r="B40" s="486">
        <v>2022</v>
      </c>
      <c r="C40" s="487">
        <v>2023</v>
      </c>
      <c r="D40" s="487">
        <v>2024</v>
      </c>
      <c r="E40" s="487">
        <v>2025</v>
      </c>
      <c r="F40" s="487">
        <v>2026</v>
      </c>
      <c r="G40" s="488">
        <v>2027</v>
      </c>
    </row>
    <row r="41" spans="1:8" ht="15.6" x14ac:dyDescent="0.3">
      <c r="A41" s="526" t="s">
        <v>374</v>
      </c>
      <c r="B41" s="527">
        <f>'Costos estimados - Mant.'!$E$23</f>
        <v>500</v>
      </c>
      <c r="C41" s="527">
        <f>'Costos estimados - Mant.'!$E$23</f>
        <v>500</v>
      </c>
      <c r="D41" s="527">
        <f>'Costos estimados - Mant.'!$E$23</f>
        <v>500</v>
      </c>
      <c r="E41" s="527">
        <f>'Costos estimados - Mant.'!$E$23</f>
        <v>500</v>
      </c>
      <c r="F41" s="527">
        <f>'Costos estimados - Mant.'!$E$23</f>
        <v>500</v>
      </c>
      <c r="G41" s="527">
        <f>'Costos estimados - Mant.'!$E$23</f>
        <v>500</v>
      </c>
      <c r="H41" s="4"/>
    </row>
    <row r="42" spans="1:8" ht="15.6" x14ac:dyDescent="0.3">
      <c r="A42" s="489" t="s">
        <v>376</v>
      </c>
      <c r="B42" s="516">
        <f>'Costos estimados - Mant.'!F23</f>
        <v>179.6</v>
      </c>
      <c r="C42" s="516">
        <f>B42+(B42*C45)</f>
        <v>409.488</v>
      </c>
      <c r="D42" s="516">
        <f>C42+(C42*D45)</f>
        <v>851.32555200000002</v>
      </c>
      <c r="E42" s="516">
        <f>D42+(D42*E45)</f>
        <v>1327.2165355680002</v>
      </c>
      <c r="F42" s="516">
        <f>E42+(E42*F45)</f>
        <v>1990.8248033520003</v>
      </c>
      <c r="G42" s="516">
        <f>F42+(F42*G45)</f>
        <v>2886.6959648604006</v>
      </c>
      <c r="H42" s="4"/>
    </row>
    <row r="43" spans="1:8" ht="15.6" x14ac:dyDescent="0.3">
      <c r="A43" s="489" t="s">
        <v>375</v>
      </c>
      <c r="B43" s="528">
        <f>'Costos estimados - Mant.'!$E$22</f>
        <v>1230</v>
      </c>
      <c r="C43" s="528">
        <f>'Costos estimados - Mant.'!$E$22</f>
        <v>1230</v>
      </c>
      <c r="D43" s="528">
        <f>'Costos estimados - Mant.'!$E$22</f>
        <v>1230</v>
      </c>
      <c r="E43" s="528">
        <f>'Costos estimados - Mant.'!$E$22</f>
        <v>1230</v>
      </c>
      <c r="F43" s="528">
        <f>'Costos estimados - Mant.'!$E$22</f>
        <v>1230</v>
      </c>
      <c r="G43" s="528">
        <f>'Costos estimados - Mant.'!$E$22</f>
        <v>1230</v>
      </c>
      <c r="H43" s="4"/>
    </row>
    <row r="44" spans="1:8" ht="15.6" x14ac:dyDescent="0.3">
      <c r="A44" s="489" t="s">
        <v>377</v>
      </c>
      <c r="B44" s="516">
        <f>'Costos estimados - Mant.'!F22</f>
        <v>200.7</v>
      </c>
      <c r="C44" s="516">
        <f>B44+(B44*C45)</f>
        <v>457.596</v>
      </c>
      <c r="D44" s="516">
        <f>C44+(C44*D45)</f>
        <v>951.342084</v>
      </c>
      <c r="E44" s="516">
        <f>D44+(D44*E45)</f>
        <v>1483.1423089560001</v>
      </c>
      <c r="F44" s="516">
        <f>E44+(E44*F45)</f>
        <v>2224.713463434</v>
      </c>
      <c r="G44" s="516">
        <f>F44+(F44*G45)</f>
        <v>3225.8345219793</v>
      </c>
      <c r="H44" s="4"/>
    </row>
    <row r="45" spans="1:8" ht="15.6" x14ac:dyDescent="0.3">
      <c r="A45" s="489" t="s">
        <v>580</v>
      </c>
      <c r="B45" s="636" t="str">
        <f>B110</f>
        <v>-</v>
      </c>
      <c r="C45" s="636">
        <f t="shared" ref="C45:G45" si="6">C110</f>
        <v>1.28</v>
      </c>
      <c r="D45" s="636">
        <f t="shared" si="6"/>
        <v>1.079</v>
      </c>
      <c r="E45" s="636">
        <f t="shared" si="6"/>
        <v>0.55900000000000005</v>
      </c>
      <c r="F45" s="636">
        <f t="shared" si="6"/>
        <v>0.5</v>
      </c>
      <c r="G45" s="636">
        <f t="shared" si="6"/>
        <v>0.45</v>
      </c>
      <c r="H45" s="4"/>
    </row>
    <row r="46" spans="1:8" ht="16.2" thickBot="1" x14ac:dyDescent="0.35">
      <c r="A46" s="509" t="s">
        <v>390</v>
      </c>
      <c r="B46" s="513">
        <f t="shared" ref="B46:G46" si="7">(B41*B42)+(B43*B44)</f>
        <v>336661</v>
      </c>
      <c r="C46" s="513">
        <f t="shared" si="7"/>
        <v>767587.08</v>
      </c>
      <c r="D46" s="513">
        <f t="shared" si="7"/>
        <v>1595813.53932</v>
      </c>
      <c r="E46" s="513">
        <f t="shared" si="7"/>
        <v>2487873.3077998799</v>
      </c>
      <c r="F46" s="513">
        <f t="shared" si="7"/>
        <v>3731809.9616998201</v>
      </c>
      <c r="G46" s="514">
        <f t="shared" si="7"/>
        <v>5411124.4444647394</v>
      </c>
    </row>
    <row r="47" spans="1:8" ht="16.2" thickTop="1" x14ac:dyDescent="0.3">
      <c r="A47" s="9"/>
      <c r="B47" s="9"/>
      <c r="C47" s="9"/>
      <c r="D47" s="9"/>
      <c r="E47" s="9"/>
      <c r="F47" s="9"/>
      <c r="G47" s="9"/>
    </row>
    <row r="48" spans="1:8" ht="16.8" x14ac:dyDescent="0.3">
      <c r="A48" s="640" t="s">
        <v>388</v>
      </c>
      <c r="B48" s="641"/>
      <c r="C48" s="641"/>
      <c r="D48" s="641"/>
      <c r="E48" s="641"/>
      <c r="F48" s="641"/>
      <c r="G48" s="642"/>
    </row>
    <row r="49" spans="1:7" ht="15.6" x14ac:dyDescent="0.3">
      <c r="A49" s="485"/>
      <c r="B49" s="486">
        <v>2022</v>
      </c>
      <c r="C49" s="487">
        <v>2023</v>
      </c>
      <c r="D49" s="487">
        <v>2024</v>
      </c>
      <c r="E49" s="487">
        <v>2025</v>
      </c>
      <c r="F49" s="487">
        <v>2026</v>
      </c>
      <c r="G49" s="488">
        <v>2027</v>
      </c>
    </row>
    <row r="50" spans="1:7" ht="15.6" x14ac:dyDescent="0.3">
      <c r="A50" s="489" t="s">
        <v>580</v>
      </c>
      <c r="B50" s="636" t="str">
        <f>B110</f>
        <v>-</v>
      </c>
      <c r="C50" s="636">
        <f t="shared" ref="C50:G50" si="8">C110</f>
        <v>1.28</v>
      </c>
      <c r="D50" s="636">
        <f t="shared" si="8"/>
        <v>1.079</v>
      </c>
      <c r="E50" s="636">
        <f t="shared" si="8"/>
        <v>0.55900000000000005</v>
      </c>
      <c r="F50" s="636">
        <f t="shared" si="8"/>
        <v>0.5</v>
      </c>
      <c r="G50" s="636">
        <f t="shared" si="8"/>
        <v>0.45</v>
      </c>
    </row>
    <row r="51" spans="1:7" ht="16.2" thickBot="1" x14ac:dyDescent="0.35">
      <c r="A51" s="509" t="s">
        <v>391</v>
      </c>
      <c r="B51" s="513">
        <f>'Costos hist. - Energ. Eléctrica'!K22</f>
        <v>553590.64371959656</v>
      </c>
      <c r="C51" s="513">
        <f>B51+(B51*C50)</f>
        <v>1262186.6676806803</v>
      </c>
      <c r="D51" s="513">
        <f>C51+(C51*D50)</f>
        <v>2624086.0821081344</v>
      </c>
      <c r="E51" s="513">
        <f>D51+(D51*E50)</f>
        <v>4090950.2020065817</v>
      </c>
      <c r="F51" s="513">
        <f>E51+(E51*F50)</f>
        <v>6136425.3030098723</v>
      </c>
      <c r="G51" s="514">
        <f>F51+(F51*G50)</f>
        <v>8897816.6893643141</v>
      </c>
    </row>
    <row r="52" spans="1:7" ht="16.2" thickTop="1" x14ac:dyDescent="0.3">
      <c r="A52" s="9"/>
      <c r="B52" s="9"/>
      <c r="C52" s="9"/>
      <c r="D52" s="9"/>
      <c r="E52" s="9"/>
      <c r="F52" s="9"/>
      <c r="G52" s="9"/>
    </row>
    <row r="53" spans="1:7" ht="16.8" x14ac:dyDescent="0.3">
      <c r="A53" s="640" t="s">
        <v>389</v>
      </c>
      <c r="B53" s="641"/>
      <c r="C53" s="641"/>
      <c r="D53" s="641"/>
      <c r="E53" s="641"/>
      <c r="F53" s="641"/>
      <c r="G53" s="642"/>
    </row>
    <row r="54" spans="1:7" ht="15.6" x14ac:dyDescent="0.3">
      <c r="A54" s="529"/>
      <c r="B54" s="530">
        <v>2022</v>
      </c>
      <c r="C54" s="531">
        <v>2023</v>
      </c>
      <c r="D54" s="531">
        <v>2024</v>
      </c>
      <c r="E54" s="531">
        <v>2025</v>
      </c>
      <c r="F54" s="531">
        <v>2026</v>
      </c>
      <c r="G54" s="521">
        <v>2027</v>
      </c>
    </row>
    <row r="55" spans="1:7" ht="15.6" x14ac:dyDescent="0.3">
      <c r="A55" s="464" t="s">
        <v>346</v>
      </c>
      <c r="B55" s="532">
        <f t="shared" ref="B55:G55" si="9">B24</f>
        <v>5460255.6733430643</v>
      </c>
      <c r="C55" s="532">
        <f t="shared" si="9"/>
        <v>12449382.935222188</v>
      </c>
      <c r="D55" s="532">
        <f t="shared" si="9"/>
        <v>25882267.122326925</v>
      </c>
      <c r="E55" s="532">
        <f t="shared" si="9"/>
        <v>40350454.443707682</v>
      </c>
      <c r="F55" s="532">
        <f t="shared" si="9"/>
        <v>60525681.665561527</v>
      </c>
      <c r="G55" s="533">
        <f t="shared" si="9"/>
        <v>87762238.415064216</v>
      </c>
    </row>
    <row r="56" spans="1:7" ht="15.6" x14ac:dyDescent="0.3">
      <c r="A56" s="256" t="s">
        <v>353</v>
      </c>
      <c r="B56" s="259">
        <f t="shared" ref="B56:G56" si="10">B30</f>
        <v>510139.95897559484</v>
      </c>
      <c r="C56" s="259">
        <f t="shared" si="10"/>
        <v>1163119.1064643564</v>
      </c>
      <c r="D56" s="259">
        <f t="shared" si="10"/>
        <v>2418124.6223393967</v>
      </c>
      <c r="E56" s="259">
        <f t="shared" si="10"/>
        <v>3769856.2862271201</v>
      </c>
      <c r="F56" s="259">
        <f t="shared" si="10"/>
        <v>5654784.4293406801</v>
      </c>
      <c r="G56" s="534">
        <f t="shared" si="10"/>
        <v>8199437.4225439858</v>
      </c>
    </row>
    <row r="57" spans="1:7" ht="15.6" x14ac:dyDescent="0.3">
      <c r="A57" s="256" t="s">
        <v>349</v>
      </c>
      <c r="B57" s="259">
        <f t="shared" ref="B57:G57" si="11">B37</f>
        <v>5192043.0067495797</v>
      </c>
      <c r="C57" s="259">
        <f t="shared" si="11"/>
        <v>10129185.000000002</v>
      </c>
      <c r="D57" s="259">
        <f t="shared" si="11"/>
        <v>21058575.615000002</v>
      </c>
      <c r="E57" s="259">
        <f t="shared" si="11"/>
        <v>32830319.383785002</v>
      </c>
      <c r="F57" s="259">
        <f t="shared" si="11"/>
        <v>49245479.075677499</v>
      </c>
      <c r="G57" s="534">
        <f t="shared" si="11"/>
        <v>71405944.659732386</v>
      </c>
    </row>
    <row r="58" spans="1:7" ht="15.6" x14ac:dyDescent="0.3">
      <c r="A58" s="256" t="s">
        <v>390</v>
      </c>
      <c r="B58" s="259">
        <f t="shared" ref="B58:G58" si="12">B46</f>
        <v>336661</v>
      </c>
      <c r="C58" s="259">
        <f t="shared" si="12"/>
        <v>767587.08</v>
      </c>
      <c r="D58" s="259">
        <f t="shared" si="12"/>
        <v>1595813.53932</v>
      </c>
      <c r="E58" s="259">
        <f t="shared" si="12"/>
        <v>2487873.3077998799</v>
      </c>
      <c r="F58" s="259">
        <f t="shared" si="12"/>
        <v>3731809.9616998201</v>
      </c>
      <c r="G58" s="534">
        <f t="shared" si="12"/>
        <v>5411124.4444647394</v>
      </c>
    </row>
    <row r="59" spans="1:7" ht="15.6" x14ac:dyDescent="0.3">
      <c r="A59" s="535" t="s">
        <v>391</v>
      </c>
      <c r="B59" s="536">
        <f>B51</f>
        <v>553590.64371959656</v>
      </c>
      <c r="C59" s="536">
        <f t="shared" ref="C59:G59" si="13">C51</f>
        <v>1262186.6676806803</v>
      </c>
      <c r="D59" s="536">
        <f t="shared" si="13"/>
        <v>2624086.0821081344</v>
      </c>
      <c r="E59" s="536">
        <f t="shared" si="13"/>
        <v>4090950.2020065817</v>
      </c>
      <c r="F59" s="536">
        <f t="shared" si="13"/>
        <v>6136425.3030098723</v>
      </c>
      <c r="G59" s="537">
        <f t="shared" si="13"/>
        <v>8897816.6893643141</v>
      </c>
    </row>
    <row r="60" spans="1:7" ht="16.2" thickBot="1" x14ac:dyDescent="0.35">
      <c r="A60" s="494" t="s">
        <v>0</v>
      </c>
      <c r="B60" s="503">
        <f>SUM(B55:B59)</f>
        <v>12052690.282787835</v>
      </c>
      <c r="C60" s="503">
        <f t="shared" ref="C60:G60" si="14">SUM(C55:C59)</f>
        <v>25771460.789367225</v>
      </c>
      <c r="D60" s="503">
        <f t="shared" si="14"/>
        <v>53578866.981094457</v>
      </c>
      <c r="E60" s="503">
        <f t="shared" si="14"/>
        <v>83529453.62352626</v>
      </c>
      <c r="F60" s="503">
        <f t="shared" si="14"/>
        <v>125294180.43528938</v>
      </c>
      <c r="G60" s="538">
        <f t="shared" si="14"/>
        <v>181676561.63116965</v>
      </c>
    </row>
    <row r="61" spans="1:7" ht="16.2" thickTop="1" x14ac:dyDescent="0.3">
      <c r="A61" s="9"/>
      <c r="B61" s="9"/>
      <c r="C61" s="9"/>
      <c r="D61" s="9"/>
      <c r="E61" s="9"/>
      <c r="F61" s="9"/>
      <c r="G61" s="9"/>
    </row>
    <row r="62" spans="1:7" ht="16.8" x14ac:dyDescent="0.3">
      <c r="A62" s="637" t="s">
        <v>401</v>
      </c>
      <c r="B62" s="638"/>
      <c r="C62" s="638"/>
      <c r="D62" s="638"/>
      <c r="E62" s="638"/>
      <c r="F62" s="638"/>
      <c r="G62" s="639"/>
    </row>
    <row r="63" spans="1:7" ht="15.6" x14ac:dyDescent="0.3">
      <c r="A63" s="539"/>
      <c r="B63" s="460">
        <v>2022</v>
      </c>
      <c r="C63" s="460">
        <v>2023</v>
      </c>
      <c r="D63" s="460">
        <v>2024</v>
      </c>
      <c r="E63" s="460">
        <v>2025</v>
      </c>
      <c r="F63" s="460">
        <v>2026</v>
      </c>
      <c r="G63" s="461">
        <v>2027</v>
      </c>
    </row>
    <row r="64" spans="1:7" ht="15.6" x14ac:dyDescent="0.3">
      <c r="A64" s="553" t="s">
        <v>233</v>
      </c>
      <c r="B64" s="490" t="s">
        <v>9</v>
      </c>
      <c r="C64" s="501">
        <f>$C$112</f>
        <v>1.28</v>
      </c>
      <c r="D64" s="501">
        <f>$D$112</f>
        <v>1.079</v>
      </c>
      <c r="E64" s="501">
        <f>$E$112</f>
        <v>0.55900000000000005</v>
      </c>
      <c r="F64" s="501">
        <f>$F$112</f>
        <v>0.5</v>
      </c>
      <c r="G64" s="518">
        <f>$G$112</f>
        <v>0.45</v>
      </c>
    </row>
    <row r="65" spans="1:7" ht="16.2" thickBot="1" x14ac:dyDescent="0.35">
      <c r="A65" s="634" t="s">
        <v>402</v>
      </c>
      <c r="B65" s="540">
        <f>'Impuestos históricos'!N20</f>
        <v>131129.2218944208</v>
      </c>
      <c r="C65" s="540">
        <f>B65+(C64*B65)</f>
        <v>298974.62591927941</v>
      </c>
      <c r="D65" s="540">
        <f>C65+(D64*C65)</f>
        <v>621568.2472861819</v>
      </c>
      <c r="E65" s="540">
        <f>D65+(E64*D65)</f>
        <v>969024.89751915762</v>
      </c>
      <c r="F65" s="540">
        <f>E65+(F64*E65)</f>
        <v>1453537.3462787364</v>
      </c>
      <c r="G65" s="541">
        <f>F65+(G64*F65)</f>
        <v>2107629.1521041677</v>
      </c>
    </row>
    <row r="66" spans="1:7" ht="16.2" thickTop="1" x14ac:dyDescent="0.3">
      <c r="A66" s="9"/>
      <c r="B66" s="9"/>
      <c r="C66" s="9"/>
      <c r="D66" s="9"/>
      <c r="E66" s="9"/>
      <c r="F66" s="9"/>
      <c r="G66" s="9"/>
    </row>
    <row r="67" spans="1:7" ht="16.8" x14ac:dyDescent="0.3">
      <c r="A67" s="637" t="s">
        <v>433</v>
      </c>
      <c r="B67" s="638"/>
      <c r="C67" s="638"/>
      <c r="D67" s="638"/>
      <c r="E67" s="638"/>
      <c r="F67" s="638"/>
      <c r="G67" s="639"/>
    </row>
    <row r="68" spans="1:7" ht="15.6" x14ac:dyDescent="0.3">
      <c r="A68" s="635"/>
      <c r="B68" s="462">
        <v>2022</v>
      </c>
      <c r="C68" s="462">
        <v>2023</v>
      </c>
      <c r="D68" s="462">
        <v>2024</v>
      </c>
      <c r="E68" s="462">
        <v>2025</v>
      </c>
      <c r="F68" s="462">
        <v>2026</v>
      </c>
      <c r="G68" s="463">
        <v>2027</v>
      </c>
    </row>
    <row r="69" spans="1:7" ht="15.6" x14ac:dyDescent="0.3">
      <c r="A69" s="563" t="s">
        <v>233</v>
      </c>
      <c r="B69" s="560" t="s">
        <v>9</v>
      </c>
      <c r="C69" s="570">
        <f>$C$112</f>
        <v>1.28</v>
      </c>
      <c r="D69" s="570">
        <f>$D$112</f>
        <v>1.079</v>
      </c>
      <c r="E69" s="570">
        <f>$E$112</f>
        <v>0.55900000000000005</v>
      </c>
      <c r="F69" s="570">
        <f>$F$112</f>
        <v>0.5</v>
      </c>
      <c r="G69" s="502">
        <f>$G$112</f>
        <v>0.45</v>
      </c>
    </row>
    <row r="70" spans="1:7" ht="15.6" x14ac:dyDescent="0.3">
      <c r="A70" s="553" t="s">
        <v>414</v>
      </c>
      <c r="B70" s="569">
        <v>0.7</v>
      </c>
      <c r="C70" s="501">
        <f>C69*$B$70</f>
        <v>0.89599999999999991</v>
      </c>
      <c r="D70" s="501">
        <f>D69*$B$70</f>
        <v>0.75529999999999997</v>
      </c>
      <c r="E70" s="501">
        <f>E69*$B$70</f>
        <v>0.39130000000000004</v>
      </c>
      <c r="F70" s="501">
        <f>F69*$B$70</f>
        <v>0.35</v>
      </c>
      <c r="G70" s="518">
        <f>G69*$B$70</f>
        <v>0.315</v>
      </c>
    </row>
    <row r="71" spans="1:7" ht="16.2" thickBot="1" x14ac:dyDescent="0.35">
      <c r="A71" s="634" t="s">
        <v>415</v>
      </c>
      <c r="B71" s="540">
        <f>('Impuestos históricos'!W6)*4</f>
        <v>717078.8</v>
      </c>
      <c r="C71" s="540">
        <f>B71+(B71*C70)</f>
        <v>1359581.4048000001</v>
      </c>
      <c r="D71" s="540">
        <f>C71+(C71*D70)</f>
        <v>2386473.2398454403</v>
      </c>
      <c r="E71" s="540">
        <f>D71+(D71*E70)</f>
        <v>3320300.2185969613</v>
      </c>
      <c r="F71" s="540">
        <f>E71+(E71*F70)</f>
        <v>4482405.2951058978</v>
      </c>
      <c r="G71" s="541">
        <f>F71+(F71*G70)</f>
        <v>5894362.9630642552</v>
      </c>
    </row>
    <row r="72" spans="1:7" ht="16.2" thickTop="1" x14ac:dyDescent="0.3">
      <c r="A72" s="9"/>
      <c r="B72" s="9"/>
      <c r="C72" s="9"/>
      <c r="D72" s="9"/>
      <c r="E72" s="9"/>
      <c r="F72" s="9"/>
      <c r="G72" s="9"/>
    </row>
    <row r="73" spans="1:7" ht="16.8" x14ac:dyDescent="0.3">
      <c r="A73" s="637" t="s">
        <v>416</v>
      </c>
      <c r="B73" s="638"/>
      <c r="C73" s="638"/>
      <c r="D73" s="638"/>
      <c r="E73" s="638"/>
      <c r="F73" s="638"/>
      <c r="G73" s="639"/>
    </row>
    <row r="74" spans="1:7" ht="15.6" x14ac:dyDescent="0.3">
      <c r="A74" s="568"/>
      <c r="B74" s="462">
        <v>2022</v>
      </c>
      <c r="C74" s="462">
        <v>2023</v>
      </c>
      <c r="D74" s="462">
        <v>2024</v>
      </c>
      <c r="E74" s="462">
        <v>2025</v>
      </c>
      <c r="F74" s="462">
        <v>2026</v>
      </c>
      <c r="G74" s="463">
        <v>2027</v>
      </c>
    </row>
    <row r="75" spans="1:7" ht="15.6" x14ac:dyDescent="0.3">
      <c r="A75" s="563" t="s">
        <v>417</v>
      </c>
      <c r="B75" s="572">
        <f t="shared" ref="B75:G75" si="15">B65</f>
        <v>131129.2218944208</v>
      </c>
      <c r="C75" s="572">
        <f t="shared" si="15"/>
        <v>298974.62591927941</v>
      </c>
      <c r="D75" s="572">
        <f t="shared" si="15"/>
        <v>621568.2472861819</v>
      </c>
      <c r="E75" s="572">
        <f t="shared" si="15"/>
        <v>969024.89751915762</v>
      </c>
      <c r="F75" s="572">
        <f t="shared" si="15"/>
        <v>1453537.3462787364</v>
      </c>
      <c r="G75" s="91">
        <f t="shared" si="15"/>
        <v>2107629.1521041677</v>
      </c>
    </row>
    <row r="76" spans="1:7" ht="15.6" x14ac:dyDescent="0.3">
      <c r="A76" s="553" t="s">
        <v>415</v>
      </c>
      <c r="B76" s="31">
        <f t="shared" ref="B76:G76" si="16">B71</f>
        <v>717078.8</v>
      </c>
      <c r="C76" s="31">
        <f t="shared" si="16"/>
        <v>1359581.4048000001</v>
      </c>
      <c r="D76" s="31">
        <f t="shared" si="16"/>
        <v>2386473.2398454403</v>
      </c>
      <c r="E76" s="31">
        <f t="shared" si="16"/>
        <v>3320300.2185969613</v>
      </c>
      <c r="F76" s="31">
        <f t="shared" si="16"/>
        <v>4482405.2951058978</v>
      </c>
      <c r="G76" s="92">
        <f t="shared" si="16"/>
        <v>5894362.9630642552</v>
      </c>
    </row>
    <row r="77" spans="1:7" ht="16.2" thickBot="1" x14ac:dyDescent="0.35">
      <c r="A77" s="573" t="s">
        <v>509</v>
      </c>
      <c r="B77" s="574">
        <f t="shared" ref="B77:G77" si="17">SUM(B75:B76)</f>
        <v>848208.02189442085</v>
      </c>
      <c r="C77" s="574">
        <f>SUM(C75:C76)</f>
        <v>1658556.0307192795</v>
      </c>
      <c r="D77" s="574">
        <f t="shared" si="17"/>
        <v>3008041.4871316222</v>
      </c>
      <c r="E77" s="574">
        <f t="shared" si="17"/>
        <v>4289325.1161161186</v>
      </c>
      <c r="F77" s="574">
        <f t="shared" si="17"/>
        <v>5935942.6413846342</v>
      </c>
      <c r="G77" s="575">
        <f t="shared" si="17"/>
        <v>8001992.1151684225</v>
      </c>
    </row>
    <row r="78" spans="1:7" ht="16.2" thickTop="1" x14ac:dyDescent="0.3">
      <c r="A78" s="9"/>
      <c r="B78" s="9"/>
      <c r="C78" s="9"/>
      <c r="D78" s="9"/>
      <c r="E78" s="9"/>
      <c r="F78" s="9"/>
      <c r="G78" s="9"/>
    </row>
    <row r="79" spans="1:7" ht="16.8" x14ac:dyDescent="0.3">
      <c r="A79" s="637" t="s">
        <v>483</v>
      </c>
      <c r="B79" s="638"/>
      <c r="C79" s="638"/>
      <c r="D79" s="638"/>
      <c r="E79" s="638"/>
      <c r="F79" s="638"/>
      <c r="G79" s="639"/>
    </row>
    <row r="80" spans="1:7" ht="16.2" thickBot="1" x14ac:dyDescent="0.35">
      <c r="A80" s="565"/>
      <c r="B80" s="566">
        <v>2022</v>
      </c>
      <c r="C80" s="566">
        <v>2023</v>
      </c>
      <c r="D80" s="566">
        <v>2024</v>
      </c>
      <c r="E80" s="566">
        <v>2025</v>
      </c>
      <c r="F80" s="566">
        <v>2026</v>
      </c>
      <c r="G80" s="567">
        <v>2027</v>
      </c>
    </row>
    <row r="81" spans="1:8" ht="16.2" thickTop="1" x14ac:dyDescent="0.3">
      <c r="A81" s="295" t="s">
        <v>481</v>
      </c>
      <c r="B81" s="54">
        <v>3000000</v>
      </c>
      <c r="C81" s="31">
        <f>B81*(1+C82)</f>
        <v>6840000.0000000009</v>
      </c>
      <c r="D81" s="31">
        <f>C81*(1+D82)</f>
        <v>14220360</v>
      </c>
      <c r="E81" s="31">
        <f>D81*(1+E82)</f>
        <v>22169541.240000002</v>
      </c>
      <c r="F81" s="31">
        <f>E81*(1+F82)</f>
        <v>33254311.860000003</v>
      </c>
      <c r="G81" s="92">
        <f>F81*(1+G82)</f>
        <v>48218752.197000004</v>
      </c>
    </row>
    <row r="82" spans="1:8" ht="15.6" x14ac:dyDescent="0.3">
      <c r="A82" s="294" t="s">
        <v>233</v>
      </c>
      <c r="B82" s="11" t="s">
        <v>9</v>
      </c>
      <c r="C82" s="542">
        <f>C112</f>
        <v>1.28</v>
      </c>
      <c r="D82" s="542">
        <f>D112</f>
        <v>1.079</v>
      </c>
      <c r="E82" s="542">
        <f>E112</f>
        <v>0.55900000000000005</v>
      </c>
      <c r="F82" s="542">
        <f>F112</f>
        <v>0.5</v>
      </c>
      <c r="G82" s="543">
        <f>G112</f>
        <v>0.45</v>
      </c>
    </row>
    <row r="83" spans="1:8" ht="16.2" thickBot="1" x14ac:dyDescent="0.35">
      <c r="A83" s="544" t="s">
        <v>486</v>
      </c>
      <c r="B83" s="545">
        <f>B81</f>
        <v>3000000</v>
      </c>
      <c r="C83" s="540">
        <f>C81-B81</f>
        <v>3840000.0000000009</v>
      </c>
      <c r="D83" s="540">
        <f>D81-C81</f>
        <v>7380359.9999999991</v>
      </c>
      <c r="E83" s="540">
        <f>E81-D81</f>
        <v>7949181.2400000021</v>
      </c>
      <c r="F83" s="540">
        <f>F81-E81</f>
        <v>11084770.620000001</v>
      </c>
      <c r="G83" s="541">
        <f>G81-F81</f>
        <v>14964440.337000001</v>
      </c>
    </row>
    <row r="84" spans="1:8" ht="16.2" thickTop="1" x14ac:dyDescent="0.3">
      <c r="A84" s="546"/>
      <c r="B84" s="547"/>
      <c r="C84" s="243"/>
      <c r="D84" s="243"/>
      <c r="E84" s="243"/>
      <c r="F84" s="243"/>
      <c r="G84" s="243"/>
    </row>
    <row r="85" spans="1:8" ht="16.8" x14ac:dyDescent="0.3">
      <c r="A85" s="637" t="s">
        <v>581</v>
      </c>
      <c r="B85" s="638"/>
      <c r="C85" s="638"/>
      <c r="D85" s="638"/>
      <c r="E85" s="638"/>
      <c r="F85" s="638"/>
      <c r="G85" s="639"/>
    </row>
    <row r="86" spans="1:8" ht="15.6" x14ac:dyDescent="0.3">
      <c r="A86" s="539"/>
      <c r="B86" s="460">
        <v>2022</v>
      </c>
      <c r="C86" s="460">
        <v>2023</v>
      </c>
      <c r="D86" s="460">
        <v>2024</v>
      </c>
      <c r="E86" s="460">
        <v>2025</v>
      </c>
      <c r="F86" s="460">
        <v>2026</v>
      </c>
      <c r="G86" s="461">
        <v>2027</v>
      </c>
    </row>
    <row r="87" spans="1:8" ht="16.2" thickBot="1" x14ac:dyDescent="0.35">
      <c r="A87" s="548" t="s">
        <v>575</v>
      </c>
      <c r="B87" s="549">
        <v>0</v>
      </c>
      <c r="C87" s="550">
        <f>'CAPEX (2022)'!O7</f>
        <v>15551550.579910235</v>
      </c>
      <c r="D87" s="550">
        <v>0</v>
      </c>
      <c r="E87" s="550">
        <v>0</v>
      </c>
      <c r="F87" s="550">
        <v>0</v>
      </c>
      <c r="G87" s="551">
        <v>0</v>
      </c>
    </row>
    <row r="88" spans="1:8" ht="16.2" thickTop="1" x14ac:dyDescent="0.3">
      <c r="A88" s="546"/>
      <c r="B88" s="547"/>
      <c r="C88" s="243"/>
      <c r="D88" s="243"/>
      <c r="E88" s="243"/>
      <c r="F88" s="243"/>
      <c r="G88" s="243"/>
    </row>
    <row r="89" spans="1:8" ht="16.8" x14ac:dyDescent="0.3">
      <c r="A89" s="637" t="s">
        <v>557</v>
      </c>
      <c r="B89" s="638"/>
      <c r="C89" s="638"/>
      <c r="D89" s="638"/>
      <c r="E89" s="638"/>
      <c r="F89" s="638"/>
      <c r="G89" s="639"/>
    </row>
    <row r="90" spans="1:8" ht="15.6" x14ac:dyDescent="0.3">
      <c r="A90" s="539"/>
      <c r="B90" s="460">
        <v>2022</v>
      </c>
      <c r="C90" s="460">
        <v>2023</v>
      </c>
      <c r="D90" s="460">
        <v>2024</v>
      </c>
      <c r="E90" s="460">
        <v>2025</v>
      </c>
      <c r="F90" s="460">
        <v>2026</v>
      </c>
      <c r="G90" s="461">
        <v>2027</v>
      </c>
    </row>
    <row r="91" spans="1:8" ht="16.2" thickBot="1" x14ac:dyDescent="0.35">
      <c r="A91" s="548" t="s">
        <v>560</v>
      </c>
      <c r="B91" s="549" t="s">
        <v>9</v>
      </c>
      <c r="C91" s="550">
        <f>'CAPEX (2022)'!F12</f>
        <v>3110310.1159820473</v>
      </c>
      <c r="D91" s="550">
        <f>C91</f>
        <v>3110310.1159820473</v>
      </c>
      <c r="E91" s="550">
        <f t="shared" ref="E91:G91" si="18">D91</f>
        <v>3110310.1159820473</v>
      </c>
      <c r="F91" s="550">
        <f t="shared" si="18"/>
        <v>3110310.1159820473</v>
      </c>
      <c r="G91" s="551">
        <f t="shared" si="18"/>
        <v>3110310.1159820473</v>
      </c>
    </row>
    <row r="92" spans="1:8" ht="16.2" thickTop="1" x14ac:dyDescent="0.3">
      <c r="A92" s="552"/>
      <c r="B92" s="243"/>
      <c r="C92" s="9"/>
      <c r="D92" s="243"/>
      <c r="E92" s="243"/>
      <c r="F92" s="243"/>
      <c r="G92" s="243"/>
    </row>
    <row r="93" spans="1:8" ht="16.8" x14ac:dyDescent="0.3">
      <c r="A93" s="637" t="s">
        <v>510</v>
      </c>
      <c r="B93" s="638"/>
      <c r="C93" s="638"/>
      <c r="D93" s="638"/>
      <c r="E93" s="638"/>
      <c r="F93" s="638"/>
      <c r="G93" s="639"/>
    </row>
    <row r="94" spans="1:8" ht="15.6" x14ac:dyDescent="0.3">
      <c r="A94" s="539"/>
      <c r="B94" s="460">
        <v>2022</v>
      </c>
      <c r="C94" s="460">
        <v>2023</v>
      </c>
      <c r="D94" s="460">
        <v>2024</v>
      </c>
      <c r="E94" s="460">
        <v>2025</v>
      </c>
      <c r="F94" s="460">
        <v>2026</v>
      </c>
      <c r="G94" s="461">
        <v>2027</v>
      </c>
    </row>
    <row r="95" spans="1:8" ht="15.6" x14ac:dyDescent="0.3">
      <c r="A95" s="553" t="s">
        <v>518</v>
      </c>
      <c r="B95" s="490" t="s">
        <v>9</v>
      </c>
      <c r="C95" s="554">
        <v>0.27</v>
      </c>
      <c r="D95" s="554">
        <v>0.27</v>
      </c>
      <c r="E95" s="554">
        <v>0.27</v>
      </c>
      <c r="F95" s="554">
        <v>0.27</v>
      </c>
      <c r="G95" s="554">
        <v>0.27</v>
      </c>
      <c r="H95" s="242"/>
    </row>
    <row r="96" spans="1:8" ht="15.6" x14ac:dyDescent="0.3">
      <c r="A96" s="294" t="s">
        <v>517</v>
      </c>
      <c r="B96" s="11" t="s">
        <v>9</v>
      </c>
      <c r="C96" s="542">
        <f>C112</f>
        <v>1.28</v>
      </c>
      <c r="D96" s="542">
        <f>D112</f>
        <v>1.079</v>
      </c>
      <c r="E96" s="542">
        <f>E112</f>
        <v>0.55900000000000005</v>
      </c>
      <c r="F96" s="542">
        <f>F112</f>
        <v>0.5</v>
      </c>
      <c r="G96" s="543">
        <f>G112</f>
        <v>0.45</v>
      </c>
      <c r="H96" s="242"/>
    </row>
    <row r="97" spans="1:8" ht="15.6" x14ac:dyDescent="0.3">
      <c r="A97" s="294" t="s">
        <v>519</v>
      </c>
      <c r="B97" s="490" t="s">
        <v>9</v>
      </c>
      <c r="C97" s="542">
        <v>4.4999999999999998E-2</v>
      </c>
      <c r="D97" s="542">
        <v>2.3E-2</v>
      </c>
      <c r="E97" s="542">
        <v>2.1000000000000001E-2</v>
      </c>
      <c r="F97" s="542">
        <v>0.02</v>
      </c>
      <c r="G97" s="543">
        <v>0.02</v>
      </c>
      <c r="H97" s="242"/>
    </row>
    <row r="98" spans="1:8" ht="18" thickBot="1" x14ac:dyDescent="0.35">
      <c r="A98" s="555" t="s">
        <v>520</v>
      </c>
      <c r="B98" s="564" t="s">
        <v>9</v>
      </c>
      <c r="C98" s="556">
        <f>((1+C95)*((1+C96)/(1+C97)))-1</f>
        <v>1.7709090909090914</v>
      </c>
      <c r="D98" s="556">
        <f>((1+D95)*((1+D96)/(1+D97)))-1</f>
        <v>1.580967741935484</v>
      </c>
      <c r="E98" s="556">
        <f t="shared" ref="E98:G98" si="19">((1+E95)*((1+E96)/(1+E97)))-1</f>
        <v>0.93920666013712095</v>
      </c>
      <c r="F98" s="556">
        <f t="shared" si="19"/>
        <v>0.86764705882352922</v>
      </c>
      <c r="G98" s="557">
        <f t="shared" si="19"/>
        <v>0.8053921568627449</v>
      </c>
      <c r="H98" s="428"/>
    </row>
    <row r="99" spans="1:8" ht="16.2" thickTop="1" x14ac:dyDescent="0.3">
      <c r="A99" s="9"/>
      <c r="B99" s="9"/>
      <c r="C99" s="9"/>
      <c r="D99" s="9"/>
      <c r="E99" s="9"/>
      <c r="F99" s="9"/>
      <c r="G99" s="9"/>
    </row>
    <row r="100" spans="1:8" ht="16.8" x14ac:dyDescent="0.3">
      <c r="A100" s="637" t="s">
        <v>523</v>
      </c>
      <c r="B100" s="638"/>
      <c r="C100" s="638"/>
      <c r="D100" s="638"/>
      <c r="E100" s="638"/>
      <c r="F100" s="638"/>
      <c r="G100" s="639"/>
    </row>
    <row r="101" spans="1:8" ht="15.6" x14ac:dyDescent="0.3">
      <c r="A101" s="539"/>
      <c r="B101" s="460">
        <v>2022</v>
      </c>
      <c r="C101" s="460">
        <v>2023</v>
      </c>
      <c r="D101" s="460">
        <v>2024</v>
      </c>
      <c r="E101" s="460">
        <v>2025</v>
      </c>
      <c r="F101" s="460">
        <v>2026</v>
      </c>
      <c r="G101" s="461">
        <v>2027</v>
      </c>
    </row>
    <row r="102" spans="1:8" ht="15.6" x14ac:dyDescent="0.3">
      <c r="A102" s="294" t="s">
        <v>525</v>
      </c>
      <c r="B102" s="490" t="s">
        <v>9</v>
      </c>
      <c r="C102" s="11">
        <v>1</v>
      </c>
      <c r="D102" s="11">
        <v>2</v>
      </c>
      <c r="E102" s="11">
        <v>3</v>
      </c>
      <c r="F102" s="11">
        <v>4</v>
      </c>
      <c r="G102" s="161">
        <v>5</v>
      </c>
    </row>
    <row r="103" spans="1:8" ht="15.6" x14ac:dyDescent="0.3">
      <c r="A103" s="553" t="s">
        <v>524</v>
      </c>
      <c r="B103" s="490" t="s">
        <v>9</v>
      </c>
      <c r="C103" s="542">
        <f>C98</f>
        <v>1.7709090909090914</v>
      </c>
      <c r="D103" s="542">
        <f>D98</f>
        <v>1.580967741935484</v>
      </c>
      <c r="E103" s="542">
        <f>E98</f>
        <v>0.93920666013712095</v>
      </c>
      <c r="F103" s="542">
        <f>F98</f>
        <v>0.86764705882352922</v>
      </c>
      <c r="G103" s="543">
        <f>G98</f>
        <v>0.8053921568627449</v>
      </c>
    </row>
    <row r="104" spans="1:8" ht="16.2" thickBot="1" x14ac:dyDescent="0.35">
      <c r="A104" s="555" t="s">
        <v>502</v>
      </c>
      <c r="B104" s="564" t="s">
        <v>9</v>
      </c>
      <c r="C104" s="558">
        <f>1/((1+C103)^C102)</f>
        <v>0.3608923884514435</v>
      </c>
      <c r="D104" s="558">
        <f t="shared" ref="D104:G104" si="20">1/((1+D103)^D102)</f>
        <v>0.15011871797490131</v>
      </c>
      <c r="E104" s="558">
        <f t="shared" si="20"/>
        <v>0.13712849759543175</v>
      </c>
      <c r="F104" s="558">
        <f t="shared" si="20"/>
        <v>8.21903381050237E-2</v>
      </c>
      <c r="G104" s="559">
        <f t="shared" si="20"/>
        <v>5.213654440268134E-2</v>
      </c>
    </row>
    <row r="105" spans="1:8" ht="16.2" thickTop="1" x14ac:dyDescent="0.3">
      <c r="A105" s="9"/>
      <c r="B105" s="9"/>
      <c r="C105" s="9"/>
      <c r="D105" s="9"/>
      <c r="E105" s="9"/>
      <c r="F105" s="9"/>
      <c r="G105" s="9"/>
    </row>
    <row r="106" spans="1:8" ht="16.8" x14ac:dyDescent="0.3">
      <c r="A106" s="637" t="s">
        <v>427</v>
      </c>
      <c r="B106" s="638"/>
      <c r="C106" s="638"/>
      <c r="D106" s="638"/>
      <c r="E106" s="638"/>
      <c r="F106" s="638"/>
      <c r="G106" s="639"/>
    </row>
    <row r="107" spans="1:8" ht="15.6" x14ac:dyDescent="0.3">
      <c r="A107" s="568"/>
      <c r="B107" s="462">
        <v>2022</v>
      </c>
      <c r="C107" s="462">
        <v>2023</v>
      </c>
      <c r="D107" s="462">
        <v>2024</v>
      </c>
      <c r="E107" s="462">
        <v>2025</v>
      </c>
      <c r="F107" s="462">
        <v>2026</v>
      </c>
      <c r="G107" s="463">
        <v>2027</v>
      </c>
    </row>
    <row r="108" spans="1:8" ht="15.6" x14ac:dyDescent="0.3">
      <c r="A108" s="563" t="s">
        <v>577</v>
      </c>
      <c r="B108" s="627" t="s">
        <v>9</v>
      </c>
      <c r="C108" s="628">
        <v>0.08</v>
      </c>
      <c r="D108" s="628">
        <v>7.0000000000000007E-2</v>
      </c>
      <c r="E108" s="628">
        <v>0.06</v>
      </c>
      <c r="F108" s="628">
        <v>0.05</v>
      </c>
      <c r="G108" s="628">
        <v>0.05</v>
      </c>
    </row>
    <row r="109" spans="1:8" ht="15.6" x14ac:dyDescent="0.3">
      <c r="A109" s="553" t="s">
        <v>428</v>
      </c>
      <c r="B109" s="493" t="s">
        <v>9</v>
      </c>
      <c r="C109" s="493">
        <v>0.08</v>
      </c>
      <c r="D109" s="493">
        <v>0.08</v>
      </c>
      <c r="E109" s="493">
        <v>0.08</v>
      </c>
      <c r="F109" s="493">
        <v>0.08</v>
      </c>
      <c r="G109" s="493">
        <v>0.08</v>
      </c>
    </row>
    <row r="110" spans="1:8" ht="15.6" x14ac:dyDescent="0.3">
      <c r="A110" s="553" t="s">
        <v>579</v>
      </c>
      <c r="B110" s="490" t="s">
        <v>9</v>
      </c>
      <c r="C110" s="542">
        <f>C112+C111</f>
        <v>1.28</v>
      </c>
      <c r="D110" s="542">
        <f t="shared" ref="D110:G110" si="21">D112+D111</f>
        <v>1.079</v>
      </c>
      <c r="E110" s="542">
        <f t="shared" si="21"/>
        <v>0.55900000000000005</v>
      </c>
      <c r="F110" s="542">
        <f t="shared" si="21"/>
        <v>0.5</v>
      </c>
      <c r="G110" s="543">
        <f t="shared" si="21"/>
        <v>0.45</v>
      </c>
    </row>
    <row r="111" spans="1:8" ht="15.6" x14ac:dyDescent="0.3">
      <c r="A111" s="625" t="s">
        <v>578</v>
      </c>
      <c r="B111" s="11"/>
      <c r="C111" s="626">
        <v>0</v>
      </c>
      <c r="D111" s="626">
        <v>0</v>
      </c>
      <c r="E111" s="626">
        <v>0</v>
      </c>
      <c r="F111" s="626">
        <v>0</v>
      </c>
      <c r="G111" s="626">
        <v>0</v>
      </c>
    </row>
    <row r="112" spans="1:8" ht="15.6" x14ac:dyDescent="0.3">
      <c r="A112" s="629" t="s">
        <v>233</v>
      </c>
      <c r="B112" s="562" t="s">
        <v>9</v>
      </c>
      <c r="C112" s="571">
        <v>1.28</v>
      </c>
      <c r="D112" s="630">
        <v>1.079</v>
      </c>
      <c r="E112" s="631">
        <v>0.55900000000000005</v>
      </c>
      <c r="F112" s="632">
        <v>0.5</v>
      </c>
      <c r="G112" s="633">
        <v>0.45</v>
      </c>
    </row>
    <row r="113" spans="1:7" ht="18" x14ac:dyDescent="0.35">
      <c r="A113" s="303"/>
      <c r="B113" s="303"/>
      <c r="C113" s="303"/>
      <c r="D113" s="303"/>
      <c r="E113" s="303"/>
      <c r="F113" s="303"/>
      <c r="G113" s="303"/>
    </row>
  </sheetData>
  <mergeCells count="19">
    <mergeCell ref="A3:G3"/>
    <mergeCell ref="A9:G9"/>
    <mergeCell ref="A15:G15"/>
    <mergeCell ref="A1:G1"/>
    <mergeCell ref="A21:G21"/>
    <mergeCell ref="A26:G26"/>
    <mergeCell ref="A32:G32"/>
    <mergeCell ref="A39:G39"/>
    <mergeCell ref="A48:G48"/>
    <mergeCell ref="A53:G53"/>
    <mergeCell ref="A62:G62"/>
    <mergeCell ref="A67:G67"/>
    <mergeCell ref="A73:G73"/>
    <mergeCell ref="A106:G106"/>
    <mergeCell ref="A79:G79"/>
    <mergeCell ref="A93:G93"/>
    <mergeCell ref="A100:G100"/>
    <mergeCell ref="A89:G89"/>
    <mergeCell ref="A85:G85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47846-B176-4D17-A270-0CD06BA457C2}">
  <dimension ref="A1:N31"/>
  <sheetViews>
    <sheetView zoomScale="76" workbookViewId="0">
      <selection activeCell="N16" sqref="N16"/>
    </sheetView>
  </sheetViews>
  <sheetFormatPr baseColWidth="10" defaultRowHeight="14.4" x14ac:dyDescent="0.3"/>
  <cols>
    <col min="1" max="1" width="16.33203125" bestFit="1" customWidth="1"/>
    <col min="2" max="2" width="5.5546875" bestFit="1" customWidth="1"/>
    <col min="3" max="3" width="19" bestFit="1" customWidth="1"/>
    <col min="4" max="4" width="10.5546875" bestFit="1" customWidth="1"/>
    <col min="5" max="5" width="14.6640625" bestFit="1" customWidth="1"/>
    <col min="6" max="6" width="13.109375" bestFit="1" customWidth="1"/>
    <col min="7" max="7" width="15.5546875" bestFit="1" customWidth="1"/>
    <col min="8" max="8" width="11.21875" bestFit="1" customWidth="1"/>
    <col min="9" max="9" width="16.109375" bestFit="1" customWidth="1"/>
    <col min="10" max="10" width="22.44140625" bestFit="1" customWidth="1"/>
    <col min="11" max="11" width="20.21875" bestFit="1" customWidth="1"/>
    <col min="14" max="14" width="60.21875" bestFit="1" customWidth="1"/>
  </cols>
  <sheetData>
    <row r="1" spans="1:14" ht="16.8" x14ac:dyDescent="0.3">
      <c r="A1" s="643" t="s">
        <v>8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</row>
    <row r="2" spans="1:14" ht="15.6" x14ac:dyDescent="0.3">
      <c r="A2" s="10" t="s">
        <v>341</v>
      </c>
      <c r="B2" s="10" t="s">
        <v>10</v>
      </c>
      <c r="C2" s="10" t="s">
        <v>236</v>
      </c>
      <c r="D2" s="10" t="s">
        <v>15</v>
      </c>
      <c r="E2" s="10" t="s">
        <v>238</v>
      </c>
      <c r="F2" s="10" t="s">
        <v>11</v>
      </c>
      <c r="G2" s="10" t="s">
        <v>225</v>
      </c>
      <c r="H2" s="10" t="s">
        <v>12</v>
      </c>
      <c r="I2" s="10" t="s">
        <v>245</v>
      </c>
      <c r="J2" s="10" t="s">
        <v>237</v>
      </c>
      <c r="K2" s="10" t="s">
        <v>251</v>
      </c>
    </row>
    <row r="3" spans="1:14" ht="15.6" x14ac:dyDescent="0.3">
      <c r="A3" s="258">
        <v>1</v>
      </c>
      <c r="B3" s="209">
        <v>2018</v>
      </c>
      <c r="C3" s="209">
        <v>71883</v>
      </c>
      <c r="D3" s="259">
        <v>6.6</v>
      </c>
      <c r="E3" s="31">
        <f t="shared" ref="E3:E28" si="0">C3*D3</f>
        <v>474427.8</v>
      </c>
      <c r="F3" s="260">
        <v>1134.5875000000001</v>
      </c>
      <c r="G3" s="13">
        <v>43191</v>
      </c>
      <c r="H3" s="89">
        <v>136.75120000000001</v>
      </c>
      <c r="I3" s="31">
        <v>20.486842105263161</v>
      </c>
      <c r="J3" s="219">
        <f>(E3*F3)/H3</f>
        <v>3936198.3772902908</v>
      </c>
      <c r="K3" s="267">
        <f>E3/I3</f>
        <v>23157.683236994217</v>
      </c>
    </row>
    <row r="4" spans="1:14" ht="15.6" x14ac:dyDescent="0.3">
      <c r="A4" s="258">
        <v>2</v>
      </c>
      <c r="B4" s="209">
        <v>2018</v>
      </c>
      <c r="C4" s="11">
        <v>104567</v>
      </c>
      <c r="D4" s="261">
        <v>6.8</v>
      </c>
      <c r="E4" s="31">
        <f>C4*D4</f>
        <v>711055.6</v>
      </c>
      <c r="F4" s="260">
        <v>1134.5875000000001</v>
      </c>
      <c r="G4" s="13">
        <v>43252</v>
      </c>
      <c r="H4" s="89">
        <v>144.80529999999999</v>
      </c>
      <c r="I4" s="31">
        <v>27.094999999999999</v>
      </c>
      <c r="J4" s="219">
        <f>(E4*F4)/H4</f>
        <v>5571307.096943276</v>
      </c>
      <c r="K4" s="267">
        <f t="shared" ref="K4:K28" si="1">E4/I4</f>
        <v>26243.055914375345</v>
      </c>
      <c r="L4" s="104"/>
      <c r="M4" s="231" t="s">
        <v>10</v>
      </c>
      <c r="N4" s="231" t="s">
        <v>553</v>
      </c>
    </row>
    <row r="5" spans="1:14" ht="15.6" x14ac:dyDescent="0.3">
      <c r="A5" s="262">
        <v>3</v>
      </c>
      <c r="B5" s="104">
        <v>2018</v>
      </c>
      <c r="C5" s="11">
        <v>103016</v>
      </c>
      <c r="D5" s="261">
        <v>7.8</v>
      </c>
      <c r="E5" s="31">
        <f t="shared" si="0"/>
        <v>803524.79999999993</v>
      </c>
      <c r="F5" s="260">
        <v>1134.5875000000001</v>
      </c>
      <c r="G5" s="13">
        <v>43344</v>
      </c>
      <c r="H5" s="89">
        <v>165.23830000000001</v>
      </c>
      <c r="I5" s="31">
        <v>39.164999999999999</v>
      </c>
      <c r="J5" s="219">
        <f>(E5*F5)/H5</f>
        <v>5517299.5245049112</v>
      </c>
      <c r="K5" s="267">
        <f t="shared" si="1"/>
        <v>20516.399846801989</v>
      </c>
      <c r="L5" s="104"/>
      <c r="M5" s="15">
        <v>2018</v>
      </c>
      <c r="N5" s="106">
        <f>SUM(J3:J5)</f>
        <v>15024804.998738479</v>
      </c>
    </row>
    <row r="6" spans="1:14" ht="15.6" x14ac:dyDescent="0.3">
      <c r="A6" s="262">
        <v>4</v>
      </c>
      <c r="B6" s="104">
        <v>2018</v>
      </c>
      <c r="C6" s="11">
        <v>100407</v>
      </c>
      <c r="D6" s="261">
        <v>8.6</v>
      </c>
      <c r="E6" s="31">
        <f t="shared" si="0"/>
        <v>863500.2</v>
      </c>
      <c r="F6" s="260">
        <v>1134.5875000000001</v>
      </c>
      <c r="G6" s="13">
        <v>43466</v>
      </c>
      <c r="H6" s="89">
        <v>189.61009999999999</v>
      </c>
      <c r="I6" s="31">
        <v>38.295454545454547</v>
      </c>
      <c r="J6" s="219">
        <f t="shared" ref="J6:J26" si="2">(E6*F6)/H6</f>
        <v>5167006.0464474205</v>
      </c>
      <c r="K6" s="267">
        <f t="shared" si="1"/>
        <v>22548.373175074183</v>
      </c>
      <c r="L6" s="104"/>
      <c r="M6" s="16">
        <v>2019</v>
      </c>
      <c r="N6" s="27">
        <f>SUM(J6:J11)</f>
        <v>36220922.917808935</v>
      </c>
    </row>
    <row r="7" spans="1:14" ht="15.6" x14ac:dyDescent="0.3">
      <c r="A7" s="262">
        <v>1</v>
      </c>
      <c r="B7" s="104">
        <v>2019</v>
      </c>
      <c r="C7" s="11">
        <v>100287</v>
      </c>
      <c r="D7" s="261">
        <v>9.5</v>
      </c>
      <c r="E7" s="31">
        <f t="shared" si="0"/>
        <v>952726.5</v>
      </c>
      <c r="F7" s="260">
        <v>1134.5875000000001</v>
      </c>
      <c r="G7" s="13">
        <v>43525</v>
      </c>
      <c r="H7" s="89">
        <v>205.9571</v>
      </c>
      <c r="I7" s="31">
        <v>42.489473684210523</v>
      </c>
      <c r="J7" s="219">
        <f>(E7*F7)/H7</f>
        <v>5248430.7548453063</v>
      </c>
      <c r="K7" s="267">
        <f t="shared" si="1"/>
        <v>22422.647714604238</v>
      </c>
      <c r="L7" s="104"/>
      <c r="M7" s="16">
        <v>2020</v>
      </c>
      <c r="N7" s="27">
        <f>SUM(J12:J16)</f>
        <v>33756083.712386593</v>
      </c>
    </row>
    <row r="8" spans="1:14" ht="15.6" x14ac:dyDescent="0.3">
      <c r="A8" s="262">
        <v>2</v>
      </c>
      <c r="B8" s="104">
        <v>2019</v>
      </c>
      <c r="C8" s="11">
        <v>109945</v>
      </c>
      <c r="D8" s="261">
        <v>12</v>
      </c>
      <c r="E8" s="31">
        <f t="shared" si="0"/>
        <v>1319340</v>
      </c>
      <c r="F8" s="260">
        <v>1134.5875000000001</v>
      </c>
      <c r="G8" s="13">
        <v>43617</v>
      </c>
      <c r="H8" s="89">
        <v>225.53700000000001</v>
      </c>
      <c r="I8" s="31">
        <v>44.744444444444447</v>
      </c>
      <c r="J8" s="219">
        <f t="shared" si="2"/>
        <v>6637078.0503864121</v>
      </c>
      <c r="K8" s="267">
        <f t="shared" si="1"/>
        <v>29486.118698783212</v>
      </c>
      <c r="L8" s="104"/>
      <c r="M8" s="16">
        <v>2021</v>
      </c>
      <c r="N8" s="27">
        <f>SUM(J17:J21)</f>
        <v>35408667.786303319</v>
      </c>
    </row>
    <row r="9" spans="1:14" ht="15.6" x14ac:dyDescent="0.3">
      <c r="A9" s="262">
        <v>3</v>
      </c>
      <c r="B9" s="104">
        <v>2019</v>
      </c>
      <c r="C9" s="11">
        <v>109800</v>
      </c>
      <c r="D9" s="261">
        <v>12.3</v>
      </c>
      <c r="E9" s="31">
        <f t="shared" si="0"/>
        <v>1350540</v>
      </c>
      <c r="F9" s="260">
        <v>1134.5875000000001</v>
      </c>
      <c r="G9" s="13">
        <v>43678</v>
      </c>
      <c r="H9" s="89">
        <v>239.60769999999999</v>
      </c>
      <c r="I9" s="31">
        <v>54.228571428571428</v>
      </c>
      <c r="J9" s="219">
        <f t="shared" si="2"/>
        <v>6395060.7691238653</v>
      </c>
      <c r="K9" s="267">
        <f t="shared" si="1"/>
        <v>24904.58377239199</v>
      </c>
      <c r="L9" s="104"/>
      <c r="M9" s="16">
        <v>2022</v>
      </c>
      <c r="N9" s="27">
        <f>SUM(J22:J26)</f>
        <v>39338401.368070334</v>
      </c>
    </row>
    <row r="10" spans="1:14" ht="15.6" x14ac:dyDescent="0.3">
      <c r="A10" s="262">
        <v>4</v>
      </c>
      <c r="B10" s="104">
        <v>2019</v>
      </c>
      <c r="C10" s="11">
        <v>108865</v>
      </c>
      <c r="D10" s="261">
        <v>12.5</v>
      </c>
      <c r="E10" s="31">
        <f t="shared" si="0"/>
        <v>1360812.5</v>
      </c>
      <c r="F10" s="260">
        <v>1134.5875000000001</v>
      </c>
      <c r="G10" s="13">
        <v>43739</v>
      </c>
      <c r="H10" s="89">
        <v>262.06610000000001</v>
      </c>
      <c r="I10" s="31">
        <v>60.815909090909088</v>
      </c>
      <c r="J10" s="219">
        <f t="shared" si="2"/>
        <v>5891493.9869893519</v>
      </c>
      <c r="K10" s="267">
        <f t="shared" si="1"/>
        <v>22375.929593781533</v>
      </c>
      <c r="L10" s="104"/>
      <c r="M10" s="17">
        <v>2023</v>
      </c>
      <c r="N10" s="111">
        <f>SUM(J27:J28)</f>
        <v>19853806.708928134</v>
      </c>
    </row>
    <row r="11" spans="1:14" ht="15.6" x14ac:dyDescent="0.3">
      <c r="A11" s="262">
        <v>5</v>
      </c>
      <c r="B11" s="104">
        <v>2019</v>
      </c>
      <c r="C11" s="11">
        <v>104196</v>
      </c>
      <c r="D11" s="261">
        <v>16.5</v>
      </c>
      <c r="E11" s="31">
        <f t="shared" si="0"/>
        <v>1719234</v>
      </c>
      <c r="F11" s="260">
        <v>1134.5875000000001</v>
      </c>
      <c r="G11" s="13">
        <v>43800</v>
      </c>
      <c r="H11" s="89">
        <v>283.44420000000002</v>
      </c>
      <c r="I11" s="31">
        <v>62.735294117647058</v>
      </c>
      <c r="J11" s="219">
        <f t="shared" si="2"/>
        <v>6881853.3100165743</v>
      </c>
      <c r="K11" s="267">
        <f t="shared" si="1"/>
        <v>27404.573839662447</v>
      </c>
      <c r="L11" s="104"/>
      <c r="M11" s="112"/>
      <c r="N11" s="112"/>
    </row>
    <row r="12" spans="1:14" ht="15.6" x14ac:dyDescent="0.3">
      <c r="A12" s="16">
        <v>6</v>
      </c>
      <c r="B12" s="11">
        <v>2019</v>
      </c>
      <c r="C12" s="11">
        <v>101756</v>
      </c>
      <c r="D12" s="261">
        <v>16.5</v>
      </c>
      <c r="E12" s="31">
        <f t="shared" si="0"/>
        <v>1678974</v>
      </c>
      <c r="F12" s="260">
        <v>1134.5875000000001</v>
      </c>
      <c r="G12" s="13">
        <v>43891</v>
      </c>
      <c r="H12" s="11">
        <v>305.55149999999998</v>
      </c>
      <c r="I12" s="31">
        <v>64.565789473684205</v>
      </c>
      <c r="J12" s="219">
        <f t="shared" si="2"/>
        <v>6234441.3731400445</v>
      </c>
      <c r="K12" s="267">
        <f t="shared" si="1"/>
        <v>26004.080701039333</v>
      </c>
      <c r="L12" s="104"/>
      <c r="M12" s="11"/>
      <c r="N12" s="31"/>
    </row>
    <row r="13" spans="1:14" ht="15.6" x14ac:dyDescent="0.3">
      <c r="A13" s="16">
        <v>1</v>
      </c>
      <c r="B13" s="11">
        <v>2020</v>
      </c>
      <c r="C13" s="11">
        <v>106860</v>
      </c>
      <c r="D13" s="31">
        <v>17.5</v>
      </c>
      <c r="E13" s="31">
        <f t="shared" si="0"/>
        <v>1870050</v>
      </c>
      <c r="F13" s="260">
        <v>1134.5875000000001</v>
      </c>
      <c r="G13" s="13">
        <v>43922</v>
      </c>
      <c r="H13" s="11">
        <v>310.12430000000001</v>
      </c>
      <c r="I13" s="31">
        <v>67.25</v>
      </c>
      <c r="J13" s="219">
        <f t="shared" si="2"/>
        <v>6841564.348150081</v>
      </c>
      <c r="K13" s="267">
        <f t="shared" si="1"/>
        <v>27807.434944237917</v>
      </c>
      <c r="L13" s="104"/>
      <c r="M13" s="11"/>
      <c r="N13" s="31"/>
    </row>
    <row r="14" spans="1:14" ht="15.6" x14ac:dyDescent="0.3">
      <c r="A14" s="16">
        <v>2</v>
      </c>
      <c r="B14" s="11">
        <v>2020</v>
      </c>
      <c r="C14" s="11">
        <v>108975</v>
      </c>
      <c r="D14" s="31">
        <v>18.5</v>
      </c>
      <c r="E14" s="31">
        <f t="shared" si="0"/>
        <v>2016037.5</v>
      </c>
      <c r="F14" s="260">
        <v>1134.5875000000001</v>
      </c>
      <c r="G14" s="13">
        <v>44013</v>
      </c>
      <c r="H14" s="11">
        <v>328.20139999999998</v>
      </c>
      <c r="I14" s="31">
        <v>75.05952380952381</v>
      </c>
      <c r="J14" s="219">
        <f t="shared" si="2"/>
        <v>6969412.5224062121</v>
      </c>
      <c r="K14" s="267">
        <f t="shared" si="1"/>
        <v>26859.183187946073</v>
      </c>
      <c r="L14" s="11"/>
      <c r="M14" s="11"/>
      <c r="N14" s="31"/>
    </row>
    <row r="15" spans="1:14" ht="15.6" x14ac:dyDescent="0.3">
      <c r="A15" s="16">
        <v>3</v>
      </c>
      <c r="B15" s="11">
        <v>2020</v>
      </c>
      <c r="C15" s="11">
        <v>108882</v>
      </c>
      <c r="D15" s="31">
        <v>19.5</v>
      </c>
      <c r="E15" s="31">
        <f t="shared" si="0"/>
        <v>2123199</v>
      </c>
      <c r="F15" s="260">
        <v>1134.5875000000001</v>
      </c>
      <c r="G15" s="13">
        <v>44075</v>
      </c>
      <c r="H15" s="11">
        <v>346.6207</v>
      </c>
      <c r="I15" s="31">
        <v>79.13636363636364</v>
      </c>
      <c r="J15" s="219">
        <f t="shared" si="2"/>
        <v>6949830.305612159</v>
      </c>
      <c r="K15" s="267">
        <f t="shared" si="1"/>
        <v>26829.62550258472</v>
      </c>
      <c r="L15" s="11"/>
      <c r="M15" s="11"/>
      <c r="N15" s="31"/>
    </row>
    <row r="16" spans="1:14" ht="15.6" x14ac:dyDescent="0.3">
      <c r="A16" s="16">
        <v>4</v>
      </c>
      <c r="B16" s="11">
        <v>2020</v>
      </c>
      <c r="C16" s="11">
        <v>109496</v>
      </c>
      <c r="D16" s="31">
        <v>21</v>
      </c>
      <c r="E16" s="31">
        <f t="shared" si="0"/>
        <v>2299416</v>
      </c>
      <c r="F16" s="260">
        <v>1134.5875000000001</v>
      </c>
      <c r="G16" s="13">
        <v>44166</v>
      </c>
      <c r="H16" s="11">
        <v>385.88260000000002</v>
      </c>
      <c r="I16" s="31">
        <v>87.75</v>
      </c>
      <c r="J16" s="219">
        <f t="shared" si="2"/>
        <v>6760835.1630780967</v>
      </c>
      <c r="K16" s="267">
        <f t="shared" si="1"/>
        <v>26204.170940170941</v>
      </c>
      <c r="L16" s="11"/>
      <c r="M16" s="11"/>
      <c r="N16" s="31"/>
    </row>
    <row r="17" spans="1:12" ht="15.6" x14ac:dyDescent="0.3">
      <c r="A17" s="16">
        <v>5</v>
      </c>
      <c r="B17" s="11">
        <v>2020</v>
      </c>
      <c r="C17" s="11">
        <v>103331</v>
      </c>
      <c r="D17" s="31">
        <v>23</v>
      </c>
      <c r="E17" s="31">
        <f t="shared" si="0"/>
        <v>2376613</v>
      </c>
      <c r="F17" s="260">
        <v>1134.5875000000001</v>
      </c>
      <c r="G17" s="13">
        <v>44228</v>
      </c>
      <c r="H17" s="11">
        <v>415.85950000000003</v>
      </c>
      <c r="I17" s="31">
        <v>93.527777777777771</v>
      </c>
      <c r="J17" s="219">
        <f t="shared" si="2"/>
        <v>6484101.9674613662</v>
      </c>
      <c r="K17" s="267">
        <f t="shared" si="1"/>
        <v>25410.77160677161</v>
      </c>
      <c r="L17" s="11"/>
    </row>
    <row r="18" spans="1:12" ht="15.6" x14ac:dyDescent="0.3">
      <c r="A18" s="16">
        <v>1</v>
      </c>
      <c r="B18" s="11">
        <v>2021</v>
      </c>
      <c r="C18" s="11">
        <v>105854</v>
      </c>
      <c r="D18" s="31">
        <v>27</v>
      </c>
      <c r="E18" s="31">
        <f t="shared" si="0"/>
        <v>2858058</v>
      </c>
      <c r="F18" s="260">
        <v>1134.5875000000001</v>
      </c>
      <c r="G18" s="13">
        <v>44287</v>
      </c>
      <c r="H18" s="11">
        <v>453.65030000000002</v>
      </c>
      <c r="I18" s="31">
        <v>98.2</v>
      </c>
      <c r="J18" s="219">
        <f t="shared" si="2"/>
        <v>7148054.0872010887</v>
      </c>
      <c r="K18" s="267">
        <f t="shared" si="1"/>
        <v>29104.460285132383</v>
      </c>
      <c r="L18" s="11"/>
    </row>
    <row r="19" spans="1:12" ht="15.6" x14ac:dyDescent="0.3">
      <c r="A19" s="16">
        <v>2</v>
      </c>
      <c r="B19" s="11">
        <v>2021</v>
      </c>
      <c r="C19" s="11">
        <v>109102</v>
      </c>
      <c r="D19" s="31">
        <v>30</v>
      </c>
      <c r="E19" s="31">
        <f t="shared" si="0"/>
        <v>3273060</v>
      </c>
      <c r="F19" s="260">
        <v>1134.5875000000001</v>
      </c>
      <c r="G19" s="13">
        <v>44378</v>
      </c>
      <c r="H19" s="11">
        <v>498.09870000000001</v>
      </c>
      <c r="I19" s="31">
        <v>101.3095238095238</v>
      </c>
      <c r="J19" s="219">
        <f t="shared" si="2"/>
        <v>7455496.1953323716</v>
      </c>
      <c r="K19" s="267">
        <f t="shared" si="1"/>
        <v>32307.525264394833</v>
      </c>
      <c r="L19" s="11"/>
    </row>
    <row r="20" spans="1:12" ht="15.6" x14ac:dyDescent="0.3">
      <c r="A20" s="16">
        <v>3</v>
      </c>
      <c r="B20" s="11">
        <v>2021</v>
      </c>
      <c r="C20" s="11">
        <v>105406</v>
      </c>
      <c r="D20" s="31">
        <v>31.5</v>
      </c>
      <c r="E20" s="31">
        <f t="shared" si="0"/>
        <v>3320289</v>
      </c>
      <c r="F20" s="260">
        <v>1134.5875000000001</v>
      </c>
      <c r="G20" s="13">
        <v>44440</v>
      </c>
      <c r="H20" s="11">
        <v>528.49680000000001</v>
      </c>
      <c r="I20" s="31">
        <v>103.4431818181818</v>
      </c>
      <c r="J20" s="219">
        <f t="shared" si="2"/>
        <v>7128062.829874278</v>
      </c>
      <c r="K20" s="267">
        <f t="shared" si="1"/>
        <v>32097.707568933325</v>
      </c>
      <c r="L20" s="11"/>
    </row>
    <row r="21" spans="1:12" ht="15.6" x14ac:dyDescent="0.3">
      <c r="A21" s="16">
        <v>4</v>
      </c>
      <c r="B21" s="11">
        <v>2021</v>
      </c>
      <c r="C21" s="11">
        <v>106151</v>
      </c>
      <c r="D21" s="31">
        <v>33.5</v>
      </c>
      <c r="E21" s="31">
        <f t="shared" si="0"/>
        <v>3556058.5</v>
      </c>
      <c r="F21" s="260">
        <v>1134.5875000000001</v>
      </c>
      <c r="G21" s="13">
        <v>44501</v>
      </c>
      <c r="H21" s="11">
        <v>560.91840000000002</v>
      </c>
      <c r="I21" s="31">
        <v>105.4285714285714</v>
      </c>
      <c r="J21" s="219">
        <f t="shared" si="2"/>
        <v>7192952.7064342154</v>
      </c>
      <c r="K21" s="267">
        <f t="shared" si="1"/>
        <v>33729.552168021692</v>
      </c>
      <c r="L21" s="11"/>
    </row>
    <row r="22" spans="1:12" ht="15.6" x14ac:dyDescent="0.3">
      <c r="A22" s="16">
        <v>5</v>
      </c>
      <c r="B22" s="11">
        <v>2021</v>
      </c>
      <c r="C22" s="11">
        <v>101070</v>
      </c>
      <c r="D22" s="31">
        <v>38.5</v>
      </c>
      <c r="E22" s="31">
        <f t="shared" si="0"/>
        <v>3891195</v>
      </c>
      <c r="F22" s="260">
        <v>1134.5875000000001</v>
      </c>
      <c r="G22" s="13">
        <v>44562</v>
      </c>
      <c r="H22" s="11">
        <v>605.0317</v>
      </c>
      <c r="I22" s="31">
        <v>108.96428571428569</v>
      </c>
      <c r="J22" s="219">
        <f t="shared" si="2"/>
        <v>7296975.029676131</v>
      </c>
      <c r="K22" s="267">
        <f t="shared" si="1"/>
        <v>35710.737463126847</v>
      </c>
      <c r="L22" s="11"/>
    </row>
    <row r="23" spans="1:12" ht="15.6" x14ac:dyDescent="0.3">
      <c r="A23" s="16">
        <v>1</v>
      </c>
      <c r="B23" s="11">
        <v>2022</v>
      </c>
      <c r="C23" s="11">
        <v>103797</v>
      </c>
      <c r="D23" s="31">
        <v>43</v>
      </c>
      <c r="E23" s="31">
        <f t="shared" si="0"/>
        <v>4463271</v>
      </c>
      <c r="F23" s="260">
        <v>1134.5875000000001</v>
      </c>
      <c r="G23" s="13">
        <v>44621</v>
      </c>
      <c r="H23" s="11">
        <v>676.0566</v>
      </c>
      <c r="I23" s="31">
        <v>114.5833333333333</v>
      </c>
      <c r="J23" s="219">
        <f t="shared" si="2"/>
        <v>7490454.9200651255</v>
      </c>
      <c r="K23" s="267">
        <f t="shared" si="1"/>
        <v>38952.183272727285</v>
      </c>
      <c r="L23" s="11"/>
    </row>
    <row r="24" spans="1:12" ht="15.6" x14ac:dyDescent="0.3">
      <c r="A24" s="16">
        <v>2</v>
      </c>
      <c r="B24" s="11">
        <v>2022</v>
      </c>
      <c r="C24" s="11">
        <v>109200</v>
      </c>
      <c r="D24" s="31">
        <v>50</v>
      </c>
      <c r="E24" s="31">
        <f t="shared" si="0"/>
        <v>5460000</v>
      </c>
      <c r="F24" s="260">
        <v>1134.5875000000001</v>
      </c>
      <c r="G24" s="13">
        <v>44713</v>
      </c>
      <c r="H24" s="11">
        <v>793.02779999999996</v>
      </c>
      <c r="I24" s="31">
        <v>127.675</v>
      </c>
      <c r="J24" s="219">
        <f t="shared" si="2"/>
        <v>7811640.0837398153</v>
      </c>
      <c r="K24" s="267">
        <f t="shared" si="1"/>
        <v>42764.832582729585</v>
      </c>
      <c r="L24" s="11"/>
    </row>
    <row r="25" spans="1:12" ht="15.6" x14ac:dyDescent="0.3">
      <c r="A25" s="16">
        <v>3</v>
      </c>
      <c r="B25" s="11">
        <v>2022</v>
      </c>
      <c r="C25" s="11">
        <v>105943</v>
      </c>
      <c r="D25" s="31">
        <v>65</v>
      </c>
      <c r="E25" s="31">
        <f t="shared" si="0"/>
        <v>6886295</v>
      </c>
      <c r="F25" s="260">
        <v>1134.5875000000001</v>
      </c>
      <c r="G25" s="13">
        <v>44774</v>
      </c>
      <c r="H25" s="11">
        <v>911.13160000000005</v>
      </c>
      <c r="I25" s="31">
        <v>141.64772727272731</v>
      </c>
      <c r="J25" s="219">
        <f t="shared" si="2"/>
        <v>8575165.4627196565</v>
      </c>
      <c r="K25" s="267">
        <f t="shared" si="1"/>
        <v>48615.64059366224</v>
      </c>
      <c r="L25" s="11"/>
    </row>
    <row r="26" spans="1:12" ht="15.6" x14ac:dyDescent="0.3">
      <c r="A26" s="16">
        <v>4</v>
      </c>
      <c r="B26" s="11">
        <v>2022</v>
      </c>
      <c r="C26" s="11">
        <v>101401</v>
      </c>
      <c r="D26" s="31">
        <v>73</v>
      </c>
      <c r="E26" s="31">
        <f t="shared" si="0"/>
        <v>7402273</v>
      </c>
      <c r="F26" s="260">
        <v>1134.5875000000001</v>
      </c>
      <c r="G26" s="13">
        <v>44835</v>
      </c>
      <c r="H26" s="11">
        <v>1028.7059999999999</v>
      </c>
      <c r="I26" s="31">
        <v>158.61842105263159</v>
      </c>
      <c r="J26" s="219">
        <f t="shared" si="2"/>
        <v>8164165.8718696125</v>
      </c>
      <c r="K26" s="267">
        <f t="shared" si="1"/>
        <v>46667.171132310243</v>
      </c>
      <c r="L26" s="11"/>
    </row>
    <row r="27" spans="1:12" ht="15.6" x14ac:dyDescent="0.3">
      <c r="A27" s="16">
        <v>5</v>
      </c>
      <c r="B27" s="11">
        <v>2022</v>
      </c>
      <c r="C27" s="263">
        <v>98229</v>
      </c>
      <c r="D27" s="31">
        <v>80</v>
      </c>
      <c r="E27" s="31">
        <f t="shared" si="0"/>
        <v>7858320</v>
      </c>
      <c r="F27" s="260">
        <v>1134.5875000000001</v>
      </c>
      <c r="G27" s="13">
        <v>44927</v>
      </c>
      <c r="H27" s="89">
        <v>1202.979</v>
      </c>
      <c r="I27" s="31">
        <v>189.02272727272728</v>
      </c>
      <c r="J27" s="219">
        <f>(E27*H27)/F27</f>
        <v>8332009.5940418877</v>
      </c>
      <c r="K27" s="267">
        <f t="shared" si="1"/>
        <v>41573.413490441264</v>
      </c>
      <c r="L27" s="11"/>
    </row>
    <row r="28" spans="1:12" ht="15.6" x14ac:dyDescent="0.3">
      <c r="A28" s="17">
        <v>6</v>
      </c>
      <c r="B28" s="143">
        <v>2022</v>
      </c>
      <c r="C28" s="143">
        <v>100690</v>
      </c>
      <c r="D28" s="158">
        <v>94</v>
      </c>
      <c r="E28" s="158">
        <f t="shared" si="0"/>
        <v>9464860</v>
      </c>
      <c r="F28" s="264">
        <v>1134.5875000000001</v>
      </c>
      <c r="G28" s="265">
        <v>44986</v>
      </c>
      <c r="H28" s="266">
        <v>1381.1601000000001</v>
      </c>
      <c r="I28" s="158">
        <v>209.75</v>
      </c>
      <c r="J28" s="220">
        <f>(E28*H28)/F28</f>
        <v>11521797.114886247</v>
      </c>
      <c r="K28" s="268">
        <f t="shared" si="1"/>
        <v>45124.481525625743</v>
      </c>
      <c r="L28" s="11"/>
    </row>
    <row r="29" spans="1:12" ht="15.6" x14ac:dyDescent="0.3">
      <c r="C29" s="11"/>
      <c r="D29" s="12"/>
      <c r="E29" s="105"/>
      <c r="F29" s="12"/>
    </row>
    <row r="30" spans="1:12" ht="15.6" x14ac:dyDescent="0.3">
      <c r="C30" s="11"/>
      <c r="D30" s="12"/>
      <c r="E30" s="105"/>
      <c r="F30" s="12"/>
    </row>
    <row r="31" spans="1:12" ht="15.6" x14ac:dyDescent="0.3">
      <c r="C31" s="11"/>
      <c r="D31" s="12"/>
      <c r="E31" s="105"/>
      <c r="F31" s="12"/>
      <c r="G31" s="13"/>
      <c r="H31" s="89"/>
      <c r="I31" s="89"/>
      <c r="J31" s="12"/>
    </row>
  </sheetData>
  <mergeCells count="1"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87A82-5082-4A72-9D76-45F3318417DE}">
  <dimension ref="A1:Z49"/>
  <sheetViews>
    <sheetView zoomScale="52" zoomScaleNormal="89" workbookViewId="0">
      <selection activeCell="H34" sqref="H34"/>
    </sheetView>
  </sheetViews>
  <sheetFormatPr baseColWidth="10" defaultRowHeight="14.4" x14ac:dyDescent="0.3"/>
  <cols>
    <col min="1" max="1" width="25.5546875" bestFit="1" customWidth="1"/>
    <col min="2" max="2" width="7.88671875" customWidth="1"/>
    <col min="3" max="3" width="13.109375" customWidth="1"/>
    <col min="4" max="4" width="15.109375" customWidth="1"/>
    <col min="5" max="5" width="14.109375" customWidth="1"/>
    <col min="6" max="6" width="7.77734375" customWidth="1"/>
    <col min="7" max="7" width="14.5546875" bestFit="1" customWidth="1"/>
    <col min="8" max="8" width="13.109375" bestFit="1" customWidth="1"/>
    <col min="9" max="9" width="10.6640625" bestFit="1" customWidth="1"/>
    <col min="10" max="10" width="11.77734375" bestFit="1" customWidth="1"/>
    <col min="11" max="11" width="14.44140625" bestFit="1" customWidth="1"/>
    <col min="12" max="12" width="17.109375" bestFit="1" customWidth="1"/>
    <col min="13" max="13" width="10.21875" bestFit="1" customWidth="1"/>
    <col min="14" max="14" width="31.6640625" bestFit="1" customWidth="1"/>
    <col min="15" max="15" width="18.77734375" bestFit="1" customWidth="1"/>
    <col min="16" max="16" width="15.77734375" bestFit="1" customWidth="1"/>
    <col min="17" max="17" width="19.33203125" bestFit="1" customWidth="1"/>
    <col min="18" max="18" width="13.88671875" bestFit="1" customWidth="1"/>
    <col min="19" max="19" width="44.77734375" bestFit="1" customWidth="1"/>
    <col min="21" max="21" width="44" customWidth="1"/>
    <col min="22" max="22" width="46.6640625" customWidth="1"/>
    <col min="23" max="23" width="27.33203125" customWidth="1"/>
    <col min="24" max="24" width="17.5546875" customWidth="1"/>
    <col min="25" max="25" width="27.44140625" customWidth="1"/>
    <col min="26" max="26" width="28.44140625" customWidth="1"/>
  </cols>
  <sheetData>
    <row r="1" spans="1:26" ht="16.8" x14ac:dyDescent="0.3">
      <c r="A1" s="643" t="s">
        <v>425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643"/>
      <c r="N1" s="643"/>
      <c r="O1" s="643"/>
      <c r="P1" s="643"/>
      <c r="Q1" s="643"/>
      <c r="R1" s="643"/>
      <c r="S1" s="643"/>
    </row>
    <row r="2" spans="1:26" ht="15.6" x14ac:dyDescent="0.3">
      <c r="A2" s="576" t="s">
        <v>243</v>
      </c>
      <c r="B2" s="231" t="s">
        <v>10</v>
      </c>
      <c r="C2" s="231" t="s">
        <v>358</v>
      </c>
      <c r="D2" s="231" t="s">
        <v>241</v>
      </c>
      <c r="E2" s="231" t="s">
        <v>242</v>
      </c>
      <c r="F2" s="231" t="s">
        <v>222</v>
      </c>
      <c r="G2" s="577" t="s">
        <v>4</v>
      </c>
      <c r="H2" s="231" t="s">
        <v>5</v>
      </c>
      <c r="I2" s="231" t="s">
        <v>6</v>
      </c>
      <c r="J2" s="10" t="s">
        <v>220</v>
      </c>
      <c r="K2" s="10" t="s">
        <v>221</v>
      </c>
      <c r="L2" s="10" t="s">
        <v>223</v>
      </c>
      <c r="M2" s="10" t="s">
        <v>7</v>
      </c>
      <c r="N2" s="10" t="s">
        <v>239</v>
      </c>
      <c r="O2" s="10" t="s">
        <v>224</v>
      </c>
      <c r="P2" s="10" t="s">
        <v>11</v>
      </c>
      <c r="Q2" s="10" t="s">
        <v>225</v>
      </c>
      <c r="R2" s="10" t="s">
        <v>12</v>
      </c>
      <c r="S2" s="10" t="s">
        <v>240</v>
      </c>
    </row>
    <row r="3" spans="1:26" ht="15.6" x14ac:dyDescent="0.3">
      <c r="A3" s="561">
        <v>1</v>
      </c>
      <c r="B3" s="578">
        <v>2018</v>
      </c>
      <c r="C3" s="578">
        <v>1</v>
      </c>
      <c r="D3" s="579">
        <v>43122</v>
      </c>
      <c r="E3" s="579">
        <v>43144</v>
      </c>
      <c r="F3" s="578">
        <v>48</v>
      </c>
      <c r="G3" s="578">
        <v>74436</v>
      </c>
      <c r="H3" s="578">
        <v>71883</v>
      </c>
      <c r="I3" s="580">
        <f>1-H3/G3</f>
        <v>3.4297920361115564E-2</v>
      </c>
      <c r="J3" s="209">
        <v>225540</v>
      </c>
      <c r="K3" s="581">
        <f>J3/H3</f>
        <v>3.137598597721297</v>
      </c>
      <c r="L3" s="209">
        <v>1.83</v>
      </c>
      <c r="M3" s="259">
        <v>6.6</v>
      </c>
      <c r="N3" s="259">
        <f t="shared" ref="N3:N26" si="0">(M3*P3)/R3</f>
        <v>54.758404313819547</v>
      </c>
      <c r="O3" s="582">
        <f>M3*H3</f>
        <v>474427.8</v>
      </c>
      <c r="P3" s="12">
        <v>1134.5875000000001</v>
      </c>
      <c r="Q3" s="13">
        <v>43191</v>
      </c>
      <c r="R3" s="89">
        <v>136.75120000000001</v>
      </c>
      <c r="S3" s="63">
        <f t="shared" ref="S3:S26" si="1">(O3*P3)/R3</f>
        <v>3936198.3772902908</v>
      </c>
    </row>
    <row r="4" spans="1:26" ht="16.8" x14ac:dyDescent="0.3">
      <c r="A4" s="263">
        <v>2</v>
      </c>
      <c r="B4" s="209">
        <v>2018</v>
      </c>
      <c r="C4" s="209">
        <v>2</v>
      </c>
      <c r="D4" s="583">
        <v>43199</v>
      </c>
      <c r="E4" s="583">
        <v>43248</v>
      </c>
      <c r="F4" s="11">
        <v>47</v>
      </c>
      <c r="G4" s="584">
        <v>109038</v>
      </c>
      <c r="H4" s="11">
        <v>104567</v>
      </c>
      <c r="I4" s="585">
        <f>1-H4/G4</f>
        <v>4.1004053632678561E-2</v>
      </c>
      <c r="J4" s="586">
        <v>345140</v>
      </c>
      <c r="K4" s="172">
        <f>J4/H4</f>
        <v>3.3006589076859814</v>
      </c>
      <c r="L4" s="586">
        <v>1.9</v>
      </c>
      <c r="M4" s="587">
        <v>6.8</v>
      </c>
      <c r="N4" s="259">
        <f t="shared" si="0"/>
        <v>53.279783267601402</v>
      </c>
      <c r="O4" s="582">
        <f t="shared" ref="O4:O28" si="2">M4*H4</f>
        <v>711055.6</v>
      </c>
      <c r="P4" s="12">
        <v>1134.5875000000001</v>
      </c>
      <c r="Q4" s="13">
        <v>43252</v>
      </c>
      <c r="R4" s="89">
        <v>144.80529999999999</v>
      </c>
      <c r="S4" s="63">
        <f t="shared" si="1"/>
        <v>5571307.096943276</v>
      </c>
      <c r="T4" s="645"/>
      <c r="U4" s="647" t="s">
        <v>550</v>
      </c>
      <c r="V4" s="648"/>
    </row>
    <row r="5" spans="1:26" ht="15.6" x14ac:dyDescent="0.3">
      <c r="A5" s="263">
        <v>3</v>
      </c>
      <c r="B5" s="104">
        <v>2018</v>
      </c>
      <c r="C5" s="104">
        <v>3</v>
      </c>
      <c r="D5" s="583">
        <v>43269</v>
      </c>
      <c r="E5" s="583">
        <v>43318</v>
      </c>
      <c r="F5" s="263">
        <v>47</v>
      </c>
      <c r="G5" s="588">
        <v>107372</v>
      </c>
      <c r="H5" s="11">
        <v>103016</v>
      </c>
      <c r="I5" s="585">
        <f t="shared" ref="I5:I11" si="3">1-H5/G5</f>
        <v>4.0569235927429892E-2</v>
      </c>
      <c r="J5" s="586">
        <v>345300</v>
      </c>
      <c r="K5" s="172">
        <f t="shared" ref="K5:K11" si="4">J5/H5</f>
        <v>3.3519064999611712</v>
      </c>
      <c r="L5" s="586">
        <v>1.85</v>
      </c>
      <c r="M5" s="587">
        <v>7.8</v>
      </c>
      <c r="N5" s="259">
        <f t="shared" si="0"/>
        <v>53.557695159052109</v>
      </c>
      <c r="O5" s="582">
        <f t="shared" si="2"/>
        <v>803524.79999999993</v>
      </c>
      <c r="P5" s="12">
        <v>1134.5875000000001</v>
      </c>
      <c r="Q5" s="13">
        <v>43344</v>
      </c>
      <c r="R5" s="89">
        <v>165.23830000000001</v>
      </c>
      <c r="S5" s="63">
        <f t="shared" si="1"/>
        <v>5517299.5245049112</v>
      </c>
      <c r="T5" s="646"/>
      <c r="U5" s="84" t="s">
        <v>229</v>
      </c>
      <c r="V5" s="84" t="s">
        <v>230</v>
      </c>
    </row>
    <row r="6" spans="1:26" ht="15.6" x14ac:dyDescent="0.3">
      <c r="A6" s="11">
        <v>4</v>
      </c>
      <c r="B6" s="104">
        <v>2018</v>
      </c>
      <c r="C6" s="104">
        <v>4</v>
      </c>
      <c r="D6" s="583">
        <v>43405</v>
      </c>
      <c r="E6" s="583">
        <v>43453</v>
      </c>
      <c r="F6" s="263">
        <v>46</v>
      </c>
      <c r="G6" s="588">
        <v>104043</v>
      </c>
      <c r="H6" s="11">
        <v>100407</v>
      </c>
      <c r="I6" s="585">
        <f t="shared" si="3"/>
        <v>3.4947089184279578E-2</v>
      </c>
      <c r="J6" s="586">
        <v>320260</v>
      </c>
      <c r="K6" s="172">
        <f t="shared" si="4"/>
        <v>3.1896182537074109</v>
      </c>
      <c r="L6" s="586">
        <v>1.87</v>
      </c>
      <c r="M6" s="587">
        <v>8.6</v>
      </c>
      <c r="N6" s="259">
        <f t="shared" si="0"/>
        <v>51.460615758337781</v>
      </c>
      <c r="O6" s="582">
        <f t="shared" si="2"/>
        <v>863500.2</v>
      </c>
      <c r="P6" s="12">
        <v>1134.5875000000001</v>
      </c>
      <c r="Q6" s="13">
        <v>43466</v>
      </c>
      <c r="R6" s="89">
        <v>189.61009999999999</v>
      </c>
      <c r="S6" s="63">
        <f t="shared" si="1"/>
        <v>5167006.0464474205</v>
      </c>
      <c r="T6" s="86">
        <v>2018</v>
      </c>
      <c r="U6" s="94">
        <f>AVERAGE(N3:N6)</f>
        <v>53.26412462470271</v>
      </c>
      <c r="V6" s="85" t="s">
        <v>9</v>
      </c>
    </row>
    <row r="7" spans="1:26" ht="15.6" x14ac:dyDescent="0.3">
      <c r="A7" s="263">
        <v>5</v>
      </c>
      <c r="B7" s="104">
        <v>2019</v>
      </c>
      <c r="C7" s="104">
        <v>1</v>
      </c>
      <c r="D7" s="583">
        <v>43476</v>
      </c>
      <c r="E7" s="583">
        <v>43524</v>
      </c>
      <c r="F7" s="263">
        <v>47</v>
      </c>
      <c r="G7" s="588">
        <v>103993</v>
      </c>
      <c r="H7" s="11">
        <v>100287</v>
      </c>
      <c r="I7" s="585">
        <f t="shared" si="3"/>
        <v>3.563701402979047E-2</v>
      </c>
      <c r="J7" s="586">
        <v>298420</v>
      </c>
      <c r="K7" s="172">
        <f t="shared" si="4"/>
        <v>2.9756598562126695</v>
      </c>
      <c r="L7" s="586">
        <v>1.8169999999999999</v>
      </c>
      <c r="M7" s="587">
        <v>9.5</v>
      </c>
      <c r="N7" s="259">
        <f t="shared" si="0"/>
        <v>52.334108656608592</v>
      </c>
      <c r="O7" s="582">
        <f t="shared" si="2"/>
        <v>952726.5</v>
      </c>
      <c r="P7" s="12">
        <v>1134.5875000000001</v>
      </c>
      <c r="Q7" s="13">
        <v>43525</v>
      </c>
      <c r="R7" s="89">
        <v>205.9571</v>
      </c>
      <c r="S7" s="63">
        <f t="shared" si="1"/>
        <v>5248430.7548453063</v>
      </c>
      <c r="T7" s="87">
        <v>2019</v>
      </c>
      <c r="U7" s="94">
        <f>AVERAGE(N7:N12)</f>
        <v>58.729556397888452</v>
      </c>
      <c r="V7" s="96">
        <f>((U7-U6)/U6)*100</f>
        <v>10.260999897576458</v>
      </c>
    </row>
    <row r="8" spans="1:26" ht="15.6" x14ac:dyDescent="0.3">
      <c r="A8" s="263">
        <v>6</v>
      </c>
      <c r="B8" s="104">
        <v>2019</v>
      </c>
      <c r="C8" s="104">
        <v>2</v>
      </c>
      <c r="D8" s="583">
        <v>43542</v>
      </c>
      <c r="E8" s="583">
        <v>43592</v>
      </c>
      <c r="F8" s="263">
        <v>48</v>
      </c>
      <c r="G8" s="584">
        <v>113742</v>
      </c>
      <c r="H8" s="11">
        <v>109945</v>
      </c>
      <c r="I8" s="585">
        <f t="shared" si="3"/>
        <v>3.3382567565191423E-2</v>
      </c>
      <c r="J8" s="586">
        <v>347880</v>
      </c>
      <c r="K8" s="172">
        <f t="shared" si="4"/>
        <v>3.1641275183046069</v>
      </c>
      <c r="L8" s="586">
        <v>1.85</v>
      </c>
      <c r="M8" s="587">
        <v>12</v>
      </c>
      <c r="N8" s="259">
        <f t="shared" si="0"/>
        <v>60.367256813737882</v>
      </c>
      <c r="O8" s="582">
        <f t="shared" si="2"/>
        <v>1319340</v>
      </c>
      <c r="P8" s="12">
        <v>1134.5875000000001</v>
      </c>
      <c r="Q8" s="13">
        <v>43617</v>
      </c>
      <c r="R8" s="89">
        <v>225.53700000000001</v>
      </c>
      <c r="S8" s="63">
        <f t="shared" si="1"/>
        <v>6637078.0503864121</v>
      </c>
      <c r="T8" s="87">
        <v>2020</v>
      </c>
      <c r="U8" s="94">
        <f>AVERAGE(N13:N17)</f>
        <v>63.260539873490053</v>
      </c>
      <c r="V8" s="96">
        <f>((U8-U7)/U7)*100</f>
        <v>7.7149969342600171</v>
      </c>
    </row>
    <row r="9" spans="1:26" ht="15.6" x14ac:dyDescent="0.3">
      <c r="A9" s="11">
        <v>7</v>
      </c>
      <c r="B9" s="104">
        <v>2019</v>
      </c>
      <c r="C9" s="104">
        <v>3</v>
      </c>
      <c r="D9" s="583">
        <v>43608</v>
      </c>
      <c r="E9" s="583">
        <v>43660</v>
      </c>
      <c r="F9" s="263">
        <v>51</v>
      </c>
      <c r="G9" s="588">
        <v>113020</v>
      </c>
      <c r="H9" s="11">
        <v>109800</v>
      </c>
      <c r="I9" s="585">
        <f t="shared" si="3"/>
        <v>2.8490532649088629E-2</v>
      </c>
      <c r="J9" s="586">
        <v>366520</v>
      </c>
      <c r="K9" s="172">
        <f t="shared" si="4"/>
        <v>3.3380692167577415</v>
      </c>
      <c r="L9" s="586">
        <v>1.9139999999999999</v>
      </c>
      <c r="M9" s="587">
        <v>12.3</v>
      </c>
      <c r="N9" s="259">
        <f t="shared" si="0"/>
        <v>58.242812104953231</v>
      </c>
      <c r="O9" s="582">
        <f t="shared" si="2"/>
        <v>1350540</v>
      </c>
      <c r="P9" s="12">
        <v>1134.5875000000001</v>
      </c>
      <c r="Q9" s="13">
        <v>43678</v>
      </c>
      <c r="R9" s="89">
        <v>239.60769999999999</v>
      </c>
      <c r="S9" s="63">
        <f t="shared" si="1"/>
        <v>6395060.7691238653</v>
      </c>
      <c r="T9" s="87">
        <v>2021</v>
      </c>
      <c r="U9" s="94">
        <f>AVERAGE(N18:N22)</f>
        <v>68.689233829922571</v>
      </c>
      <c r="V9" s="96">
        <f>((U9-U8)/U8)*100</f>
        <v>8.5814853418718062</v>
      </c>
    </row>
    <row r="10" spans="1:26" ht="15.6" x14ac:dyDescent="0.3">
      <c r="A10" s="263">
        <v>8</v>
      </c>
      <c r="B10" s="104">
        <v>2019</v>
      </c>
      <c r="C10" s="104">
        <v>4</v>
      </c>
      <c r="D10" s="583">
        <v>43678</v>
      </c>
      <c r="E10" s="583">
        <v>43728</v>
      </c>
      <c r="F10" s="263">
        <v>48</v>
      </c>
      <c r="G10" s="588">
        <v>114302</v>
      </c>
      <c r="H10" s="11">
        <v>108865</v>
      </c>
      <c r="I10" s="585">
        <f t="shared" si="3"/>
        <v>4.7566971706531791E-2</v>
      </c>
      <c r="J10" s="263">
        <v>340160</v>
      </c>
      <c r="K10" s="172">
        <f t="shared" si="4"/>
        <v>3.1246038671749417</v>
      </c>
      <c r="L10" s="586">
        <v>1.907</v>
      </c>
      <c r="M10" s="587">
        <v>12.5</v>
      </c>
      <c r="N10" s="259">
        <f t="shared" si="0"/>
        <v>54.11742972479081</v>
      </c>
      <c r="O10" s="582">
        <f t="shared" si="2"/>
        <v>1360812.5</v>
      </c>
      <c r="P10" s="12">
        <v>1134.5875000000001</v>
      </c>
      <c r="Q10" s="13">
        <v>43739</v>
      </c>
      <c r="R10" s="89">
        <v>262.06610000000001</v>
      </c>
      <c r="S10" s="63">
        <f t="shared" si="1"/>
        <v>5891493.9869893519</v>
      </c>
      <c r="T10" s="88">
        <v>2022</v>
      </c>
      <c r="U10" s="95">
        <f>AVERAGE(N23:N28)</f>
        <v>84.067553127222013</v>
      </c>
      <c r="V10" s="97">
        <f>((U10-U9)/U9)*100</f>
        <v>22.388252772445831</v>
      </c>
    </row>
    <row r="11" spans="1:26" ht="15.6" x14ac:dyDescent="0.3">
      <c r="A11" s="263">
        <v>9</v>
      </c>
      <c r="B11" s="104">
        <v>2019</v>
      </c>
      <c r="C11" s="104">
        <v>5</v>
      </c>
      <c r="D11" s="583">
        <v>43746</v>
      </c>
      <c r="E11" s="583">
        <v>43795</v>
      </c>
      <c r="F11" s="263">
        <v>47</v>
      </c>
      <c r="G11" s="588">
        <v>108378</v>
      </c>
      <c r="H11" s="11">
        <v>104196</v>
      </c>
      <c r="I11" s="585">
        <f t="shared" si="3"/>
        <v>3.8587167137241862E-2</v>
      </c>
      <c r="J11" s="586">
        <v>331900</v>
      </c>
      <c r="K11" s="172">
        <f t="shared" si="4"/>
        <v>3.1853430074091138</v>
      </c>
      <c r="L11" s="586">
        <v>1.89</v>
      </c>
      <c r="M11" s="587">
        <v>16.5</v>
      </c>
      <c r="N11" s="259">
        <f t="shared" si="0"/>
        <v>66.047192886642236</v>
      </c>
      <c r="O11" s="582">
        <f t="shared" si="2"/>
        <v>1719234</v>
      </c>
      <c r="P11" s="12">
        <v>1134.5875000000001</v>
      </c>
      <c r="Q11" s="13">
        <v>43800</v>
      </c>
      <c r="R11" s="89">
        <v>283.44420000000002</v>
      </c>
      <c r="S11" s="63">
        <f t="shared" si="1"/>
        <v>6881853.3100165743</v>
      </c>
      <c r="V11" s="90"/>
    </row>
    <row r="12" spans="1:26" ht="16.8" x14ac:dyDescent="0.3">
      <c r="A12" s="11">
        <v>10</v>
      </c>
      <c r="B12" s="11">
        <v>2019</v>
      </c>
      <c r="C12" s="11">
        <v>6</v>
      </c>
      <c r="D12" s="583">
        <v>43811</v>
      </c>
      <c r="E12" s="583">
        <v>43862</v>
      </c>
      <c r="F12" s="11">
        <v>50</v>
      </c>
      <c r="G12" s="584">
        <v>107956</v>
      </c>
      <c r="H12" s="11">
        <v>101756</v>
      </c>
      <c r="I12" s="585">
        <f>1-H12/G12</f>
        <v>5.7430805142835939E-2</v>
      </c>
      <c r="J12" s="586">
        <v>328680</v>
      </c>
      <c r="K12" s="589">
        <f>J12/H12</f>
        <v>3.2300797987342271</v>
      </c>
      <c r="L12" s="586">
        <v>1.9770000000000001</v>
      </c>
      <c r="M12" s="587">
        <v>16.5</v>
      </c>
      <c r="N12" s="259">
        <f t="shared" si="0"/>
        <v>61.268538200597945</v>
      </c>
      <c r="O12" s="582">
        <f t="shared" si="2"/>
        <v>1678974</v>
      </c>
      <c r="P12" s="12">
        <v>1134.5875000000001</v>
      </c>
      <c r="Q12" s="13">
        <v>43891</v>
      </c>
      <c r="R12" s="11">
        <v>305.55149999999998</v>
      </c>
      <c r="S12" s="63">
        <f t="shared" si="1"/>
        <v>6234441.3731400445</v>
      </c>
      <c r="Y12" s="654"/>
      <c r="Z12" s="654"/>
    </row>
    <row r="13" spans="1:26" ht="16.8" x14ac:dyDescent="0.3">
      <c r="A13" s="263">
        <v>11</v>
      </c>
      <c r="B13" s="11">
        <v>2020</v>
      </c>
      <c r="C13" s="11">
        <v>1</v>
      </c>
      <c r="D13" s="583">
        <v>43868</v>
      </c>
      <c r="E13" s="583">
        <v>43919</v>
      </c>
      <c r="F13" s="11">
        <v>49</v>
      </c>
      <c r="G13" s="584">
        <v>110678</v>
      </c>
      <c r="H13" s="11">
        <v>106860</v>
      </c>
      <c r="I13" s="585">
        <f>1-H13/G13</f>
        <v>3.4496467229259697E-2</v>
      </c>
      <c r="J13" s="11">
        <v>345309</v>
      </c>
      <c r="K13" s="589">
        <f>J13/H13</f>
        <v>3.2314149354295338</v>
      </c>
      <c r="L13" s="11">
        <v>1.835</v>
      </c>
      <c r="M13" s="31">
        <v>17.5</v>
      </c>
      <c r="N13" s="259">
        <f t="shared" si="0"/>
        <v>64.02362294731499</v>
      </c>
      <c r="O13" s="582">
        <f t="shared" si="2"/>
        <v>1870050</v>
      </c>
      <c r="P13" s="12">
        <v>1134.5875000000001</v>
      </c>
      <c r="Q13" s="13">
        <v>43922</v>
      </c>
      <c r="R13" s="11">
        <v>310.12430000000001</v>
      </c>
      <c r="S13" s="63">
        <f t="shared" si="1"/>
        <v>6841564.348150081</v>
      </c>
      <c r="T13" s="645"/>
      <c r="U13" s="647" t="s">
        <v>551</v>
      </c>
      <c r="V13" s="648"/>
      <c r="X13" s="9"/>
      <c r="Y13" s="112"/>
      <c r="Z13" s="112"/>
    </row>
    <row r="14" spans="1:26" ht="15.6" x14ac:dyDescent="0.3">
      <c r="A14" s="263">
        <v>12</v>
      </c>
      <c r="B14" s="11">
        <v>2020</v>
      </c>
      <c r="C14" s="11">
        <v>2</v>
      </c>
      <c r="D14" s="583">
        <v>43941</v>
      </c>
      <c r="E14" s="583">
        <v>43990</v>
      </c>
      <c r="F14" s="11">
        <v>47</v>
      </c>
      <c r="G14" s="584">
        <v>113991</v>
      </c>
      <c r="H14" s="11">
        <v>108975</v>
      </c>
      <c r="I14" s="585">
        <f t="shared" ref="I14:I27" si="5">1-H14/G14</f>
        <v>4.4003473958470374E-2</v>
      </c>
      <c r="J14" s="11">
        <v>340780</v>
      </c>
      <c r="K14" s="589">
        <f t="shared" ref="K14:K28" si="6">J14/H14</f>
        <v>3.1271392521220465</v>
      </c>
      <c r="L14" s="11">
        <v>1.8759999999999999</v>
      </c>
      <c r="M14" s="31">
        <v>18.5</v>
      </c>
      <c r="N14" s="259">
        <f t="shared" si="0"/>
        <v>63.954232827769786</v>
      </c>
      <c r="O14" s="582">
        <f t="shared" si="2"/>
        <v>2016037.5</v>
      </c>
      <c r="P14" s="12">
        <v>1134.5875000000001</v>
      </c>
      <c r="Q14" s="13">
        <v>44013</v>
      </c>
      <c r="R14" s="11">
        <v>328.20139999999998</v>
      </c>
      <c r="S14" s="63">
        <f t="shared" si="1"/>
        <v>6969412.5224062121</v>
      </c>
      <c r="T14" s="649"/>
      <c r="U14" s="86" t="s">
        <v>229</v>
      </c>
      <c r="V14" s="86" t="s">
        <v>230</v>
      </c>
      <c r="X14" s="9"/>
      <c r="Y14" s="31"/>
      <c r="Z14" s="31"/>
    </row>
    <row r="15" spans="1:26" ht="15.6" x14ac:dyDescent="0.3">
      <c r="A15" s="11">
        <v>13</v>
      </c>
      <c r="B15" s="11">
        <v>2020</v>
      </c>
      <c r="C15" s="11">
        <v>3</v>
      </c>
      <c r="D15" s="583">
        <v>44012</v>
      </c>
      <c r="E15" s="583">
        <v>44061</v>
      </c>
      <c r="F15" s="11">
        <v>47</v>
      </c>
      <c r="G15" s="584">
        <v>114053</v>
      </c>
      <c r="H15" s="11">
        <v>108882</v>
      </c>
      <c r="I15" s="585">
        <f t="shared" si="5"/>
        <v>4.5338570664515632E-2</v>
      </c>
      <c r="J15" s="11">
        <v>337500</v>
      </c>
      <c r="K15" s="589">
        <f t="shared" si="6"/>
        <v>3.0996858984956193</v>
      </c>
      <c r="L15" s="11">
        <v>1.861</v>
      </c>
      <c r="M15" s="31">
        <v>19.5</v>
      </c>
      <c r="N15" s="259">
        <f t="shared" si="0"/>
        <v>63.82901035627706</v>
      </c>
      <c r="O15" s="582">
        <f t="shared" si="2"/>
        <v>2123199</v>
      </c>
      <c r="P15" s="12">
        <v>1134.5875000000001</v>
      </c>
      <c r="Q15" s="13">
        <v>44075</v>
      </c>
      <c r="R15" s="11">
        <v>346.6207</v>
      </c>
      <c r="S15" s="63">
        <f t="shared" si="1"/>
        <v>6949830.305612159</v>
      </c>
      <c r="T15" s="413">
        <v>2018</v>
      </c>
      <c r="U15" s="85">
        <f>AVERAGE(N3:N5)</f>
        <v>53.865294246824355</v>
      </c>
      <c r="V15" s="91" t="s">
        <v>9</v>
      </c>
      <c r="X15" s="112"/>
      <c r="Y15" s="31"/>
      <c r="Z15" s="90"/>
    </row>
    <row r="16" spans="1:26" ht="15.6" x14ac:dyDescent="0.3">
      <c r="A16" s="263">
        <v>14</v>
      </c>
      <c r="B16" s="11">
        <v>2020</v>
      </c>
      <c r="C16" s="11">
        <v>4</v>
      </c>
      <c r="D16" s="583">
        <v>44088</v>
      </c>
      <c r="E16" s="583">
        <v>44138</v>
      </c>
      <c r="F16" s="11">
        <v>49</v>
      </c>
      <c r="G16" s="584">
        <v>114644</v>
      </c>
      <c r="H16" s="11">
        <v>109496</v>
      </c>
      <c r="I16" s="585">
        <f t="shared" si="5"/>
        <v>4.49042252538292E-2</v>
      </c>
      <c r="J16" s="11">
        <v>362620</v>
      </c>
      <c r="K16" s="589">
        <f t="shared" si="6"/>
        <v>3.3117191495579745</v>
      </c>
      <c r="L16" s="11">
        <v>1.87</v>
      </c>
      <c r="M16" s="31">
        <v>21</v>
      </c>
      <c r="N16" s="259">
        <f t="shared" si="0"/>
        <v>61.745042404088707</v>
      </c>
      <c r="O16" s="582">
        <f t="shared" si="2"/>
        <v>2299416</v>
      </c>
      <c r="P16" s="12">
        <v>1134.5875000000001</v>
      </c>
      <c r="Q16" s="13">
        <v>44166</v>
      </c>
      <c r="R16" s="11">
        <v>385.88260000000002</v>
      </c>
      <c r="S16" s="63">
        <f t="shared" si="1"/>
        <v>6760835.1630780967</v>
      </c>
      <c r="T16" s="245">
        <v>2019</v>
      </c>
      <c r="U16" s="247">
        <f>AVERAGE(N6:N11)</f>
        <v>57.094902657511746</v>
      </c>
      <c r="V16" s="414">
        <f>((U16-U15)/U15)*100</f>
        <v>5.9957129276756769</v>
      </c>
      <c r="W16" s="84" t="s">
        <v>552</v>
      </c>
      <c r="X16" s="112"/>
      <c r="Y16" s="31"/>
      <c r="Z16" s="90"/>
    </row>
    <row r="17" spans="1:26" ht="15.6" x14ac:dyDescent="0.3">
      <c r="A17" s="263">
        <v>15</v>
      </c>
      <c r="B17" s="11">
        <v>2020</v>
      </c>
      <c r="C17" s="11">
        <v>5</v>
      </c>
      <c r="D17" s="583">
        <v>44161</v>
      </c>
      <c r="E17" s="583">
        <v>44215</v>
      </c>
      <c r="F17" s="11">
        <v>54</v>
      </c>
      <c r="G17" s="584">
        <v>110080</v>
      </c>
      <c r="H17" s="11">
        <v>103331</v>
      </c>
      <c r="I17" s="585">
        <f t="shared" si="5"/>
        <v>6.1309956395348864E-2</v>
      </c>
      <c r="J17" s="11">
        <v>350580</v>
      </c>
      <c r="K17" s="589">
        <f t="shared" si="6"/>
        <v>3.3927862887226485</v>
      </c>
      <c r="L17" s="11">
        <v>2.0350000000000001</v>
      </c>
      <c r="M17" s="31">
        <v>23</v>
      </c>
      <c r="N17" s="259">
        <f t="shared" si="0"/>
        <v>62.750790831999751</v>
      </c>
      <c r="O17" s="582">
        <f t="shared" si="2"/>
        <v>2376613</v>
      </c>
      <c r="P17" s="12">
        <v>1134.5875000000001</v>
      </c>
      <c r="Q17" s="13">
        <v>44228</v>
      </c>
      <c r="R17" s="11">
        <v>415.85950000000003</v>
      </c>
      <c r="S17" s="63">
        <f t="shared" si="1"/>
        <v>6484101.9674613662</v>
      </c>
      <c r="T17" s="245">
        <v>2020</v>
      </c>
      <c r="U17" s="247">
        <f>AVERAGE(N12:N16)</f>
        <v>62.964089347209701</v>
      </c>
      <c r="V17" s="414">
        <f>((U17-U16)/U16)*100</f>
        <v>10.279703470036077</v>
      </c>
      <c r="W17" s="655">
        <f>AVERAGE(V16:V19)</f>
        <v>9.1430526413406312</v>
      </c>
      <c r="X17" s="112"/>
      <c r="Y17" s="31"/>
      <c r="Z17" s="90"/>
    </row>
    <row r="18" spans="1:26" ht="15.6" x14ac:dyDescent="0.3">
      <c r="A18" s="11">
        <v>16</v>
      </c>
      <c r="B18" s="11">
        <v>2021</v>
      </c>
      <c r="C18" s="11">
        <v>1</v>
      </c>
      <c r="D18" s="583">
        <v>44229</v>
      </c>
      <c r="E18" s="583">
        <v>44280</v>
      </c>
      <c r="F18" s="11">
        <v>49</v>
      </c>
      <c r="G18" s="584">
        <v>110110</v>
      </c>
      <c r="H18" s="11">
        <v>105854</v>
      </c>
      <c r="I18" s="585">
        <f t="shared" si="5"/>
        <v>3.8652256834075027E-2</v>
      </c>
      <c r="J18" s="11">
        <v>361660</v>
      </c>
      <c r="K18" s="589">
        <f t="shared" si="6"/>
        <v>3.4165926653692824</v>
      </c>
      <c r="L18" s="11">
        <v>1.8520000000000001</v>
      </c>
      <c r="M18" s="31">
        <v>27</v>
      </c>
      <c r="N18" s="259">
        <f t="shared" si="0"/>
        <v>67.527482071542778</v>
      </c>
      <c r="O18" s="582">
        <f t="shared" si="2"/>
        <v>2858058</v>
      </c>
      <c r="P18" s="12">
        <v>1134.5875000000001</v>
      </c>
      <c r="Q18" s="13">
        <v>44287</v>
      </c>
      <c r="R18" s="11">
        <v>453.65030000000002</v>
      </c>
      <c r="S18" s="63">
        <f t="shared" si="1"/>
        <v>7148054.0872010887</v>
      </c>
      <c r="T18" s="245">
        <v>2021</v>
      </c>
      <c r="U18" s="247">
        <f>AVERAGE(N17:N21)</f>
        <v>66.799944030207683</v>
      </c>
      <c r="V18" s="414">
        <f>((U18-U17)/U17)*100</f>
        <v>6.092130804664726</v>
      </c>
      <c r="W18" s="655"/>
      <c r="X18" s="112"/>
      <c r="Y18" s="31"/>
      <c r="Z18" s="90"/>
    </row>
    <row r="19" spans="1:26" ht="15.6" x14ac:dyDescent="0.3">
      <c r="A19" s="263">
        <v>17</v>
      </c>
      <c r="B19" s="11">
        <v>2021</v>
      </c>
      <c r="C19" s="11">
        <v>2</v>
      </c>
      <c r="D19" s="583">
        <v>44302</v>
      </c>
      <c r="E19" s="583">
        <v>44352</v>
      </c>
      <c r="F19" s="11">
        <v>48</v>
      </c>
      <c r="G19" s="584">
        <v>114155</v>
      </c>
      <c r="H19" s="11">
        <v>109102</v>
      </c>
      <c r="I19" s="585">
        <f t="shared" si="5"/>
        <v>4.4264377381630249E-2</v>
      </c>
      <c r="J19" s="11">
        <v>339180</v>
      </c>
      <c r="K19" s="589">
        <f t="shared" si="6"/>
        <v>3.1088339352165861</v>
      </c>
      <c r="L19" s="11">
        <v>1.863</v>
      </c>
      <c r="M19" s="31">
        <v>30</v>
      </c>
      <c r="N19" s="259">
        <f t="shared" si="0"/>
        <v>68.335101055272773</v>
      </c>
      <c r="O19" s="582">
        <f t="shared" si="2"/>
        <v>3273060</v>
      </c>
      <c r="P19" s="12">
        <v>1134.5875000000001</v>
      </c>
      <c r="Q19" s="13">
        <v>44378</v>
      </c>
      <c r="R19" s="11">
        <v>498.09870000000001</v>
      </c>
      <c r="S19" s="63">
        <f t="shared" si="1"/>
        <v>7455496.1953323716</v>
      </c>
      <c r="T19" s="245">
        <v>2022</v>
      </c>
      <c r="U19" s="247">
        <f>AVERAGE(N23:N26)</f>
        <v>76.288651206361777</v>
      </c>
      <c r="V19" s="414">
        <f>((U19-U18)/U18)*100</f>
        <v>14.204663362986045</v>
      </c>
      <c r="W19" s="656"/>
      <c r="X19" s="112"/>
      <c r="Y19" s="29"/>
      <c r="Z19" s="90"/>
    </row>
    <row r="20" spans="1:26" ht="15.6" x14ac:dyDescent="0.3">
      <c r="A20" s="263">
        <v>18</v>
      </c>
      <c r="B20" s="11">
        <v>2021</v>
      </c>
      <c r="C20" s="11">
        <v>3</v>
      </c>
      <c r="D20" s="583">
        <v>44371</v>
      </c>
      <c r="E20" s="583">
        <v>44421</v>
      </c>
      <c r="F20" s="11">
        <v>49</v>
      </c>
      <c r="G20" s="584">
        <v>114183</v>
      </c>
      <c r="H20" s="11">
        <v>105406</v>
      </c>
      <c r="I20" s="585">
        <f t="shared" si="5"/>
        <v>7.6867834966676263E-2</v>
      </c>
      <c r="J20" s="11">
        <v>325520</v>
      </c>
      <c r="K20" s="589">
        <f t="shared" si="6"/>
        <v>3.0882492457734854</v>
      </c>
      <c r="L20" s="11">
        <v>1.962</v>
      </c>
      <c r="M20" s="31">
        <v>31.5</v>
      </c>
      <c r="N20" s="259">
        <f t="shared" si="0"/>
        <v>67.624829989509877</v>
      </c>
      <c r="O20" s="582">
        <f t="shared" si="2"/>
        <v>3320289</v>
      </c>
      <c r="P20" s="12">
        <v>1134.5875000000001</v>
      </c>
      <c r="Q20" s="13">
        <v>44440</v>
      </c>
      <c r="R20" s="11">
        <v>528.49680000000001</v>
      </c>
      <c r="S20" s="63">
        <f t="shared" si="1"/>
        <v>7128062.829874278</v>
      </c>
      <c r="T20" s="415">
        <v>2023</v>
      </c>
      <c r="U20" s="385">
        <f>AVERAGE(N27:N28)</f>
        <v>99.625356968942455</v>
      </c>
      <c r="V20" s="416">
        <f>((U20-U19)/U19)*100</f>
        <v>30.590009645674023</v>
      </c>
      <c r="X20" s="112"/>
    </row>
    <row r="21" spans="1:26" ht="15.6" x14ac:dyDescent="0.3">
      <c r="A21" s="11">
        <v>19</v>
      </c>
      <c r="B21" s="11">
        <v>2021</v>
      </c>
      <c r="C21" s="11">
        <v>4</v>
      </c>
      <c r="D21" s="583">
        <v>44438</v>
      </c>
      <c r="E21" s="583">
        <v>44486</v>
      </c>
      <c r="F21" s="11">
        <v>48</v>
      </c>
      <c r="G21" s="584">
        <v>114015</v>
      </c>
      <c r="H21" s="11">
        <v>106151</v>
      </c>
      <c r="I21" s="585">
        <f t="shared" si="5"/>
        <v>6.8973380695522502E-2</v>
      </c>
      <c r="J21" s="11">
        <v>352700</v>
      </c>
      <c r="K21" s="589">
        <f t="shared" si="6"/>
        <v>3.3226253167657394</v>
      </c>
      <c r="L21" s="11">
        <v>1.847</v>
      </c>
      <c r="M21" s="31">
        <v>33.5</v>
      </c>
      <c r="N21" s="259">
        <f t="shared" si="0"/>
        <v>67.761516202713267</v>
      </c>
      <c r="O21" s="582">
        <f t="shared" si="2"/>
        <v>3556058.5</v>
      </c>
      <c r="P21" s="12">
        <v>1134.5875000000001</v>
      </c>
      <c r="Q21" s="13">
        <v>44501</v>
      </c>
      <c r="R21" s="11">
        <v>560.91840000000002</v>
      </c>
      <c r="S21" s="63">
        <f t="shared" si="1"/>
        <v>7192952.7064342154</v>
      </c>
    </row>
    <row r="22" spans="1:26" ht="16.8" x14ac:dyDescent="0.3">
      <c r="A22" s="263">
        <v>20</v>
      </c>
      <c r="B22" s="11">
        <v>2021</v>
      </c>
      <c r="C22" s="11">
        <v>5</v>
      </c>
      <c r="D22" s="583">
        <v>44504</v>
      </c>
      <c r="E22" s="583">
        <v>44555</v>
      </c>
      <c r="F22" s="11">
        <v>50</v>
      </c>
      <c r="G22" s="584">
        <v>110010</v>
      </c>
      <c r="H22" s="11">
        <v>101070</v>
      </c>
      <c r="I22" s="585">
        <f t="shared" si="5"/>
        <v>8.1265339514589585E-2</v>
      </c>
      <c r="J22" s="11">
        <v>348760</v>
      </c>
      <c r="K22" s="589">
        <f t="shared" si="6"/>
        <v>3.4506777480953796</v>
      </c>
      <c r="L22" s="11">
        <v>1.86</v>
      </c>
      <c r="M22" s="31">
        <v>38.5</v>
      </c>
      <c r="N22" s="259">
        <f t="shared" si="0"/>
        <v>72.197239830574162</v>
      </c>
      <c r="O22" s="582">
        <f t="shared" si="2"/>
        <v>3891195</v>
      </c>
      <c r="P22" s="12">
        <v>1134.5875000000001</v>
      </c>
      <c r="Q22" s="13">
        <v>44562</v>
      </c>
      <c r="R22" s="11">
        <v>605.0317</v>
      </c>
      <c r="S22" s="63">
        <f t="shared" si="1"/>
        <v>7296975.029676131</v>
      </c>
      <c r="U22" s="640" t="s">
        <v>342</v>
      </c>
      <c r="V22" s="641"/>
      <c r="W22" s="641"/>
      <c r="X22" s="642"/>
      <c r="Z22" s="412"/>
    </row>
    <row r="23" spans="1:26" ht="15.6" x14ac:dyDescent="0.3">
      <c r="A23" s="263">
        <v>21</v>
      </c>
      <c r="B23" s="11">
        <v>2022</v>
      </c>
      <c r="C23" s="11">
        <v>1</v>
      </c>
      <c r="D23" s="583">
        <v>44567</v>
      </c>
      <c r="E23" s="583">
        <v>44616</v>
      </c>
      <c r="F23" s="11">
        <v>47</v>
      </c>
      <c r="G23" s="584">
        <v>110226</v>
      </c>
      <c r="H23" s="11">
        <v>103797</v>
      </c>
      <c r="I23" s="585">
        <f t="shared" si="5"/>
        <v>5.8325621904087965E-2</v>
      </c>
      <c r="J23" s="11">
        <v>334480</v>
      </c>
      <c r="K23" s="589">
        <f t="shared" si="6"/>
        <v>3.2224438085879168</v>
      </c>
      <c r="L23" s="11">
        <v>1.794</v>
      </c>
      <c r="M23" s="31">
        <v>43</v>
      </c>
      <c r="N23" s="259">
        <f t="shared" si="0"/>
        <v>72.164464484186681</v>
      </c>
      <c r="O23" s="582">
        <f t="shared" si="2"/>
        <v>4463271</v>
      </c>
      <c r="P23" s="12">
        <v>1134.5875000000001</v>
      </c>
      <c r="Q23" s="13">
        <v>44621</v>
      </c>
      <c r="R23" s="11">
        <v>676.0566</v>
      </c>
      <c r="S23" s="63">
        <f t="shared" si="1"/>
        <v>7490454.9200651255</v>
      </c>
      <c r="U23" s="108" t="s">
        <v>10</v>
      </c>
      <c r="V23" s="108" t="s">
        <v>343</v>
      </c>
      <c r="W23" s="171" t="s">
        <v>241</v>
      </c>
      <c r="X23" s="171" t="s">
        <v>242</v>
      </c>
    </row>
    <row r="24" spans="1:26" ht="15.6" x14ac:dyDescent="0.3">
      <c r="A24" s="11">
        <v>22</v>
      </c>
      <c r="B24" s="11">
        <v>2022</v>
      </c>
      <c r="C24" s="11">
        <v>2</v>
      </c>
      <c r="D24" s="583">
        <v>44638</v>
      </c>
      <c r="E24" s="583">
        <v>44687</v>
      </c>
      <c r="F24" s="11">
        <v>47</v>
      </c>
      <c r="G24" s="584">
        <v>115333</v>
      </c>
      <c r="H24" s="11">
        <v>109200</v>
      </c>
      <c r="I24" s="585">
        <f t="shared" si="5"/>
        <v>5.317645426720885E-2</v>
      </c>
      <c r="J24" s="11">
        <v>345019</v>
      </c>
      <c r="K24" s="589">
        <f t="shared" si="6"/>
        <v>3.1595146520146522</v>
      </c>
      <c r="L24" s="11">
        <v>1.792</v>
      </c>
      <c r="M24" s="31">
        <v>50</v>
      </c>
      <c r="N24" s="259">
        <f t="shared" si="0"/>
        <v>71.535165602012952</v>
      </c>
      <c r="O24" s="582">
        <f t="shared" si="2"/>
        <v>5460000</v>
      </c>
      <c r="P24" s="12">
        <v>1134.5875000000001</v>
      </c>
      <c r="Q24" s="13">
        <v>44713</v>
      </c>
      <c r="R24" s="11">
        <v>793.02779999999996</v>
      </c>
      <c r="S24" s="63">
        <f t="shared" si="1"/>
        <v>7811640.0837398153</v>
      </c>
      <c r="U24" s="650">
        <v>2018</v>
      </c>
      <c r="V24" s="653">
        <v>4</v>
      </c>
      <c r="W24" s="602">
        <f>D3</f>
        <v>43122</v>
      </c>
      <c r="X24" s="603">
        <f>E3</f>
        <v>43144</v>
      </c>
    </row>
    <row r="25" spans="1:26" ht="15.6" x14ac:dyDescent="0.3">
      <c r="A25" s="263">
        <v>23</v>
      </c>
      <c r="B25" s="11">
        <v>2022</v>
      </c>
      <c r="C25" s="11">
        <v>3</v>
      </c>
      <c r="D25" s="583">
        <v>44714</v>
      </c>
      <c r="E25" s="583">
        <v>44763</v>
      </c>
      <c r="F25" s="11">
        <v>48</v>
      </c>
      <c r="G25" s="584">
        <v>115839</v>
      </c>
      <c r="H25" s="11">
        <v>105943</v>
      </c>
      <c r="I25" s="585">
        <f t="shared" si="5"/>
        <v>8.542891426894228E-2</v>
      </c>
      <c r="J25" s="11">
        <v>326550</v>
      </c>
      <c r="K25" s="589">
        <f t="shared" si="6"/>
        <v>3.0823178501647113</v>
      </c>
      <c r="L25" s="11">
        <v>1.8640000000000001</v>
      </c>
      <c r="M25" s="31">
        <v>65</v>
      </c>
      <c r="N25" s="259">
        <f t="shared" si="0"/>
        <v>80.941312429510731</v>
      </c>
      <c r="O25" s="582">
        <f t="shared" si="2"/>
        <v>6886295</v>
      </c>
      <c r="P25" s="12">
        <v>1134.5875000000001</v>
      </c>
      <c r="Q25" s="13">
        <v>44774</v>
      </c>
      <c r="R25" s="11">
        <v>911.13160000000005</v>
      </c>
      <c r="S25" s="63">
        <f t="shared" si="1"/>
        <v>8575165.4627196565</v>
      </c>
      <c r="U25" s="651"/>
      <c r="V25" s="653"/>
      <c r="W25" s="604">
        <f t="shared" ref="W25:W33" si="7">D4</f>
        <v>43199</v>
      </c>
      <c r="X25" s="605">
        <f t="shared" ref="X25:X49" si="8">E4</f>
        <v>43248</v>
      </c>
    </row>
    <row r="26" spans="1:26" ht="15.6" x14ac:dyDescent="0.3">
      <c r="A26" s="263">
        <v>24</v>
      </c>
      <c r="B26" s="11">
        <v>2022</v>
      </c>
      <c r="C26" s="11">
        <v>4</v>
      </c>
      <c r="D26" s="583">
        <v>44784</v>
      </c>
      <c r="E26" s="583">
        <v>44832</v>
      </c>
      <c r="F26" s="11">
        <v>46</v>
      </c>
      <c r="G26" s="584">
        <v>115496</v>
      </c>
      <c r="H26" s="11">
        <v>101401</v>
      </c>
      <c r="I26" s="585">
        <f t="shared" si="5"/>
        <v>0.12203885848860563</v>
      </c>
      <c r="J26" s="11">
        <v>324000</v>
      </c>
      <c r="K26" s="589">
        <f t="shared" si="6"/>
        <v>3.1952347609984124</v>
      </c>
      <c r="L26" s="11">
        <v>1.829</v>
      </c>
      <c r="M26" s="31">
        <v>73</v>
      </c>
      <c r="N26" s="259">
        <f t="shared" si="0"/>
        <v>80.513662309736716</v>
      </c>
      <c r="O26" s="582">
        <f t="shared" si="2"/>
        <v>7402273</v>
      </c>
      <c r="P26" s="12">
        <v>1134.5875000000001</v>
      </c>
      <c r="Q26" s="13">
        <v>44835</v>
      </c>
      <c r="R26" s="11">
        <v>1028.7059999999999</v>
      </c>
      <c r="S26" s="63">
        <f t="shared" si="1"/>
        <v>8164165.8718696125</v>
      </c>
      <c r="U26" s="651"/>
      <c r="V26" s="653"/>
      <c r="W26" s="604">
        <f t="shared" si="7"/>
        <v>43269</v>
      </c>
      <c r="X26" s="605">
        <f t="shared" si="8"/>
        <v>43318</v>
      </c>
    </row>
    <row r="27" spans="1:26" ht="15.6" x14ac:dyDescent="0.3">
      <c r="A27" s="11">
        <v>25</v>
      </c>
      <c r="B27" s="11">
        <v>2022</v>
      </c>
      <c r="C27" s="11">
        <v>5</v>
      </c>
      <c r="D27" s="583">
        <v>44851</v>
      </c>
      <c r="E27" s="583">
        <v>44899</v>
      </c>
      <c r="F27" s="11">
        <v>46</v>
      </c>
      <c r="G27" s="584">
        <v>111800</v>
      </c>
      <c r="H27" s="263">
        <v>98229</v>
      </c>
      <c r="I27" s="585">
        <f t="shared" si="5"/>
        <v>0.12138640429338099</v>
      </c>
      <c r="J27" s="11">
        <v>306438</v>
      </c>
      <c r="K27" s="589">
        <f t="shared" si="6"/>
        <v>3.1196286229117676</v>
      </c>
      <c r="L27" s="11">
        <v>1.845</v>
      </c>
      <c r="M27" s="31">
        <v>80</v>
      </c>
      <c r="N27" s="259">
        <f>(M27*R27)/P27</f>
        <v>84.822298853107412</v>
      </c>
      <c r="O27" s="582">
        <f t="shared" si="2"/>
        <v>7858320</v>
      </c>
      <c r="P27" s="12">
        <v>1134.5875000000001</v>
      </c>
      <c r="Q27" s="13">
        <v>44927</v>
      </c>
      <c r="R27" s="89">
        <v>1202.979</v>
      </c>
      <c r="S27" s="63">
        <f>(O27*R27)/P27</f>
        <v>8332009.5940418877</v>
      </c>
      <c r="U27" s="652"/>
      <c r="V27" s="653"/>
      <c r="W27" s="606">
        <f t="shared" si="7"/>
        <v>43405</v>
      </c>
      <c r="X27" s="605">
        <f t="shared" si="8"/>
        <v>43453</v>
      </c>
    </row>
    <row r="28" spans="1:26" ht="15.6" x14ac:dyDescent="0.3">
      <c r="A28" s="11">
        <v>26</v>
      </c>
      <c r="B28" s="11">
        <v>2022</v>
      </c>
      <c r="C28" s="11">
        <v>6</v>
      </c>
      <c r="D28" s="583">
        <v>44917</v>
      </c>
      <c r="E28" s="583">
        <v>44968</v>
      </c>
      <c r="F28" s="11">
        <v>50</v>
      </c>
      <c r="G28" s="11">
        <v>112830</v>
      </c>
      <c r="H28" s="11">
        <v>100690</v>
      </c>
      <c r="I28" s="585">
        <f>1-H28/G28</f>
        <v>0.10759549765133392</v>
      </c>
      <c r="J28" s="11">
        <v>315279</v>
      </c>
      <c r="K28" s="589">
        <f t="shared" si="6"/>
        <v>3.1311848247095044</v>
      </c>
      <c r="L28" s="11">
        <v>1.946</v>
      </c>
      <c r="M28" s="31">
        <v>94</v>
      </c>
      <c r="N28" s="259">
        <f>(M28*R28)/P28</f>
        <v>114.4284150847775</v>
      </c>
      <c r="O28" s="582">
        <f t="shared" si="2"/>
        <v>9464860</v>
      </c>
      <c r="P28" s="12">
        <v>1134.5875000000001</v>
      </c>
      <c r="Q28" s="13">
        <v>44986</v>
      </c>
      <c r="R28" s="89">
        <v>1381.1601000000001</v>
      </c>
      <c r="S28" s="63">
        <f>(O28*R28)/P28</f>
        <v>11521797.114886247</v>
      </c>
      <c r="U28" s="650">
        <v>2019</v>
      </c>
      <c r="V28" s="653">
        <v>6</v>
      </c>
      <c r="W28" s="602">
        <f t="shared" si="7"/>
        <v>43476</v>
      </c>
      <c r="X28" s="602">
        <f t="shared" si="8"/>
        <v>43524</v>
      </c>
    </row>
    <row r="29" spans="1:26" ht="15.6" x14ac:dyDescent="0.3">
      <c r="D29" s="170"/>
      <c r="E29" s="170"/>
      <c r="U29" s="651"/>
      <c r="V29" s="653"/>
      <c r="W29" s="604">
        <f t="shared" si="7"/>
        <v>43542</v>
      </c>
      <c r="X29" s="604">
        <f t="shared" si="8"/>
        <v>43592</v>
      </c>
    </row>
    <row r="30" spans="1:26" ht="16.2" x14ac:dyDescent="0.35">
      <c r="E30" s="590" t="s">
        <v>219</v>
      </c>
      <c r="F30" s="591">
        <f>AVERAGE(F3:F28)</f>
        <v>48.192307692307693</v>
      </c>
      <c r="G30" s="591">
        <f>AVERAGE(G3:G28)</f>
        <v>110143.19230769231</v>
      </c>
      <c r="H30" s="591">
        <f t="shared" ref="H30:M30" si="9">AVERAGE(H3:H28)</f>
        <v>103811.88461538461</v>
      </c>
      <c r="I30" s="592">
        <f>AVERAGE(I3:I28)</f>
        <v>5.6920807350140788E-2</v>
      </c>
      <c r="J30" s="591">
        <f t="shared" si="9"/>
        <v>333314.42307692306</v>
      </c>
      <c r="K30" s="593">
        <f t="shared" si="9"/>
        <v>3.2099120953309392</v>
      </c>
      <c r="L30" s="594">
        <f t="shared" si="9"/>
        <v>1.8744615384615384</v>
      </c>
      <c r="M30" s="595">
        <f t="shared" si="9"/>
        <v>29.773076923076925</v>
      </c>
      <c r="N30" s="572">
        <f>AVERAGE(N3:N28)</f>
        <v>66.522616314097561</v>
      </c>
      <c r="O30" s="4"/>
      <c r="R30" s="6"/>
      <c r="S30" s="109">
        <f>AVERAGE(S3:S28)</f>
        <v>6907795.6727783</v>
      </c>
      <c r="U30" s="651"/>
      <c r="V30" s="653"/>
      <c r="W30" s="604">
        <f t="shared" si="7"/>
        <v>43608</v>
      </c>
      <c r="X30" s="604">
        <f t="shared" si="8"/>
        <v>43660</v>
      </c>
    </row>
    <row r="31" spans="1:26" ht="16.2" x14ac:dyDescent="0.35">
      <c r="E31" s="596" t="s">
        <v>216</v>
      </c>
      <c r="F31" s="584">
        <f>MAX(F3:F28)</f>
        <v>54</v>
      </c>
      <c r="G31" s="584">
        <f>MAX(G3:G28)</f>
        <v>115839</v>
      </c>
      <c r="H31" s="584">
        <f t="shared" ref="H31:M31" si="10">MAX(H3:H28)</f>
        <v>109945</v>
      </c>
      <c r="I31" s="585">
        <f t="shared" si="10"/>
        <v>0.12203885848860563</v>
      </c>
      <c r="J31" s="584">
        <f t="shared" si="10"/>
        <v>366520</v>
      </c>
      <c r="K31" s="172">
        <f t="shared" si="10"/>
        <v>3.4506777480953796</v>
      </c>
      <c r="L31" s="597">
        <f t="shared" si="10"/>
        <v>2.0350000000000001</v>
      </c>
      <c r="M31" s="260">
        <f t="shared" si="10"/>
        <v>94</v>
      </c>
      <c r="N31" s="31">
        <f>MAX(N3:N28)</f>
        <v>114.4284150847775</v>
      </c>
      <c r="O31" s="4"/>
      <c r="R31" s="6"/>
      <c r="S31" s="110">
        <f>MAX(S3:S28)</f>
        <v>11521797.114886247</v>
      </c>
      <c r="U31" s="651"/>
      <c r="V31" s="653"/>
      <c r="W31" s="604">
        <f t="shared" si="7"/>
        <v>43678</v>
      </c>
      <c r="X31" s="604">
        <f t="shared" si="8"/>
        <v>43728</v>
      </c>
    </row>
    <row r="32" spans="1:26" ht="16.2" x14ac:dyDescent="0.35">
      <c r="E32" s="596" t="s">
        <v>217</v>
      </c>
      <c r="F32" s="584">
        <f>MIN(F3:F28)</f>
        <v>46</v>
      </c>
      <c r="G32" s="584">
        <f>MIN(G3:G28)</f>
        <v>74436</v>
      </c>
      <c r="H32" s="584">
        <f t="shared" ref="H32:N32" si="11">MIN(H3:H28)</f>
        <v>71883</v>
      </c>
      <c r="I32" s="585">
        <f t="shared" si="11"/>
        <v>2.8490532649088629E-2</v>
      </c>
      <c r="J32" s="584">
        <f>MIN(J3:J28)</f>
        <v>225540</v>
      </c>
      <c r="K32" s="172">
        <f>MIN(K3:K28)</f>
        <v>2.9756598562126695</v>
      </c>
      <c r="L32" s="597">
        <f t="shared" si="11"/>
        <v>1.792</v>
      </c>
      <c r="M32" s="260">
        <f t="shared" si="11"/>
        <v>6.6</v>
      </c>
      <c r="N32" s="31">
        <f t="shared" si="11"/>
        <v>51.460615758337781</v>
      </c>
      <c r="O32" s="4"/>
      <c r="R32" s="6"/>
      <c r="S32" s="110">
        <f>MIN(S3:S28)</f>
        <v>3936198.3772902908</v>
      </c>
      <c r="U32" s="651"/>
      <c r="V32" s="653"/>
      <c r="W32" s="604">
        <f t="shared" si="7"/>
        <v>43746</v>
      </c>
      <c r="X32" s="604">
        <f t="shared" si="8"/>
        <v>43795</v>
      </c>
    </row>
    <row r="33" spans="5:24" ht="16.2" x14ac:dyDescent="0.35">
      <c r="E33" s="598">
        <v>2022</v>
      </c>
      <c r="F33" s="599">
        <f>AVERAGE(F23:F28)</f>
        <v>47.333333333333336</v>
      </c>
      <c r="G33" s="599">
        <f>SUM(G23:G28)</f>
        <v>681524</v>
      </c>
      <c r="H33" s="599">
        <f>SUM(G22:G26)</f>
        <v>566904</v>
      </c>
      <c r="I33" s="600">
        <f>1-H33/G33</f>
        <v>0.16818189821635043</v>
      </c>
      <c r="J33" s="599">
        <f>SUM(J23:J28)</f>
        <v>1951766</v>
      </c>
      <c r="K33" s="164">
        <f>J33/H33</f>
        <v>3.4428509941718528</v>
      </c>
      <c r="L33" s="601">
        <f>AVERAGE(L23:L28)</f>
        <v>1.845</v>
      </c>
      <c r="M33" s="264">
        <f>AVERAGE(M23:M28)</f>
        <v>67.5</v>
      </c>
      <c r="N33" s="158">
        <f>AVERAGE(N22:N26)</f>
        <v>75.470368931204263</v>
      </c>
      <c r="O33" s="4"/>
      <c r="R33" s="6"/>
      <c r="S33" s="111">
        <f>AVERAGE(S23:S28)</f>
        <v>8649205.5078870561</v>
      </c>
      <c r="U33" s="652"/>
      <c r="V33" s="653"/>
      <c r="W33" s="606">
        <f t="shared" si="7"/>
        <v>43811</v>
      </c>
      <c r="X33" s="606">
        <f t="shared" si="8"/>
        <v>43862</v>
      </c>
    </row>
    <row r="34" spans="5:24" ht="15.6" x14ac:dyDescent="0.3">
      <c r="I34" s="242"/>
      <c r="U34" s="644">
        <v>2020</v>
      </c>
      <c r="V34" s="644">
        <v>5</v>
      </c>
      <c r="W34" s="607">
        <f t="shared" ref="W34:W49" si="12">D13</f>
        <v>43868</v>
      </c>
      <c r="X34" s="602">
        <f t="shared" si="8"/>
        <v>43919</v>
      </c>
    </row>
    <row r="35" spans="5:24" ht="15.6" x14ac:dyDescent="0.3">
      <c r="U35" s="644"/>
      <c r="V35" s="644"/>
      <c r="W35" s="608">
        <f t="shared" si="12"/>
        <v>43941</v>
      </c>
      <c r="X35" s="604">
        <f t="shared" si="8"/>
        <v>43990</v>
      </c>
    </row>
    <row r="36" spans="5:24" ht="15.6" x14ac:dyDescent="0.3">
      <c r="U36" s="644"/>
      <c r="V36" s="644"/>
      <c r="W36" s="608">
        <f t="shared" si="12"/>
        <v>44012</v>
      </c>
      <c r="X36" s="604">
        <f t="shared" si="8"/>
        <v>44061</v>
      </c>
    </row>
    <row r="37" spans="5:24" ht="15.6" x14ac:dyDescent="0.3">
      <c r="U37" s="644"/>
      <c r="V37" s="644"/>
      <c r="W37" s="608">
        <f t="shared" si="12"/>
        <v>44088</v>
      </c>
      <c r="X37" s="604">
        <f t="shared" si="8"/>
        <v>44138</v>
      </c>
    </row>
    <row r="38" spans="5:24" ht="15.6" x14ac:dyDescent="0.3">
      <c r="U38" s="644"/>
      <c r="V38" s="644"/>
      <c r="W38" s="609">
        <f t="shared" si="12"/>
        <v>44161</v>
      </c>
      <c r="X38" s="606">
        <f t="shared" si="8"/>
        <v>44215</v>
      </c>
    </row>
    <row r="39" spans="5:24" ht="15.6" x14ac:dyDescent="0.3">
      <c r="U39" s="644">
        <v>2021</v>
      </c>
      <c r="V39" s="644">
        <v>5</v>
      </c>
      <c r="W39" s="607">
        <f t="shared" si="12"/>
        <v>44229</v>
      </c>
      <c r="X39" s="602">
        <f t="shared" si="8"/>
        <v>44280</v>
      </c>
    </row>
    <row r="40" spans="5:24" ht="15.6" x14ac:dyDescent="0.3">
      <c r="U40" s="644"/>
      <c r="V40" s="644"/>
      <c r="W40" s="608">
        <f t="shared" si="12"/>
        <v>44302</v>
      </c>
      <c r="X40" s="604">
        <f t="shared" si="8"/>
        <v>44352</v>
      </c>
    </row>
    <row r="41" spans="5:24" ht="15.6" x14ac:dyDescent="0.3">
      <c r="U41" s="644"/>
      <c r="V41" s="644"/>
      <c r="W41" s="608">
        <f t="shared" si="12"/>
        <v>44371</v>
      </c>
      <c r="X41" s="604">
        <f t="shared" si="8"/>
        <v>44421</v>
      </c>
    </row>
    <row r="42" spans="5:24" ht="15.6" x14ac:dyDescent="0.3">
      <c r="U42" s="644"/>
      <c r="V42" s="644"/>
      <c r="W42" s="608">
        <f t="shared" si="12"/>
        <v>44438</v>
      </c>
      <c r="X42" s="604">
        <f t="shared" si="8"/>
        <v>44486</v>
      </c>
    </row>
    <row r="43" spans="5:24" ht="15.6" x14ac:dyDescent="0.3">
      <c r="U43" s="644"/>
      <c r="V43" s="644"/>
      <c r="W43" s="609">
        <f t="shared" si="12"/>
        <v>44504</v>
      </c>
      <c r="X43" s="606">
        <f t="shared" si="8"/>
        <v>44555</v>
      </c>
    </row>
    <row r="44" spans="5:24" ht="15.6" x14ac:dyDescent="0.3">
      <c r="U44" s="644">
        <v>2022</v>
      </c>
      <c r="V44" s="644">
        <v>6</v>
      </c>
      <c r="W44" s="610">
        <f t="shared" si="12"/>
        <v>44567</v>
      </c>
      <c r="X44" s="602">
        <f t="shared" si="8"/>
        <v>44616</v>
      </c>
    </row>
    <row r="45" spans="5:24" ht="15.6" x14ac:dyDescent="0.3">
      <c r="U45" s="644"/>
      <c r="V45" s="644"/>
      <c r="W45" s="610">
        <f t="shared" si="12"/>
        <v>44638</v>
      </c>
      <c r="X45" s="604">
        <f t="shared" si="8"/>
        <v>44687</v>
      </c>
    </row>
    <row r="46" spans="5:24" ht="15.6" x14ac:dyDescent="0.3">
      <c r="U46" s="644"/>
      <c r="V46" s="644"/>
      <c r="W46" s="610">
        <f t="shared" si="12"/>
        <v>44714</v>
      </c>
      <c r="X46" s="604">
        <f t="shared" si="8"/>
        <v>44763</v>
      </c>
    </row>
    <row r="47" spans="5:24" ht="15.6" x14ac:dyDescent="0.3">
      <c r="U47" s="644"/>
      <c r="V47" s="644"/>
      <c r="W47" s="610">
        <f t="shared" si="12"/>
        <v>44784</v>
      </c>
      <c r="X47" s="604">
        <f t="shared" si="8"/>
        <v>44832</v>
      </c>
    </row>
    <row r="48" spans="5:24" ht="15.6" x14ac:dyDescent="0.3">
      <c r="U48" s="644"/>
      <c r="V48" s="644"/>
      <c r="W48" s="610">
        <f t="shared" si="12"/>
        <v>44851</v>
      </c>
      <c r="X48" s="604">
        <f t="shared" si="8"/>
        <v>44899</v>
      </c>
    </row>
    <row r="49" spans="21:24" ht="15.6" x14ac:dyDescent="0.3">
      <c r="U49" s="644"/>
      <c r="V49" s="644"/>
      <c r="W49" s="611">
        <f t="shared" si="12"/>
        <v>44917</v>
      </c>
      <c r="X49" s="606">
        <f t="shared" si="8"/>
        <v>44968</v>
      </c>
    </row>
  </sheetData>
  <mergeCells count="18">
    <mergeCell ref="Y12:Z12"/>
    <mergeCell ref="W17:W19"/>
    <mergeCell ref="U44:U49"/>
    <mergeCell ref="V44:V49"/>
    <mergeCell ref="U28:U33"/>
    <mergeCell ref="U39:U43"/>
    <mergeCell ref="V39:V43"/>
    <mergeCell ref="A1:S1"/>
    <mergeCell ref="U22:X22"/>
    <mergeCell ref="U34:U38"/>
    <mergeCell ref="T4:T5"/>
    <mergeCell ref="U4:V4"/>
    <mergeCell ref="T13:T14"/>
    <mergeCell ref="U13:V13"/>
    <mergeCell ref="U24:U27"/>
    <mergeCell ref="V24:V27"/>
    <mergeCell ref="V28:V33"/>
    <mergeCell ref="V34:V38"/>
  </mergeCells>
  <pageMargins left="0.7" right="0.7" top="0.75" bottom="0.75" header="0.3" footer="0.3"/>
  <pageSetup paperSize="9" orientation="portrait" verticalDpi="0" r:id="rId1"/>
  <ignoredErrors>
    <ignoredError sqref="F33:G33 J33:M33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B71A1-4892-4639-828C-562EBBCB4A92}">
  <dimension ref="A1:AA53"/>
  <sheetViews>
    <sheetView zoomScale="41" workbookViewId="0">
      <selection activeCell="S7" sqref="S7"/>
    </sheetView>
  </sheetViews>
  <sheetFormatPr baseColWidth="10" defaultRowHeight="14.4" x14ac:dyDescent="0.3"/>
  <cols>
    <col min="2" max="2" width="21.5546875" bestFit="1" customWidth="1"/>
    <col min="4" max="4" width="17.5546875" bestFit="1" customWidth="1"/>
    <col min="5" max="5" width="14.77734375" bestFit="1" customWidth="1"/>
    <col min="6" max="6" width="19.21875" bestFit="1" customWidth="1"/>
    <col min="7" max="7" width="23.109375" bestFit="1" customWidth="1"/>
    <col min="8" max="8" width="30.5546875" bestFit="1" customWidth="1"/>
    <col min="9" max="9" width="29.77734375" bestFit="1" customWidth="1"/>
    <col min="10" max="13" width="29.77734375" customWidth="1"/>
    <col min="14" max="14" width="10.44140625" customWidth="1"/>
    <col min="15" max="15" width="11.21875" customWidth="1"/>
    <col min="16" max="16" width="47" bestFit="1" customWidth="1"/>
    <col min="18" max="18" width="11.5546875" customWidth="1"/>
    <col min="19" max="19" width="32.5546875" customWidth="1"/>
    <col min="20" max="20" width="34.109375" customWidth="1"/>
    <col min="21" max="21" width="21.6640625" bestFit="1" customWidth="1"/>
    <col min="22" max="22" width="20.5546875" bestFit="1" customWidth="1"/>
    <col min="23" max="24" width="20.5546875" customWidth="1"/>
    <col min="25" max="25" width="22.33203125" bestFit="1" customWidth="1"/>
    <col min="26" max="27" width="22.6640625" bestFit="1" customWidth="1"/>
  </cols>
  <sheetData>
    <row r="1" spans="1:27" ht="16.8" x14ac:dyDescent="0.3">
      <c r="A1" s="661" t="s">
        <v>346</v>
      </c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3"/>
      <c r="N1" s="169"/>
      <c r="R1" s="660" t="s">
        <v>422</v>
      </c>
      <c r="S1" s="660"/>
      <c r="T1" s="660"/>
      <c r="U1" s="660"/>
      <c r="V1" s="660"/>
      <c r="W1" s="660"/>
      <c r="X1" s="660"/>
      <c r="Y1" s="660"/>
      <c r="Z1" s="660"/>
      <c r="AA1" s="660"/>
    </row>
    <row r="2" spans="1:27" ht="15.6" x14ac:dyDescent="0.3">
      <c r="A2" s="10" t="s">
        <v>13</v>
      </c>
      <c r="B2" s="10" t="s">
        <v>245</v>
      </c>
      <c r="C2" s="10" t="s">
        <v>247</v>
      </c>
      <c r="D2" s="10" t="s">
        <v>11</v>
      </c>
      <c r="E2" s="10" t="s">
        <v>248</v>
      </c>
      <c r="F2" s="10" t="s">
        <v>266</v>
      </c>
      <c r="G2" s="10" t="s">
        <v>249</v>
      </c>
      <c r="H2" s="10" t="s">
        <v>267</v>
      </c>
      <c r="I2" s="10" t="s">
        <v>273</v>
      </c>
      <c r="J2" s="10" t="s">
        <v>2</v>
      </c>
      <c r="K2" s="10" t="s">
        <v>268</v>
      </c>
      <c r="L2" s="10" t="s">
        <v>250</v>
      </c>
      <c r="M2" s="10" t="s">
        <v>269</v>
      </c>
      <c r="N2" s="112"/>
      <c r="R2" s="21" t="s">
        <v>13</v>
      </c>
      <c r="S2" s="10" t="s">
        <v>285</v>
      </c>
      <c r="T2" s="10" t="s">
        <v>286</v>
      </c>
      <c r="U2" s="10" t="s">
        <v>287</v>
      </c>
      <c r="V2" s="10" t="s">
        <v>288</v>
      </c>
      <c r="W2" s="10" t="s">
        <v>290</v>
      </c>
      <c r="X2" s="127" t="s">
        <v>293</v>
      </c>
      <c r="Y2" s="10" t="s">
        <v>289</v>
      </c>
      <c r="Z2" s="127" t="s">
        <v>291</v>
      </c>
      <c r="AA2" s="10" t="s">
        <v>292</v>
      </c>
    </row>
    <row r="3" spans="1:27" ht="15.6" x14ac:dyDescent="0.3">
      <c r="A3" s="120">
        <v>43831</v>
      </c>
      <c r="B3" s="31">
        <v>63</v>
      </c>
      <c r="C3" s="90">
        <v>286.49130000000002</v>
      </c>
      <c r="D3" s="219">
        <v>1134.5875000000001</v>
      </c>
      <c r="E3" s="31">
        <v>40423.74</v>
      </c>
      <c r="F3" s="31">
        <f>(E3*D3)/C3</f>
        <v>160089.57377501516</v>
      </c>
      <c r="G3" s="115">
        <f>E3*60%</f>
        <v>24254.243999999999</v>
      </c>
      <c r="H3" s="115">
        <f>(G3*D3)/C3</f>
        <v>96053.744265009096</v>
      </c>
      <c r="I3" s="115">
        <f>F3+H3</f>
        <v>256143.31804002426</v>
      </c>
      <c r="J3" s="115">
        <v>24082.74</v>
      </c>
      <c r="K3" s="115">
        <f>(J3*D3)/C3</f>
        <v>95374.5393655933</v>
      </c>
      <c r="L3" s="115">
        <v>1016.94</v>
      </c>
      <c r="M3" s="121">
        <f>(L3*D3)/C3</f>
        <v>4027.3732998174814</v>
      </c>
      <c r="N3" s="115"/>
      <c r="R3" s="120" t="s">
        <v>274</v>
      </c>
      <c r="S3" s="124">
        <v>256143.31804002426</v>
      </c>
      <c r="T3" s="121">
        <v>363869.37871136749</v>
      </c>
      <c r="U3" s="121">
        <v>412318.30835093884</v>
      </c>
      <c r="V3" s="124">
        <v>95374.5393655933</v>
      </c>
      <c r="W3" s="124">
        <v>108758.94726770428</v>
      </c>
      <c r="X3" s="115">
        <v>121121.44517248182</v>
      </c>
      <c r="Y3" s="124">
        <v>4027.3732998174814</v>
      </c>
      <c r="Z3" s="115">
        <v>4743.9689915454128</v>
      </c>
      <c r="AA3" s="124">
        <v>5453.3520632622431</v>
      </c>
    </row>
    <row r="4" spans="1:27" ht="15.6" x14ac:dyDescent="0.3">
      <c r="A4" s="120">
        <v>43862</v>
      </c>
      <c r="B4" s="31">
        <v>63.305555555555557</v>
      </c>
      <c r="C4" s="90">
        <v>291.73700000000002</v>
      </c>
      <c r="D4" s="219">
        <v>1134.5875000000001</v>
      </c>
      <c r="E4" s="31">
        <v>53102.239999999998</v>
      </c>
      <c r="F4" s="31">
        <f t="shared" ref="F4:F38" si="0">(E4*D4)/C4</f>
        <v>206518.67170088127</v>
      </c>
      <c r="G4" s="115">
        <f t="shared" ref="G4:G38" si="1">E4*60%</f>
        <v>31861.343999999997</v>
      </c>
      <c r="H4" s="115">
        <f t="shared" ref="H4:H38" si="2">(G4*D4)/C4</f>
        <v>123911.20302052876</v>
      </c>
      <c r="I4" s="115">
        <f t="shared" ref="I4:I38" si="3">F4+H4</f>
        <v>330429.87472141004</v>
      </c>
      <c r="J4" s="115">
        <v>28785.14</v>
      </c>
      <c r="K4" s="115">
        <f t="shared" ref="K4:K38" si="4">(J4*D4)/C4</f>
        <v>111947.61044965156</v>
      </c>
      <c r="L4" s="115">
        <v>1335.9</v>
      </c>
      <c r="M4" s="121">
        <f t="shared" ref="M4:M38" si="5">(L4*D4)/C4</f>
        <v>5195.4172465268375</v>
      </c>
      <c r="N4" s="115"/>
      <c r="R4" s="120" t="s">
        <v>275</v>
      </c>
      <c r="S4" s="124">
        <v>330429.87472141004</v>
      </c>
      <c r="T4" s="121">
        <v>321213.60816426075</v>
      </c>
      <c r="U4" s="121">
        <v>297344.0478316946</v>
      </c>
      <c r="V4" s="124">
        <v>111947.61044965156</v>
      </c>
      <c r="W4" s="124">
        <v>103662.25176796979</v>
      </c>
      <c r="X4" s="115">
        <v>98042.109466193986</v>
      </c>
      <c r="Y4" s="124">
        <v>5195.4172465268375</v>
      </c>
      <c r="Z4" s="115">
        <v>4578.8940603550955</v>
      </c>
      <c r="AA4" s="124">
        <v>4574.8783736263313</v>
      </c>
    </row>
    <row r="5" spans="1:27" ht="15.6" x14ac:dyDescent="0.3">
      <c r="A5" s="120">
        <v>43891</v>
      </c>
      <c r="B5" s="31">
        <v>64.565789473684205</v>
      </c>
      <c r="C5" s="90">
        <v>302.22739999999999</v>
      </c>
      <c r="D5" s="219">
        <v>1134.5875000000001</v>
      </c>
      <c r="E5" s="31">
        <v>48991.98</v>
      </c>
      <c r="F5" s="31">
        <f t="shared" si="0"/>
        <v>183920.08172736823</v>
      </c>
      <c r="G5" s="115">
        <f t="shared" si="1"/>
        <v>29395.188000000002</v>
      </c>
      <c r="H5" s="115">
        <f t="shared" si="2"/>
        <v>110352.04903642094</v>
      </c>
      <c r="I5" s="115">
        <f t="shared" si="3"/>
        <v>294272.13076378917</v>
      </c>
      <c r="J5" s="115">
        <v>26682.94</v>
      </c>
      <c r="K5" s="115">
        <f t="shared" si="4"/>
        <v>100170.03814760012</v>
      </c>
      <c r="L5" s="115">
        <v>1255.1400000000001</v>
      </c>
      <c r="M5" s="121">
        <f t="shared" si="5"/>
        <v>4711.9028742926694</v>
      </c>
      <c r="N5" s="115"/>
      <c r="R5" s="120" t="s">
        <v>228</v>
      </c>
      <c r="S5" s="124">
        <v>294272.13076378917</v>
      </c>
      <c r="T5" s="121">
        <v>294387.83290435077</v>
      </c>
      <c r="U5" s="121">
        <v>291968.2109499647</v>
      </c>
      <c r="V5" s="124">
        <v>100170.03814760012</v>
      </c>
      <c r="W5" s="124">
        <v>104689.18692406881</v>
      </c>
      <c r="X5" s="115">
        <v>94916.703835790424</v>
      </c>
      <c r="Y5" s="124">
        <v>4711.9028742926694</v>
      </c>
      <c r="Z5" s="115">
        <v>4628.7643923168107</v>
      </c>
      <c r="AA5" s="124">
        <v>4496.6341588393352</v>
      </c>
    </row>
    <row r="6" spans="1:27" ht="15.6" x14ac:dyDescent="0.3">
      <c r="A6" s="120">
        <v>43922</v>
      </c>
      <c r="B6" s="31">
        <v>67.25</v>
      </c>
      <c r="C6" s="90">
        <v>306.44830000000002</v>
      </c>
      <c r="D6" s="219">
        <v>1134.5875000000001</v>
      </c>
      <c r="E6" s="31">
        <v>51214.86</v>
      </c>
      <c r="F6" s="31">
        <f t="shared" si="0"/>
        <v>189616.78028643003</v>
      </c>
      <c r="G6" s="115">
        <f t="shared" si="1"/>
        <v>30728.915999999997</v>
      </c>
      <c r="H6" s="115">
        <f t="shared" si="2"/>
        <v>113770.06817185803</v>
      </c>
      <c r="I6" s="115">
        <f t="shared" si="3"/>
        <v>303386.84845828806</v>
      </c>
      <c r="J6" s="115">
        <v>27549.26</v>
      </c>
      <c r="K6" s="115">
        <f t="shared" si="4"/>
        <v>101997.77916943902</v>
      </c>
      <c r="L6" s="115">
        <v>1288.42</v>
      </c>
      <c r="M6" s="121">
        <f t="shared" si="5"/>
        <v>4770.2180979630175</v>
      </c>
      <c r="N6" s="115"/>
      <c r="O6" s="10" t="s">
        <v>10</v>
      </c>
      <c r="P6" s="10" t="s">
        <v>423</v>
      </c>
      <c r="R6" s="120" t="s">
        <v>276</v>
      </c>
      <c r="S6" s="124">
        <v>303386.84845828806</v>
      </c>
      <c r="T6" s="121">
        <v>312744.48807014327</v>
      </c>
      <c r="U6" s="121">
        <v>262760.75909161411</v>
      </c>
      <c r="V6" s="124">
        <v>101997.77916943902</v>
      </c>
      <c r="W6" s="124">
        <v>112823.15372073262</v>
      </c>
      <c r="X6" s="115">
        <v>98195.497150089155</v>
      </c>
      <c r="Y6" s="124">
        <v>4770.2180979630175</v>
      </c>
      <c r="Z6" s="115">
        <v>4917.3661646248947</v>
      </c>
      <c r="AA6" s="124">
        <v>4131.4521814694617</v>
      </c>
    </row>
    <row r="7" spans="1:27" ht="15.6" x14ac:dyDescent="0.3">
      <c r="A7" s="120">
        <v>43952</v>
      </c>
      <c r="B7" s="31">
        <v>69.71052631578948</v>
      </c>
      <c r="C7" s="90">
        <v>311.09219999999999</v>
      </c>
      <c r="D7" s="219">
        <v>1134.5875000000001</v>
      </c>
      <c r="E7" s="31">
        <v>52537.74</v>
      </c>
      <c r="F7" s="31">
        <f t="shared" si="0"/>
        <v>191610.92139966864</v>
      </c>
      <c r="G7" s="115">
        <f t="shared" si="1"/>
        <v>31522.643999999997</v>
      </c>
      <c r="H7" s="115">
        <f t="shared" si="2"/>
        <v>114966.55283980118</v>
      </c>
      <c r="I7" s="115">
        <f t="shared" si="3"/>
        <v>306577.47423946986</v>
      </c>
      <c r="J7" s="115">
        <v>28415.5</v>
      </c>
      <c r="K7" s="115">
        <f t="shared" si="4"/>
        <v>103634.45662170251</v>
      </c>
      <c r="L7" s="115">
        <v>1321.7</v>
      </c>
      <c r="M7" s="121">
        <f t="shared" si="5"/>
        <v>4820.3853994089213</v>
      </c>
      <c r="N7" s="115"/>
      <c r="O7" s="152">
        <v>2020</v>
      </c>
      <c r="P7" s="117">
        <f>SUM(I3:I14)+SUM(K3:K14)+SUM(M3:M14)</f>
        <v>5472665.0959836254</v>
      </c>
      <c r="R7" s="120" t="s">
        <v>277</v>
      </c>
      <c r="S7" s="124">
        <v>306577.47423946986</v>
      </c>
      <c r="T7" s="121">
        <v>265394.54220973689</v>
      </c>
      <c r="U7" s="121">
        <v>250794.38537179388</v>
      </c>
      <c r="V7" s="124">
        <v>103634.45662170251</v>
      </c>
      <c r="W7" s="124">
        <v>93941.093687607499</v>
      </c>
      <c r="X7" s="115">
        <v>93723.581249999159</v>
      </c>
      <c r="Y7" s="124">
        <v>4820.3853994089213</v>
      </c>
      <c r="Z7" s="115">
        <v>4172.870160530455</v>
      </c>
      <c r="AA7" s="124">
        <v>3943.3019379553884</v>
      </c>
    </row>
    <row r="8" spans="1:27" ht="15.6" x14ac:dyDescent="0.3">
      <c r="A8" s="120">
        <v>43983</v>
      </c>
      <c r="B8" s="31">
        <v>71.964285714285708</v>
      </c>
      <c r="C8" s="90">
        <v>317.46609999999998</v>
      </c>
      <c r="D8" s="219">
        <v>1134.5875000000001</v>
      </c>
      <c r="E8" s="31">
        <v>80790.94</v>
      </c>
      <c r="F8" s="31">
        <f t="shared" si="0"/>
        <v>288737.57115247898</v>
      </c>
      <c r="G8" s="115">
        <f t="shared" si="1"/>
        <v>48474.563999999998</v>
      </c>
      <c r="H8" s="115">
        <f t="shared" si="2"/>
        <v>173242.54269148741</v>
      </c>
      <c r="I8" s="115">
        <f t="shared" si="3"/>
        <v>461980.11384396639</v>
      </c>
      <c r="J8" s="115">
        <v>45722.080000000002</v>
      </c>
      <c r="K8" s="115">
        <f t="shared" si="4"/>
        <v>163405.47996148255</v>
      </c>
      <c r="L8" s="115">
        <v>2032.48</v>
      </c>
      <c r="M8" s="121">
        <f t="shared" si="5"/>
        <v>7263.8508552566727</v>
      </c>
      <c r="N8" s="115"/>
      <c r="O8" s="152">
        <v>2021</v>
      </c>
      <c r="P8" s="130">
        <f>SUM(I15:I26)+SUM(K15:K26)+SUM(M15:M26)</f>
        <v>5496530.9534857171</v>
      </c>
      <c r="R8" s="120" t="s">
        <v>278</v>
      </c>
      <c r="S8" s="124">
        <v>461980.11384396639</v>
      </c>
      <c r="T8" s="121">
        <v>404280.08633258572</v>
      </c>
      <c r="U8" s="121">
        <v>373185.58525427978</v>
      </c>
      <c r="V8" s="124">
        <v>163405.47996148255</v>
      </c>
      <c r="W8" s="124">
        <v>148292.44483882203</v>
      </c>
      <c r="X8" s="115">
        <v>135532.34440240456</v>
      </c>
      <c r="Y8" s="124">
        <v>7263.8508552566727</v>
      </c>
      <c r="Z8" s="115">
        <v>6356.605131015498</v>
      </c>
      <c r="AA8" s="124">
        <v>5822.0150646973543</v>
      </c>
    </row>
    <row r="9" spans="1:27" ht="15.6" x14ac:dyDescent="0.3">
      <c r="A9" s="120">
        <v>44013</v>
      </c>
      <c r="B9" s="31">
        <v>75.05952380952381</v>
      </c>
      <c r="C9" s="90">
        <v>322.67910000000001</v>
      </c>
      <c r="D9" s="219">
        <v>1134.5875000000001</v>
      </c>
      <c r="E9" s="31">
        <v>55183.5</v>
      </c>
      <c r="F9" s="31">
        <f t="shared" si="0"/>
        <v>194033.35792820176</v>
      </c>
      <c r="G9" s="115">
        <f t="shared" si="1"/>
        <v>33110.1</v>
      </c>
      <c r="H9" s="115">
        <f t="shared" si="2"/>
        <v>116420.01475692104</v>
      </c>
      <c r="I9" s="115">
        <f t="shared" si="3"/>
        <v>310453.37268512277</v>
      </c>
      <c r="J9" s="115">
        <v>30148.1</v>
      </c>
      <c r="K9" s="115">
        <f t="shared" si="4"/>
        <v>106005.18412487824</v>
      </c>
      <c r="L9" s="115">
        <v>1388.26</v>
      </c>
      <c r="M9" s="121">
        <f t="shared" si="5"/>
        <v>4881.3277424847165</v>
      </c>
      <c r="N9" s="115"/>
      <c r="O9" s="153">
        <v>2022</v>
      </c>
      <c r="P9" s="131">
        <f>SUM(I27:I38)+SUM(K27:K38)+SUM(M27:M38)</f>
        <v>5460255.6733430643</v>
      </c>
      <c r="R9" s="120" t="s">
        <v>279</v>
      </c>
      <c r="S9" s="124">
        <v>310453.37268512277</v>
      </c>
      <c r="T9" s="121">
        <v>249799.10554959823</v>
      </c>
      <c r="U9" s="121">
        <v>287902.30298310542</v>
      </c>
      <c r="V9" s="124">
        <v>106005.18412487824</v>
      </c>
      <c r="W9" s="124">
        <v>88420.812960690993</v>
      </c>
      <c r="X9" s="115">
        <v>109986.26129136549</v>
      </c>
      <c r="Y9" s="124">
        <v>4881.3277424847165</v>
      </c>
      <c r="Z9" s="115">
        <v>3927.6588922892806</v>
      </c>
      <c r="AA9" s="124">
        <v>4526.7609781345109</v>
      </c>
    </row>
    <row r="10" spans="1:27" ht="15.6" x14ac:dyDescent="0.3">
      <c r="A10" s="120">
        <v>44044</v>
      </c>
      <c r="B10" s="31">
        <v>77.287499999999994</v>
      </c>
      <c r="C10" s="90">
        <v>331.69569999999999</v>
      </c>
      <c r="D10" s="219">
        <v>1134.5875000000001</v>
      </c>
      <c r="E10" s="31">
        <v>55183.5</v>
      </c>
      <c r="F10" s="31">
        <f t="shared" si="0"/>
        <v>188758.88142731428</v>
      </c>
      <c r="G10" s="115">
        <f t="shared" si="1"/>
        <v>33110.1</v>
      </c>
      <c r="H10" s="115">
        <f t="shared" si="2"/>
        <v>113255.32885638856</v>
      </c>
      <c r="I10" s="115">
        <f t="shared" si="3"/>
        <v>302014.21028370282</v>
      </c>
      <c r="J10" s="115">
        <v>30148.1</v>
      </c>
      <c r="K10" s="115">
        <f t="shared" si="4"/>
        <v>103123.6082009806</v>
      </c>
      <c r="L10" s="115">
        <v>1388.26</v>
      </c>
      <c r="M10" s="121">
        <f t="shared" si="5"/>
        <v>4748.6369065079834</v>
      </c>
      <c r="N10" s="115"/>
      <c r="R10" s="120" t="s">
        <v>280</v>
      </c>
      <c r="S10" s="124">
        <v>302014.21028370282</v>
      </c>
      <c r="T10" s="121">
        <v>314430.21048722824</v>
      </c>
      <c r="U10" s="121">
        <v>317750.07281216263</v>
      </c>
      <c r="V10" s="124">
        <v>103123.6082009806</v>
      </c>
      <c r="W10" s="124">
        <v>115223.43871495014</v>
      </c>
      <c r="X10" s="115">
        <v>122786.64282374523</v>
      </c>
      <c r="Y10" s="124">
        <v>4748.6369065079834</v>
      </c>
      <c r="Z10" s="115">
        <v>4943.8718073025693</v>
      </c>
      <c r="AA10" s="124">
        <v>4996.0722474942568</v>
      </c>
    </row>
    <row r="11" spans="1:27" ht="15.6" x14ac:dyDescent="0.3">
      <c r="A11" s="120">
        <v>44075</v>
      </c>
      <c r="B11" s="31">
        <v>79.13636363636364</v>
      </c>
      <c r="C11" s="90">
        <v>340.90199999999999</v>
      </c>
      <c r="D11" s="219">
        <v>1134.5875000000001</v>
      </c>
      <c r="E11" s="31">
        <v>55714.12</v>
      </c>
      <c r="F11" s="31">
        <f t="shared" si="0"/>
        <v>185427.31965638223</v>
      </c>
      <c r="G11" s="115">
        <f t="shared" si="1"/>
        <v>33428.472000000002</v>
      </c>
      <c r="H11" s="115">
        <f t="shared" si="2"/>
        <v>111256.39179382933</v>
      </c>
      <c r="I11" s="115">
        <f t="shared" si="3"/>
        <v>296683.71145021159</v>
      </c>
      <c r="J11" s="115">
        <v>30495.56</v>
      </c>
      <c r="K11" s="115">
        <f t="shared" si="4"/>
        <v>101495.09589706134</v>
      </c>
      <c r="L11" s="115">
        <v>1401.62</v>
      </c>
      <c r="M11" s="121">
        <f t="shared" si="5"/>
        <v>4664.8612555807831</v>
      </c>
      <c r="N11" s="115"/>
      <c r="R11" s="120" t="s">
        <v>281</v>
      </c>
      <c r="S11" s="124">
        <v>296683.71145021159</v>
      </c>
      <c r="T11" s="121">
        <v>305765.76246324048</v>
      </c>
      <c r="U11" s="121">
        <v>302489.30129019899</v>
      </c>
      <c r="V11" s="124">
        <v>101495.09589706134</v>
      </c>
      <c r="W11" s="124">
        <v>112168.87174361877</v>
      </c>
      <c r="X11" s="115">
        <v>116954.0647532642</v>
      </c>
      <c r="Y11" s="124">
        <v>4664.8612555807831</v>
      </c>
      <c r="Z11" s="115">
        <v>4807.4028793571142</v>
      </c>
      <c r="AA11" s="124">
        <v>4708.1218824139496</v>
      </c>
    </row>
    <row r="12" spans="1:27" ht="15.6" x14ac:dyDescent="0.3">
      <c r="A12" s="120">
        <v>44105</v>
      </c>
      <c r="B12" s="31">
        <v>82.547619047619051</v>
      </c>
      <c r="C12" s="90">
        <v>353.0444</v>
      </c>
      <c r="D12" s="219">
        <v>1134.5875000000001</v>
      </c>
      <c r="E12" s="31">
        <v>68171.399999999994</v>
      </c>
      <c r="F12" s="31">
        <f t="shared" si="0"/>
        <v>219084.11037676848</v>
      </c>
      <c r="G12" s="115">
        <f t="shared" si="1"/>
        <v>40902.839999999997</v>
      </c>
      <c r="H12" s="115">
        <f t="shared" si="2"/>
        <v>131450.46622606108</v>
      </c>
      <c r="I12" s="115">
        <f t="shared" si="3"/>
        <v>350534.57660282956</v>
      </c>
      <c r="J12" s="115">
        <v>38653.120000000003</v>
      </c>
      <c r="K12" s="115">
        <f t="shared" si="4"/>
        <v>124220.48554799342</v>
      </c>
      <c r="L12" s="115">
        <v>1715</v>
      </c>
      <c r="M12" s="121">
        <f t="shared" si="5"/>
        <v>5511.5378193224433</v>
      </c>
      <c r="N12" s="115"/>
      <c r="R12" s="120" t="s">
        <v>282</v>
      </c>
      <c r="S12" s="124">
        <v>350534.57660282956</v>
      </c>
      <c r="T12" s="121">
        <v>343872.58902121976</v>
      </c>
      <c r="U12" s="121">
        <v>303180.1698147381</v>
      </c>
      <c r="V12" s="124">
        <v>124220.48554799342</v>
      </c>
      <c r="W12" s="124">
        <v>110376.48902239397</v>
      </c>
      <c r="X12" s="115">
        <v>117675.58226179813</v>
      </c>
      <c r="Y12" s="124">
        <v>5511.5378193224433</v>
      </c>
      <c r="Z12" s="115">
        <v>5290.7575660856564</v>
      </c>
      <c r="AA12" s="124">
        <v>4766.9840853886981</v>
      </c>
    </row>
    <row r="13" spans="1:27" ht="15.6" x14ac:dyDescent="0.3">
      <c r="A13" s="120">
        <v>44136</v>
      </c>
      <c r="B13" s="31">
        <v>85.118421052631575</v>
      </c>
      <c r="C13" s="90">
        <v>363.53809999999999</v>
      </c>
      <c r="D13" s="219">
        <v>1134.5875000000001</v>
      </c>
      <c r="E13" s="31">
        <v>64727.68</v>
      </c>
      <c r="F13" s="31">
        <f t="shared" si="0"/>
        <v>202012.43454812578</v>
      </c>
      <c r="G13" s="115">
        <f t="shared" si="1"/>
        <v>38836.608</v>
      </c>
      <c r="H13" s="115">
        <f t="shared" si="2"/>
        <v>121207.46072887548</v>
      </c>
      <c r="I13" s="115">
        <f t="shared" si="3"/>
        <v>323219.89527700125</v>
      </c>
      <c r="J13" s="115">
        <v>36398.019999999997</v>
      </c>
      <c r="K13" s="115">
        <f t="shared" si="4"/>
        <v>113596.72759677735</v>
      </c>
      <c r="L13" s="115">
        <v>1628.36</v>
      </c>
      <c r="M13" s="121">
        <f t="shared" si="5"/>
        <v>5082.0447746742366</v>
      </c>
      <c r="N13" s="115"/>
      <c r="R13" s="120" t="s">
        <v>283</v>
      </c>
      <c r="S13" s="124">
        <v>323219.89527700125</v>
      </c>
      <c r="T13" s="121">
        <v>336248.83397833415</v>
      </c>
      <c r="U13" s="121">
        <v>288744.73140236142</v>
      </c>
      <c r="V13" s="124">
        <v>113596.72759677735</v>
      </c>
      <c r="W13" s="124">
        <v>110828.76277889869</v>
      </c>
      <c r="X13" s="115">
        <v>116511.44775423993</v>
      </c>
      <c r="Y13" s="124">
        <v>5082.0447746742366</v>
      </c>
      <c r="Z13" s="115">
        <v>5173.4599361991359</v>
      </c>
      <c r="AA13" s="124">
        <v>4540.0117698198483</v>
      </c>
    </row>
    <row r="14" spans="1:27" ht="15.6" x14ac:dyDescent="0.3">
      <c r="A14" s="120">
        <v>44166</v>
      </c>
      <c r="B14" s="31">
        <v>87.75</v>
      </c>
      <c r="C14" s="90">
        <v>377.05070000000001</v>
      </c>
      <c r="D14" s="219">
        <v>1134.5875000000001</v>
      </c>
      <c r="E14" s="31">
        <v>98813.38</v>
      </c>
      <c r="F14" s="31">
        <f t="shared" si="0"/>
        <v>297340.452572426</v>
      </c>
      <c r="G14" s="115">
        <f t="shared" si="1"/>
        <v>59288.027999999998</v>
      </c>
      <c r="H14" s="115">
        <f t="shared" si="2"/>
        <v>178404.27154345557</v>
      </c>
      <c r="I14" s="115">
        <f t="shared" si="3"/>
        <v>475744.7241158816</v>
      </c>
      <c r="J14" s="115">
        <v>57523.96</v>
      </c>
      <c r="K14" s="115">
        <f t="shared" si="4"/>
        <v>173095.99469381705</v>
      </c>
      <c r="L14" s="115">
        <v>2485.88</v>
      </c>
      <c r="M14" s="121">
        <f t="shared" si="5"/>
        <v>7480.2894531159873</v>
      </c>
      <c r="N14" s="115"/>
      <c r="R14" s="122" t="s">
        <v>284</v>
      </c>
      <c r="S14" s="125">
        <v>475744.7241158816</v>
      </c>
      <c r="T14" s="123">
        <v>548268.20419192291</v>
      </c>
      <c r="U14" s="123">
        <v>610092.03135080705</v>
      </c>
      <c r="V14" s="125">
        <v>173095.99469381705</v>
      </c>
      <c r="W14" s="125">
        <v>166071.97290586433</v>
      </c>
      <c r="X14" s="126">
        <v>177288.85135664989</v>
      </c>
      <c r="Y14" s="125">
        <v>7480.2894531159873</v>
      </c>
      <c r="Z14" s="126">
        <v>7457.2650867840011</v>
      </c>
      <c r="AA14" s="125">
        <v>7031.6505782810582</v>
      </c>
    </row>
    <row r="15" spans="1:27" ht="15.6" x14ac:dyDescent="0.3">
      <c r="A15" s="120">
        <v>44197</v>
      </c>
      <c r="B15" s="31">
        <v>90.9375</v>
      </c>
      <c r="C15" s="90">
        <v>389.44540000000001</v>
      </c>
      <c r="D15" s="219">
        <v>1134.5875000000001</v>
      </c>
      <c r="E15" s="31">
        <v>78061</v>
      </c>
      <c r="F15" s="31">
        <f t="shared" si="0"/>
        <v>227418.36169460471</v>
      </c>
      <c r="G15" s="115">
        <f t="shared" si="1"/>
        <v>46836.6</v>
      </c>
      <c r="H15" s="115">
        <f t="shared" si="2"/>
        <v>136451.01701676281</v>
      </c>
      <c r="I15" s="115">
        <f t="shared" si="3"/>
        <v>363869.37871136749</v>
      </c>
      <c r="J15" s="115">
        <v>37331.339999999997</v>
      </c>
      <c r="K15" s="115">
        <f t="shared" si="4"/>
        <v>108758.94726770428</v>
      </c>
      <c r="L15" s="115">
        <v>1628.36</v>
      </c>
      <c r="M15" s="121">
        <f t="shared" si="5"/>
        <v>4743.9689915454128</v>
      </c>
      <c r="N15" s="115"/>
    </row>
    <row r="16" spans="1:27" ht="15.6" x14ac:dyDescent="0.3">
      <c r="A16" s="120">
        <v>44228</v>
      </c>
      <c r="B16" s="31">
        <v>93.527777777777771</v>
      </c>
      <c r="C16" s="90">
        <v>403.48540000000003</v>
      </c>
      <c r="D16" s="219">
        <v>1134.5875000000001</v>
      </c>
      <c r="E16" s="31">
        <v>71394.34</v>
      </c>
      <c r="F16" s="31">
        <f t="shared" si="0"/>
        <v>200758.50510266295</v>
      </c>
      <c r="G16" s="115">
        <f t="shared" si="1"/>
        <v>42836.603999999999</v>
      </c>
      <c r="H16" s="115">
        <f t="shared" si="2"/>
        <v>120455.10306159777</v>
      </c>
      <c r="I16" s="115">
        <f t="shared" si="3"/>
        <v>321213.60816426075</v>
      </c>
      <c r="J16" s="115">
        <v>36864.68</v>
      </c>
      <c r="K16" s="115">
        <f t="shared" si="4"/>
        <v>103662.25176796979</v>
      </c>
      <c r="L16" s="115">
        <v>1628.36</v>
      </c>
      <c r="M16" s="121">
        <f t="shared" si="5"/>
        <v>4578.8940603550955</v>
      </c>
      <c r="N16" s="115"/>
    </row>
    <row r="17" spans="1:14" ht="15.6" x14ac:dyDescent="0.3">
      <c r="A17" s="120">
        <v>44256</v>
      </c>
      <c r="B17" s="31">
        <v>96.090909090909093</v>
      </c>
      <c r="C17" s="90">
        <v>424.45389999999998</v>
      </c>
      <c r="D17" s="219">
        <v>1134.5875000000001</v>
      </c>
      <c r="E17" s="31">
        <v>68832.320000000007</v>
      </c>
      <c r="F17" s="31">
        <f t="shared" si="0"/>
        <v>183992.39556521925</v>
      </c>
      <c r="G17" s="115">
        <f t="shared" si="1"/>
        <v>41299.392</v>
      </c>
      <c r="H17" s="115">
        <f t="shared" si="2"/>
        <v>110395.43733913153</v>
      </c>
      <c r="I17" s="115">
        <f t="shared" si="3"/>
        <v>294387.83290435077</v>
      </c>
      <c r="J17" s="115">
        <v>39164.660000000003</v>
      </c>
      <c r="K17" s="115">
        <f t="shared" si="4"/>
        <v>104689.18692406881</v>
      </c>
      <c r="L17" s="115">
        <v>1731.64</v>
      </c>
      <c r="M17" s="121">
        <f t="shared" si="5"/>
        <v>4628.7643923168107</v>
      </c>
      <c r="N17" s="115"/>
    </row>
    <row r="18" spans="1:14" ht="15.6" x14ac:dyDescent="0.3">
      <c r="A18" s="120">
        <v>44287</v>
      </c>
      <c r="B18" s="31">
        <v>98.2</v>
      </c>
      <c r="C18" s="90">
        <v>441.89550000000003</v>
      </c>
      <c r="D18" s="219">
        <v>1134.5875000000001</v>
      </c>
      <c r="E18" s="31">
        <v>76129.2</v>
      </c>
      <c r="F18" s="31">
        <f t="shared" si="0"/>
        <v>195465.30504383953</v>
      </c>
      <c r="G18" s="115">
        <f t="shared" si="1"/>
        <v>45677.52</v>
      </c>
      <c r="H18" s="115">
        <f t="shared" si="2"/>
        <v>117279.18302630371</v>
      </c>
      <c r="I18" s="115">
        <f t="shared" si="3"/>
        <v>312744.48807014327</v>
      </c>
      <c r="J18" s="115">
        <v>43942</v>
      </c>
      <c r="K18" s="115">
        <f t="shared" si="4"/>
        <v>112823.15372073262</v>
      </c>
      <c r="L18" s="115">
        <v>1915.2</v>
      </c>
      <c r="M18" s="121">
        <f t="shared" si="5"/>
        <v>4917.3661646248947</v>
      </c>
      <c r="N18" s="115"/>
    </row>
    <row r="19" spans="1:14" ht="15.6" x14ac:dyDescent="0.3">
      <c r="A19" s="120">
        <v>44317</v>
      </c>
      <c r="B19" s="31">
        <v>99.171052631578945</v>
      </c>
      <c r="C19" s="90">
        <v>456.78559999999999</v>
      </c>
      <c r="D19" s="219">
        <v>1134.5875000000001</v>
      </c>
      <c r="E19" s="31">
        <v>66780</v>
      </c>
      <c r="F19" s="31">
        <f t="shared" si="0"/>
        <v>165871.58888108557</v>
      </c>
      <c r="G19" s="115">
        <f t="shared" si="1"/>
        <v>40068</v>
      </c>
      <c r="H19" s="115">
        <f t="shared" si="2"/>
        <v>99522.953328651347</v>
      </c>
      <c r="I19" s="115">
        <f t="shared" si="3"/>
        <v>265394.54220973689</v>
      </c>
      <c r="J19" s="115">
        <v>37820.74</v>
      </c>
      <c r="K19" s="115">
        <f t="shared" si="4"/>
        <v>93941.093687607499</v>
      </c>
      <c r="L19" s="115">
        <v>1680</v>
      </c>
      <c r="M19" s="121">
        <f t="shared" si="5"/>
        <v>4172.870160530455</v>
      </c>
      <c r="N19" s="115"/>
    </row>
    <row r="20" spans="1:14" ht="15.6" x14ac:dyDescent="0.3">
      <c r="A20" s="120">
        <v>44348</v>
      </c>
      <c r="B20" s="31">
        <v>100.2380952380952</v>
      </c>
      <c r="C20" s="90">
        <v>470.78399999999999</v>
      </c>
      <c r="D20" s="219">
        <v>1134.5875000000001</v>
      </c>
      <c r="E20" s="31">
        <v>104844.6</v>
      </c>
      <c r="F20" s="31">
        <f t="shared" si="0"/>
        <v>252675.05395786607</v>
      </c>
      <c r="G20" s="115">
        <f t="shared" si="1"/>
        <v>62906.76</v>
      </c>
      <c r="H20" s="115">
        <f t="shared" si="2"/>
        <v>151605.03237471965</v>
      </c>
      <c r="I20" s="115">
        <f t="shared" si="3"/>
        <v>404280.08633258572</v>
      </c>
      <c r="J20" s="115">
        <v>61532.24</v>
      </c>
      <c r="K20" s="115">
        <f t="shared" si="4"/>
        <v>148292.44483882203</v>
      </c>
      <c r="L20" s="115">
        <v>2637.6</v>
      </c>
      <c r="M20" s="121">
        <f t="shared" si="5"/>
        <v>6356.605131015498</v>
      </c>
      <c r="N20" s="115"/>
    </row>
    <row r="21" spans="1:14" ht="15.6" x14ac:dyDescent="0.3">
      <c r="A21" s="120">
        <v>44378</v>
      </c>
      <c r="B21" s="31">
        <v>101.3095238095238</v>
      </c>
      <c r="C21" s="90">
        <v>485.30360000000002</v>
      </c>
      <c r="D21" s="219">
        <v>1134.5875000000001</v>
      </c>
      <c r="E21" s="31">
        <v>66780</v>
      </c>
      <c r="F21" s="31">
        <f t="shared" si="0"/>
        <v>156124.44096849888</v>
      </c>
      <c r="G21" s="115">
        <f t="shared" si="1"/>
        <v>40068</v>
      </c>
      <c r="H21" s="115">
        <f t="shared" si="2"/>
        <v>93674.664581099336</v>
      </c>
      <c r="I21" s="115">
        <f t="shared" si="3"/>
        <v>249799.10554959823</v>
      </c>
      <c r="J21" s="115">
        <v>37820.74</v>
      </c>
      <c r="K21" s="115">
        <f t="shared" si="4"/>
        <v>88420.812960690993</v>
      </c>
      <c r="L21" s="115">
        <v>1680</v>
      </c>
      <c r="M21" s="121">
        <f t="shared" si="5"/>
        <v>3927.6588922892806</v>
      </c>
      <c r="N21" s="115"/>
    </row>
    <row r="22" spans="1:14" ht="15.6" x14ac:dyDescent="0.3">
      <c r="A22" s="120">
        <v>44409</v>
      </c>
      <c r="B22" s="31">
        <v>102.28571428571431</v>
      </c>
      <c r="C22" s="90">
        <v>497.93709999999999</v>
      </c>
      <c r="D22" s="219">
        <v>1134.5875000000001</v>
      </c>
      <c r="E22" s="31">
        <v>86246.36</v>
      </c>
      <c r="F22" s="31">
        <f t="shared" si="0"/>
        <v>196518.88155451763</v>
      </c>
      <c r="G22" s="115">
        <f t="shared" si="1"/>
        <v>51747.815999999999</v>
      </c>
      <c r="H22" s="115">
        <f t="shared" si="2"/>
        <v>117911.32893271059</v>
      </c>
      <c r="I22" s="115">
        <f t="shared" si="3"/>
        <v>314430.21048722824</v>
      </c>
      <c r="J22" s="115">
        <v>50568.18</v>
      </c>
      <c r="K22" s="115">
        <f t="shared" si="4"/>
        <v>115223.43871495014</v>
      </c>
      <c r="L22" s="115">
        <v>2169.7199999999998</v>
      </c>
      <c r="M22" s="121">
        <f t="shared" si="5"/>
        <v>4943.8718073025693</v>
      </c>
      <c r="N22" s="115"/>
    </row>
    <row r="23" spans="1:14" ht="15.6" x14ac:dyDescent="0.3">
      <c r="A23" s="120">
        <v>44440</v>
      </c>
      <c r="B23" s="31">
        <v>103.4431818181818</v>
      </c>
      <c r="C23" s="90">
        <v>517.04250000000002</v>
      </c>
      <c r="D23" s="219">
        <v>1134.5875000000001</v>
      </c>
      <c r="E23" s="31">
        <v>87087.76</v>
      </c>
      <c r="F23" s="31">
        <f t="shared" si="0"/>
        <v>191103.60153952529</v>
      </c>
      <c r="G23" s="115">
        <f t="shared" si="1"/>
        <v>52252.655999999995</v>
      </c>
      <c r="H23" s="115">
        <f t="shared" si="2"/>
        <v>114662.16092371517</v>
      </c>
      <c r="I23" s="115">
        <f t="shared" si="3"/>
        <v>305765.76246324048</v>
      </c>
      <c r="J23" s="115">
        <v>51116.44</v>
      </c>
      <c r="K23" s="115">
        <f t="shared" si="4"/>
        <v>112168.87174361877</v>
      </c>
      <c r="L23" s="115">
        <v>2190.7800000000002</v>
      </c>
      <c r="M23" s="121">
        <f t="shared" si="5"/>
        <v>4807.4028793571142</v>
      </c>
      <c r="N23" s="115"/>
    </row>
    <row r="24" spans="1:14" ht="15.6" x14ac:dyDescent="0.3">
      <c r="A24" s="120">
        <v>44470</v>
      </c>
      <c r="B24" s="31">
        <v>104.5263157894737</v>
      </c>
      <c r="C24" s="90">
        <v>536.54229999999995</v>
      </c>
      <c r="D24" s="219">
        <v>1134.5875000000001</v>
      </c>
      <c r="E24" s="31">
        <v>101635.06</v>
      </c>
      <c r="F24" s="31">
        <f t="shared" si="0"/>
        <v>214920.36813826236</v>
      </c>
      <c r="G24" s="115">
        <f t="shared" si="1"/>
        <v>60981.035999999993</v>
      </c>
      <c r="H24" s="115">
        <f t="shared" si="2"/>
        <v>128952.22088295742</v>
      </c>
      <c r="I24" s="115">
        <f t="shared" si="3"/>
        <v>343872.58902121976</v>
      </c>
      <c r="J24" s="115">
        <v>52196.639999999999</v>
      </c>
      <c r="K24" s="115">
        <f t="shared" si="4"/>
        <v>110376.48902239397</v>
      </c>
      <c r="L24" s="115">
        <v>2501.98</v>
      </c>
      <c r="M24" s="121">
        <f t="shared" si="5"/>
        <v>5290.7575660856564</v>
      </c>
      <c r="N24" s="115"/>
    </row>
    <row r="25" spans="1:14" ht="15.6" x14ac:dyDescent="0.3">
      <c r="A25" s="120">
        <v>44501</v>
      </c>
      <c r="B25" s="31">
        <v>105.4285714285714</v>
      </c>
      <c r="C25" s="90">
        <v>548.70730000000003</v>
      </c>
      <c r="D25" s="219">
        <v>1134.5875000000001</v>
      </c>
      <c r="E25" s="31">
        <v>101635.06</v>
      </c>
      <c r="F25" s="31">
        <f t="shared" si="0"/>
        <v>210155.52123645885</v>
      </c>
      <c r="G25" s="115">
        <f t="shared" si="1"/>
        <v>60981.035999999993</v>
      </c>
      <c r="H25" s="115">
        <f t="shared" si="2"/>
        <v>126093.3127418753</v>
      </c>
      <c r="I25" s="115">
        <f t="shared" si="3"/>
        <v>336248.83397833415</v>
      </c>
      <c r="J25" s="115">
        <v>53598.82</v>
      </c>
      <c r="K25" s="115">
        <f t="shared" si="4"/>
        <v>110828.76277889869</v>
      </c>
      <c r="L25" s="115">
        <v>2501.98</v>
      </c>
      <c r="M25" s="121">
        <f t="shared" si="5"/>
        <v>5173.4599361991359</v>
      </c>
      <c r="N25" s="115"/>
    </row>
    <row r="26" spans="1:14" ht="15.6" x14ac:dyDescent="0.3">
      <c r="A26" s="120">
        <v>44531</v>
      </c>
      <c r="B26" s="31">
        <v>106.95</v>
      </c>
      <c r="C26" s="90">
        <v>570.99810000000002</v>
      </c>
      <c r="D26" s="219">
        <v>1134.5875000000001</v>
      </c>
      <c r="E26" s="31">
        <v>172452.6</v>
      </c>
      <c r="F26" s="31">
        <f t="shared" si="0"/>
        <v>342667.62761995179</v>
      </c>
      <c r="G26" s="115">
        <f t="shared" si="1"/>
        <v>103471.56</v>
      </c>
      <c r="H26" s="115">
        <f t="shared" si="2"/>
        <v>205600.57657197109</v>
      </c>
      <c r="I26" s="115">
        <f t="shared" si="3"/>
        <v>548268.20419192291</v>
      </c>
      <c r="J26" s="115">
        <v>83578.2</v>
      </c>
      <c r="K26" s="115">
        <f t="shared" si="4"/>
        <v>166071.97290586433</v>
      </c>
      <c r="L26" s="115">
        <v>3752.98</v>
      </c>
      <c r="M26" s="121">
        <f t="shared" si="5"/>
        <v>7457.2650867840011</v>
      </c>
      <c r="N26" s="115"/>
    </row>
    <row r="27" spans="1:14" ht="15.6" x14ac:dyDescent="0.3">
      <c r="A27" s="120">
        <v>44562</v>
      </c>
      <c r="B27" s="31">
        <v>108.96428571428569</v>
      </c>
      <c r="C27" s="90">
        <v>593.42190000000005</v>
      </c>
      <c r="D27" s="219">
        <v>1134.5875000000001</v>
      </c>
      <c r="E27" s="31">
        <v>134783.96</v>
      </c>
      <c r="F27" s="31">
        <f t="shared" si="0"/>
        <v>257698.94271933677</v>
      </c>
      <c r="G27" s="115">
        <f t="shared" si="1"/>
        <v>80870.375999999989</v>
      </c>
      <c r="H27" s="115">
        <f t="shared" si="2"/>
        <v>154619.36563160206</v>
      </c>
      <c r="I27" s="115">
        <f t="shared" si="3"/>
        <v>412318.30835093884</v>
      </c>
      <c r="J27" s="115">
        <v>63350</v>
      </c>
      <c r="K27" s="115">
        <f t="shared" si="4"/>
        <v>121121.44517248182</v>
      </c>
      <c r="L27" s="115">
        <v>2852.26</v>
      </c>
      <c r="M27" s="121">
        <f t="shared" si="5"/>
        <v>5453.3520632622431</v>
      </c>
      <c r="N27" s="115"/>
    </row>
    <row r="28" spans="1:14" ht="15.6" x14ac:dyDescent="0.3">
      <c r="A28" s="120">
        <v>44593</v>
      </c>
      <c r="B28" s="31">
        <v>111.53947368421051</v>
      </c>
      <c r="C28" s="90">
        <v>620.50070000000005</v>
      </c>
      <c r="D28" s="219">
        <v>1134.5875000000001</v>
      </c>
      <c r="E28" s="31">
        <v>101635.06</v>
      </c>
      <c r="F28" s="31">
        <f t="shared" si="0"/>
        <v>185840.02989480912</v>
      </c>
      <c r="G28" s="115">
        <f t="shared" si="1"/>
        <v>60981.035999999993</v>
      </c>
      <c r="H28" s="115">
        <f t="shared" si="2"/>
        <v>111504.01793688547</v>
      </c>
      <c r="I28" s="115">
        <f t="shared" si="3"/>
        <v>297344.0478316946</v>
      </c>
      <c r="J28" s="115">
        <v>53618.78</v>
      </c>
      <c r="K28" s="115">
        <f t="shared" si="4"/>
        <v>98042.109466193986</v>
      </c>
      <c r="L28" s="115">
        <v>2501.98</v>
      </c>
      <c r="M28" s="121">
        <f t="shared" si="5"/>
        <v>4574.8783736263313</v>
      </c>
      <c r="N28" s="115"/>
    </row>
    <row r="29" spans="1:14" ht="15.6" x14ac:dyDescent="0.3">
      <c r="A29" s="120">
        <v>44621</v>
      </c>
      <c r="B29" s="31">
        <v>114.5833333333333</v>
      </c>
      <c r="C29" s="90">
        <v>661.86879999999996</v>
      </c>
      <c r="D29" s="219">
        <v>1134.5875000000001</v>
      </c>
      <c r="E29" s="31">
        <v>106450.94</v>
      </c>
      <c r="F29" s="31">
        <f t="shared" si="0"/>
        <v>182480.13184372796</v>
      </c>
      <c r="G29" s="115">
        <f t="shared" si="1"/>
        <v>63870.563999999998</v>
      </c>
      <c r="H29" s="115">
        <f t="shared" si="2"/>
        <v>109488.07910623678</v>
      </c>
      <c r="I29" s="115">
        <f t="shared" si="3"/>
        <v>291968.2109499647</v>
      </c>
      <c r="J29" s="115">
        <v>55370.26</v>
      </c>
      <c r="K29" s="115">
        <f t="shared" si="4"/>
        <v>94916.703835790424</v>
      </c>
      <c r="L29" s="115">
        <v>2623.14</v>
      </c>
      <c r="M29" s="121">
        <f t="shared" si="5"/>
        <v>4496.6341588393352</v>
      </c>
      <c r="N29" s="115"/>
    </row>
    <row r="30" spans="1:14" ht="15.6" x14ac:dyDescent="0.3">
      <c r="A30" s="120">
        <v>44652</v>
      </c>
      <c r="B30" s="31">
        <v>118.3552631578947</v>
      </c>
      <c r="C30" s="90">
        <v>702.82899999999995</v>
      </c>
      <c r="D30" s="219">
        <v>1134.5875000000001</v>
      </c>
      <c r="E30" s="31">
        <v>101730.74</v>
      </c>
      <c r="F30" s="31">
        <f t="shared" si="0"/>
        <v>164225.47443225881</v>
      </c>
      <c r="G30" s="115">
        <f t="shared" si="1"/>
        <v>61038.444000000003</v>
      </c>
      <c r="H30" s="115">
        <f t="shared" si="2"/>
        <v>98535.284659355282</v>
      </c>
      <c r="I30" s="115">
        <f t="shared" si="3"/>
        <v>262760.75909161411</v>
      </c>
      <c r="J30" s="115">
        <v>60827.96</v>
      </c>
      <c r="K30" s="115">
        <f t="shared" si="4"/>
        <v>98195.497150089155</v>
      </c>
      <c r="L30" s="115">
        <v>2559.2600000000002</v>
      </c>
      <c r="M30" s="121">
        <f t="shared" si="5"/>
        <v>4131.4521814694617</v>
      </c>
      <c r="N30" s="115"/>
    </row>
    <row r="31" spans="1:14" ht="15.6" x14ac:dyDescent="0.3">
      <c r="A31" s="120">
        <v>44682</v>
      </c>
      <c r="B31" s="31">
        <v>122.9</v>
      </c>
      <c r="C31" s="90">
        <v>736.36369999999999</v>
      </c>
      <c r="D31" s="219">
        <v>1134.5875000000001</v>
      </c>
      <c r="E31" s="31">
        <v>101730.74</v>
      </c>
      <c r="F31" s="31">
        <f t="shared" si="0"/>
        <v>156746.49085737119</v>
      </c>
      <c r="G31" s="115">
        <f t="shared" si="1"/>
        <v>61038.444000000003</v>
      </c>
      <c r="H31" s="115">
        <f t="shared" si="2"/>
        <v>94047.894514422704</v>
      </c>
      <c r="I31" s="115">
        <f t="shared" si="3"/>
        <v>250794.38537179388</v>
      </c>
      <c r="J31" s="115">
        <v>60827.96</v>
      </c>
      <c r="K31" s="115">
        <f t="shared" si="4"/>
        <v>93723.581249999159</v>
      </c>
      <c r="L31" s="115">
        <v>2559.2600000000002</v>
      </c>
      <c r="M31" s="121">
        <f t="shared" si="5"/>
        <v>3943.3019379553884</v>
      </c>
      <c r="N31" s="115"/>
    </row>
    <row r="32" spans="1:14" ht="15.6" x14ac:dyDescent="0.3">
      <c r="A32" s="120">
        <v>44713</v>
      </c>
      <c r="B32" s="31">
        <v>127.675</v>
      </c>
      <c r="C32" s="90">
        <v>776.67010000000005</v>
      </c>
      <c r="D32" s="219">
        <v>1134.5875000000001</v>
      </c>
      <c r="E32" s="31">
        <v>159662.70000000001</v>
      </c>
      <c r="F32" s="31">
        <f t="shared" si="0"/>
        <v>233240.99078392488</v>
      </c>
      <c r="G32" s="115">
        <f t="shared" si="1"/>
        <v>95797.62000000001</v>
      </c>
      <c r="H32" s="115">
        <f t="shared" si="2"/>
        <v>139944.59447035493</v>
      </c>
      <c r="I32" s="115">
        <f t="shared" si="3"/>
        <v>373185.58525427978</v>
      </c>
      <c r="J32" s="115">
        <v>92777.26</v>
      </c>
      <c r="K32" s="115">
        <f t="shared" si="4"/>
        <v>135532.34440240456</v>
      </c>
      <c r="L32" s="115">
        <v>3985.4</v>
      </c>
      <c r="M32" s="121">
        <f t="shared" si="5"/>
        <v>5822.0150646973543</v>
      </c>
      <c r="N32" s="115"/>
    </row>
    <row r="33" spans="1:20" ht="15.6" x14ac:dyDescent="0.3">
      <c r="A33" s="120">
        <v>44743</v>
      </c>
      <c r="B33" s="31">
        <v>134.72619047619051</v>
      </c>
      <c r="C33" s="90">
        <v>833.88940000000002</v>
      </c>
      <c r="D33" s="219">
        <v>1134.5875000000001</v>
      </c>
      <c r="E33" s="31">
        <v>132249.98000000001</v>
      </c>
      <c r="F33" s="31">
        <f t="shared" si="0"/>
        <v>179938.93936444091</v>
      </c>
      <c r="G33" s="115">
        <f t="shared" si="1"/>
        <v>79349.987999999998</v>
      </c>
      <c r="H33" s="115">
        <f t="shared" si="2"/>
        <v>107963.36361866453</v>
      </c>
      <c r="I33" s="115">
        <f t="shared" si="3"/>
        <v>287902.30298310542</v>
      </c>
      <c r="J33" s="115">
        <v>80836.759999999995</v>
      </c>
      <c r="K33" s="115">
        <f t="shared" si="4"/>
        <v>109986.26129136549</v>
      </c>
      <c r="L33" s="115">
        <v>3327.04</v>
      </c>
      <c r="M33" s="121">
        <f t="shared" si="5"/>
        <v>4526.7609781345109</v>
      </c>
      <c r="N33" s="115"/>
    </row>
    <row r="34" spans="1:20" ht="15.6" x14ac:dyDescent="0.3">
      <c r="A34" s="120">
        <v>44774</v>
      </c>
      <c r="B34" s="31">
        <v>141.64772727272731</v>
      </c>
      <c r="C34" s="90">
        <v>891.851</v>
      </c>
      <c r="D34" s="219">
        <v>1134.5875000000001</v>
      </c>
      <c r="E34" s="31">
        <v>156106.14000000001</v>
      </c>
      <c r="F34" s="31">
        <f t="shared" si="0"/>
        <v>198593.79550760164</v>
      </c>
      <c r="G34" s="115">
        <f t="shared" si="1"/>
        <v>93663.684000000008</v>
      </c>
      <c r="H34" s="115">
        <f t="shared" si="2"/>
        <v>119156.27730456099</v>
      </c>
      <c r="I34" s="115">
        <f t="shared" si="3"/>
        <v>317750.07281216263</v>
      </c>
      <c r="J34" s="115">
        <v>96517.36</v>
      </c>
      <c r="K34" s="115">
        <f t="shared" si="4"/>
        <v>122786.64282374523</v>
      </c>
      <c r="L34" s="115">
        <v>3927.2</v>
      </c>
      <c r="M34" s="121">
        <f t="shared" si="5"/>
        <v>4996.0722474942568</v>
      </c>
      <c r="N34" s="115"/>
    </row>
    <row r="35" spans="1:20" ht="15.6" x14ac:dyDescent="0.3">
      <c r="A35" s="120">
        <v>44805</v>
      </c>
      <c r="B35" s="31">
        <v>149.61904761904759</v>
      </c>
      <c r="C35" s="90">
        <v>945.68359999999996</v>
      </c>
      <c r="D35" s="219">
        <v>1134.5875000000001</v>
      </c>
      <c r="E35" s="31">
        <v>157578.84</v>
      </c>
      <c r="F35" s="31">
        <f t="shared" si="0"/>
        <v>189055.81330637439</v>
      </c>
      <c r="G35" s="115">
        <f t="shared" si="1"/>
        <v>94547.303999999989</v>
      </c>
      <c r="H35" s="115">
        <f t="shared" si="2"/>
        <v>113433.48798382461</v>
      </c>
      <c r="I35" s="115">
        <f t="shared" si="3"/>
        <v>302489.30129019899</v>
      </c>
      <c r="J35" s="115">
        <v>97481.72</v>
      </c>
      <c r="K35" s="115">
        <f t="shared" si="4"/>
        <v>116954.0647532642</v>
      </c>
      <c r="L35" s="115">
        <v>3924.24</v>
      </c>
      <c r="M35" s="121">
        <f t="shared" si="5"/>
        <v>4708.1218824139496</v>
      </c>
      <c r="N35" s="115"/>
    </row>
    <row r="36" spans="1:20" ht="15.6" x14ac:dyDescent="0.3">
      <c r="A36" s="120">
        <v>44835</v>
      </c>
      <c r="B36" s="31">
        <v>158.61842105263159</v>
      </c>
      <c r="C36" s="90">
        <v>1007.6275000000001</v>
      </c>
      <c r="D36" s="219">
        <v>1134.5875000000001</v>
      </c>
      <c r="E36" s="31">
        <v>168284</v>
      </c>
      <c r="F36" s="31">
        <f t="shared" si="0"/>
        <v>189487.60613421132</v>
      </c>
      <c r="G36" s="115">
        <f t="shared" si="1"/>
        <v>100970.4</v>
      </c>
      <c r="H36" s="115">
        <f t="shared" si="2"/>
        <v>113692.56368052679</v>
      </c>
      <c r="I36" s="115">
        <f t="shared" si="3"/>
        <v>303180.1698147381</v>
      </c>
      <c r="J36" s="115">
        <v>104507.72</v>
      </c>
      <c r="K36" s="115">
        <f t="shared" si="4"/>
        <v>117675.58226179813</v>
      </c>
      <c r="L36" s="115">
        <v>4233.5600000000004</v>
      </c>
      <c r="M36" s="121">
        <f t="shared" si="5"/>
        <v>4766.9840853886981</v>
      </c>
      <c r="N36" s="115"/>
    </row>
    <row r="37" spans="1:20" ht="15.6" x14ac:dyDescent="0.3">
      <c r="A37" s="120">
        <v>44866</v>
      </c>
      <c r="B37" s="31">
        <v>168.39285714285711</v>
      </c>
      <c r="C37" s="90">
        <v>1058.0026</v>
      </c>
      <c r="D37" s="219">
        <v>1134.5875000000001</v>
      </c>
      <c r="E37" s="31">
        <v>168284</v>
      </c>
      <c r="F37" s="31">
        <f t="shared" si="0"/>
        <v>180465.4571264759</v>
      </c>
      <c r="G37" s="115">
        <f t="shared" si="1"/>
        <v>100970.4</v>
      </c>
      <c r="H37" s="115">
        <f t="shared" si="2"/>
        <v>108279.27427588553</v>
      </c>
      <c r="I37" s="115">
        <f t="shared" si="3"/>
        <v>288744.73140236142</v>
      </c>
      <c r="J37" s="115">
        <v>108646.9</v>
      </c>
      <c r="K37" s="115">
        <f t="shared" si="4"/>
        <v>116511.44775423993</v>
      </c>
      <c r="L37" s="115">
        <v>4233.5600000000004</v>
      </c>
      <c r="M37" s="121">
        <f t="shared" si="5"/>
        <v>4540.0117698198483</v>
      </c>
      <c r="N37" s="115"/>
    </row>
    <row r="38" spans="1:20" ht="15.6" x14ac:dyDescent="0.3">
      <c r="A38" s="122">
        <v>44896</v>
      </c>
      <c r="B38" s="158">
        <v>179.28749999999999</v>
      </c>
      <c r="C38" s="159">
        <v>1114.5359000000001</v>
      </c>
      <c r="D38" s="220">
        <v>1134.5875000000001</v>
      </c>
      <c r="E38" s="158">
        <v>374568.66</v>
      </c>
      <c r="F38" s="158">
        <f t="shared" si="0"/>
        <v>381307.51959425444</v>
      </c>
      <c r="G38" s="126">
        <f t="shared" si="1"/>
        <v>224741.19599999997</v>
      </c>
      <c r="H38" s="126">
        <f t="shared" si="2"/>
        <v>228784.51175655262</v>
      </c>
      <c r="I38" s="126">
        <f t="shared" si="3"/>
        <v>610092.03135080705</v>
      </c>
      <c r="J38" s="126">
        <v>174155.62</v>
      </c>
      <c r="K38" s="126">
        <f t="shared" si="4"/>
        <v>177288.85135664989</v>
      </c>
      <c r="L38" s="126">
        <v>6907.38</v>
      </c>
      <c r="M38" s="123">
        <f t="shared" si="5"/>
        <v>7031.6505782810582</v>
      </c>
      <c r="N38" s="115"/>
    </row>
    <row r="43" spans="1:20" ht="17.399999999999999" x14ac:dyDescent="0.3">
      <c r="S43" s="664" t="s">
        <v>258</v>
      </c>
      <c r="T43" s="665"/>
    </row>
    <row r="44" spans="1:20" ht="15.6" x14ac:dyDescent="0.3">
      <c r="S44" s="116" t="s">
        <v>19</v>
      </c>
      <c r="T44" s="116" t="s">
        <v>316</v>
      </c>
    </row>
    <row r="45" spans="1:20" ht="15.6" x14ac:dyDescent="0.3">
      <c r="S45" s="657" t="s">
        <v>315</v>
      </c>
      <c r="T45" s="117" t="s">
        <v>248</v>
      </c>
    </row>
    <row r="46" spans="1:20" ht="15.6" x14ac:dyDescent="0.3">
      <c r="S46" s="658"/>
      <c r="T46" s="139" t="s">
        <v>260</v>
      </c>
    </row>
    <row r="47" spans="1:20" ht="15.6" x14ac:dyDescent="0.3">
      <c r="S47" s="659"/>
      <c r="T47" s="141" t="s">
        <v>261</v>
      </c>
    </row>
    <row r="48" spans="1:20" ht="15.6" x14ac:dyDescent="0.3">
      <c r="S48" s="657" t="s">
        <v>314</v>
      </c>
      <c r="T48" s="139" t="s">
        <v>312</v>
      </c>
    </row>
    <row r="49" spans="19:20" ht="15.6" x14ac:dyDescent="0.3">
      <c r="S49" s="659"/>
      <c r="T49" s="141" t="s">
        <v>313</v>
      </c>
    </row>
    <row r="50" spans="19:20" ht="15.6" x14ac:dyDescent="0.3">
      <c r="S50" s="657" t="s">
        <v>359</v>
      </c>
      <c r="T50" s="142" t="s">
        <v>3</v>
      </c>
    </row>
    <row r="51" spans="19:20" ht="15.6" x14ac:dyDescent="0.3">
      <c r="S51" s="658"/>
      <c r="T51" s="138" t="s">
        <v>259</v>
      </c>
    </row>
    <row r="52" spans="19:20" ht="15.6" x14ac:dyDescent="0.3">
      <c r="S52" s="658"/>
      <c r="T52" s="138" t="s">
        <v>262</v>
      </c>
    </row>
    <row r="53" spans="19:20" ht="15.6" x14ac:dyDescent="0.3">
      <c r="S53" s="659"/>
      <c r="T53" s="140" t="s">
        <v>263</v>
      </c>
    </row>
  </sheetData>
  <mergeCells count="6">
    <mergeCell ref="S50:S53"/>
    <mergeCell ref="R1:AA1"/>
    <mergeCell ref="A1:M1"/>
    <mergeCell ref="S43:T43"/>
    <mergeCell ref="S45:S47"/>
    <mergeCell ref="S48:S49"/>
  </mergeCells>
  <phoneticPr fontId="2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54FEF-05CC-4AEB-830B-DC5CB49440ED}">
  <dimension ref="A1:G18"/>
  <sheetViews>
    <sheetView workbookViewId="0">
      <selection activeCell="A23" sqref="A23"/>
    </sheetView>
  </sheetViews>
  <sheetFormatPr baseColWidth="10" defaultRowHeight="14.4" x14ac:dyDescent="0.3"/>
  <cols>
    <col min="1" max="1" width="40.44140625" bestFit="1" customWidth="1"/>
    <col min="2" max="3" width="16" bestFit="1" customWidth="1"/>
    <col min="4" max="5" width="17.21875" bestFit="1" customWidth="1"/>
    <col min="6" max="7" width="12.6640625" bestFit="1" customWidth="1"/>
  </cols>
  <sheetData>
    <row r="1" spans="1:7" ht="18.600000000000001" x14ac:dyDescent="0.3">
      <c r="A1" s="666" t="s">
        <v>442</v>
      </c>
      <c r="B1" s="667"/>
      <c r="C1" s="667"/>
      <c r="D1" s="667"/>
      <c r="E1" s="667"/>
      <c r="F1" s="667"/>
      <c r="G1" s="668"/>
    </row>
    <row r="2" spans="1:7" ht="18.600000000000001" x14ac:dyDescent="0.3">
      <c r="A2" s="241"/>
      <c r="B2" s="296">
        <v>2022</v>
      </c>
      <c r="C2" s="296">
        <v>2023</v>
      </c>
      <c r="D2" s="296">
        <v>2024</v>
      </c>
      <c r="E2" s="296">
        <v>2025</v>
      </c>
      <c r="F2" s="296">
        <v>2026</v>
      </c>
      <c r="G2" s="297">
        <v>2027</v>
      </c>
    </row>
    <row r="3" spans="1:7" ht="15.6" x14ac:dyDescent="0.3">
      <c r="A3" s="295" t="s">
        <v>444</v>
      </c>
      <c r="B3" s="31">
        <v>28073.610309491087</v>
      </c>
      <c r="C3" s="31">
        <v>64007.831505639682</v>
      </c>
      <c r="D3" s="31">
        <v>133072.28170022491</v>
      </c>
      <c r="E3" s="31">
        <v>207459.68717065064</v>
      </c>
      <c r="F3" s="31">
        <v>311189.53075597598</v>
      </c>
      <c r="G3" s="92">
        <v>451224.81959616521</v>
      </c>
    </row>
    <row r="4" spans="1:7" ht="15.6" x14ac:dyDescent="0.3">
      <c r="A4" s="65" t="s">
        <v>443</v>
      </c>
      <c r="B4" s="11">
        <v>114.5</v>
      </c>
      <c r="C4" s="11">
        <v>0</v>
      </c>
      <c r="D4" s="11">
        <v>235</v>
      </c>
      <c r="E4" s="11">
        <v>320</v>
      </c>
      <c r="F4" s="11">
        <v>0</v>
      </c>
      <c r="G4" s="161">
        <v>0</v>
      </c>
    </row>
    <row r="5" spans="1:7" ht="15.6" x14ac:dyDescent="0.3">
      <c r="A5" s="65" t="s">
        <v>445</v>
      </c>
      <c r="B5" s="31">
        <v>792.00455495369476</v>
      </c>
      <c r="C5" s="31">
        <v>1805.7703852944242</v>
      </c>
      <c r="D5" s="31">
        <v>3754.1966310271077</v>
      </c>
      <c r="E5" s="31">
        <v>5852.7925477712615</v>
      </c>
      <c r="F5" s="31">
        <v>8779.1888216568914</v>
      </c>
      <c r="G5" s="92">
        <v>12729.823791402492</v>
      </c>
    </row>
    <row r="6" spans="1:7" ht="15.6" x14ac:dyDescent="0.3">
      <c r="A6" s="290" t="s">
        <v>446</v>
      </c>
      <c r="B6" s="11">
        <v>875</v>
      </c>
      <c r="C6" s="11">
        <v>0</v>
      </c>
      <c r="D6" s="11">
        <v>225</v>
      </c>
      <c r="E6" s="11">
        <v>0</v>
      </c>
      <c r="F6" s="11">
        <v>0</v>
      </c>
      <c r="G6" s="161">
        <v>0</v>
      </c>
    </row>
    <row r="7" spans="1:7" ht="15.6" x14ac:dyDescent="0.3">
      <c r="A7" s="294" t="s">
        <v>447</v>
      </c>
      <c r="B7" s="31">
        <v>7100.6746229939736</v>
      </c>
      <c r="C7" s="31">
        <v>16189.538140426259</v>
      </c>
      <c r="D7" s="31">
        <v>33658.049793946193</v>
      </c>
      <c r="E7" s="31">
        <v>52472.899628762112</v>
      </c>
      <c r="F7" s="31">
        <v>78709.349443143175</v>
      </c>
      <c r="G7" s="92">
        <v>114128.55669255761</v>
      </c>
    </row>
    <row r="8" spans="1:7" ht="15.6" x14ac:dyDescent="0.3">
      <c r="A8" s="294" t="s">
        <v>448</v>
      </c>
      <c r="B8" s="11">
        <v>80</v>
      </c>
      <c r="C8" s="11">
        <v>160</v>
      </c>
      <c r="D8" s="11">
        <v>0</v>
      </c>
      <c r="E8" s="11">
        <v>0</v>
      </c>
      <c r="F8" s="11">
        <v>0</v>
      </c>
      <c r="G8" s="161">
        <v>0</v>
      </c>
    </row>
    <row r="9" spans="1:7" ht="15.6" x14ac:dyDescent="0.3">
      <c r="A9" s="294" t="s">
        <v>233</v>
      </c>
      <c r="B9" s="11" t="s">
        <v>9</v>
      </c>
      <c r="C9" s="11">
        <v>1.28</v>
      </c>
      <c r="D9" s="11">
        <v>1.079</v>
      </c>
      <c r="E9" s="11">
        <v>0.55900000000000005</v>
      </c>
      <c r="F9" s="11">
        <v>0.5</v>
      </c>
      <c r="G9" s="161">
        <v>0.45</v>
      </c>
    </row>
    <row r="10" spans="1:7" ht="15.6" x14ac:dyDescent="0.3">
      <c r="A10" s="291" t="s">
        <v>0</v>
      </c>
      <c r="B10" s="292">
        <v>3800456.3759690174</v>
      </c>
      <c r="C10" s="292">
        <v>2590326.1024682014</v>
      </c>
      <c r="D10" s="292">
        <v>25549563.339627855</v>
      </c>
      <c r="E10" s="292">
        <v>52445808.916740477</v>
      </c>
      <c r="F10" s="292">
        <v>0</v>
      </c>
      <c r="G10" s="293">
        <v>0</v>
      </c>
    </row>
    <row r="18" spans="7:7" x14ac:dyDescent="0.3">
      <c r="G18" t="s">
        <v>452</v>
      </c>
    </row>
  </sheetData>
  <mergeCells count="1">
    <mergeCell ref="A1:G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A0BFB-E474-46CD-B0F0-0A807DCC811E}">
  <dimension ref="A1:AF136"/>
  <sheetViews>
    <sheetView zoomScale="101" workbookViewId="0">
      <selection activeCell="D15" sqref="D15"/>
    </sheetView>
  </sheetViews>
  <sheetFormatPr baseColWidth="10" defaultRowHeight="14.4" x14ac:dyDescent="0.3"/>
  <cols>
    <col min="1" max="1" width="69.109375" bestFit="1" customWidth="1"/>
    <col min="2" max="2" width="25.88671875" bestFit="1" customWidth="1"/>
    <col min="3" max="3" width="21.33203125" bestFit="1" customWidth="1"/>
    <col min="4" max="4" width="17.6640625" bestFit="1" customWidth="1"/>
    <col min="5" max="5" width="9.44140625" bestFit="1" customWidth="1"/>
    <col min="6" max="6" width="14.77734375" bestFit="1" customWidth="1"/>
    <col min="7" max="7" width="8.5546875" bestFit="1" customWidth="1"/>
    <col min="8" max="8" width="15.88671875" bestFit="1" customWidth="1"/>
    <col min="9" max="9" width="14.44140625" bestFit="1" customWidth="1"/>
    <col min="10" max="10" width="13.77734375" bestFit="1" customWidth="1"/>
    <col min="11" max="11" width="17.109375" bestFit="1" customWidth="1"/>
    <col min="12" max="12" width="13.44140625" bestFit="1" customWidth="1"/>
    <col min="13" max="13" width="12.88671875" bestFit="1" customWidth="1"/>
    <col min="14" max="14" width="33.6640625" bestFit="1" customWidth="1"/>
    <col min="15" max="15" width="15.109375" bestFit="1" customWidth="1"/>
    <col min="16" max="16" width="8.5546875" bestFit="1" customWidth="1"/>
    <col min="17" max="17" width="15.21875" hidden="1" customWidth="1"/>
    <col min="18" max="18" width="16.88671875" bestFit="1" customWidth="1"/>
    <col min="20" max="20" width="13.44140625" bestFit="1" customWidth="1"/>
  </cols>
  <sheetData>
    <row r="1" spans="1:32" ht="17.399999999999999" x14ac:dyDescent="0.3">
      <c r="A1" s="670" t="s">
        <v>426</v>
      </c>
      <c r="B1" s="671"/>
      <c r="C1" s="671"/>
      <c r="D1" s="671"/>
      <c r="E1" s="671"/>
      <c r="F1" s="671"/>
      <c r="G1" s="671"/>
      <c r="H1" s="671"/>
      <c r="I1" s="671"/>
      <c r="J1" s="671"/>
      <c r="K1" s="671"/>
      <c r="L1" s="671"/>
      <c r="M1" s="671"/>
      <c r="N1" s="671"/>
      <c r="O1" s="671"/>
      <c r="P1" s="671"/>
      <c r="Q1" s="671"/>
      <c r="R1" s="672"/>
      <c r="U1" s="669"/>
      <c r="V1" s="669"/>
      <c r="W1" s="669"/>
      <c r="X1" s="669"/>
      <c r="Y1" s="669"/>
      <c r="Z1" s="669"/>
      <c r="AA1" s="669"/>
      <c r="AB1" s="669"/>
      <c r="AC1" s="669"/>
      <c r="AD1" s="669"/>
      <c r="AE1" s="669"/>
      <c r="AF1" s="669"/>
    </row>
    <row r="2" spans="1:32" ht="15.6" x14ac:dyDescent="0.3">
      <c r="A2" s="34" t="s">
        <v>19</v>
      </c>
      <c r="B2" s="34" t="s">
        <v>96</v>
      </c>
      <c r="C2" s="34" t="s">
        <v>97</v>
      </c>
      <c r="D2" s="32" t="s">
        <v>102</v>
      </c>
      <c r="E2" s="32" t="s">
        <v>20</v>
      </c>
      <c r="F2" s="33" t="s">
        <v>145</v>
      </c>
      <c r="G2" s="33" t="s">
        <v>22</v>
      </c>
      <c r="H2" s="33" t="s">
        <v>107</v>
      </c>
      <c r="I2" s="33" t="s">
        <v>360</v>
      </c>
      <c r="J2" s="33" t="s">
        <v>105</v>
      </c>
      <c r="K2" s="33" t="s">
        <v>361</v>
      </c>
      <c r="L2" s="201" t="s">
        <v>362</v>
      </c>
      <c r="M2" s="33" t="s">
        <v>11</v>
      </c>
      <c r="N2" s="205" t="s">
        <v>372</v>
      </c>
      <c r="O2" s="33" t="s">
        <v>103</v>
      </c>
      <c r="P2" s="33" t="s">
        <v>22</v>
      </c>
      <c r="Q2" s="33" t="s">
        <v>214</v>
      </c>
      <c r="R2" s="33" t="s">
        <v>215</v>
      </c>
    </row>
    <row r="3" spans="1:32" ht="18.600000000000001" customHeight="1" x14ac:dyDescent="0.3">
      <c r="A3" s="673" t="s">
        <v>78</v>
      </c>
      <c r="B3" s="674"/>
      <c r="C3" s="674"/>
      <c r="D3" s="674"/>
      <c r="E3" s="674"/>
      <c r="F3" s="674"/>
      <c r="G3" s="674"/>
      <c r="H3" s="674"/>
      <c r="I3" s="674"/>
      <c r="J3" s="674"/>
      <c r="K3" s="674"/>
      <c r="L3" s="674"/>
      <c r="M3" s="674"/>
      <c r="N3" s="674"/>
      <c r="O3" s="674"/>
      <c r="P3" s="674"/>
      <c r="Q3" s="674"/>
      <c r="R3" s="675"/>
    </row>
    <row r="4" spans="1:32" ht="18.600000000000001" customHeight="1" x14ac:dyDescent="0.3">
      <c r="A4" s="48" t="s">
        <v>79</v>
      </c>
      <c r="B4" s="207" t="s">
        <v>104</v>
      </c>
      <c r="C4" s="208" t="s">
        <v>9</v>
      </c>
      <c r="D4" s="209" t="s">
        <v>24</v>
      </c>
      <c r="E4" s="209">
        <v>5</v>
      </c>
      <c r="F4" s="49">
        <v>15000</v>
      </c>
      <c r="G4" s="49" t="s">
        <v>23</v>
      </c>
      <c r="H4" s="49">
        <f>E4*F4</f>
        <v>75000</v>
      </c>
      <c r="I4" s="49"/>
      <c r="J4" s="49" t="s">
        <v>9</v>
      </c>
      <c r="K4" s="49">
        <v>0</v>
      </c>
      <c r="L4" s="49"/>
      <c r="M4" s="49"/>
      <c r="N4" s="49">
        <f>H4*O4</f>
        <v>13446750</v>
      </c>
      <c r="O4" s="54">
        <v>179.29</v>
      </c>
      <c r="P4" s="49" t="s">
        <v>23</v>
      </c>
      <c r="Q4" s="49">
        <f>F4</f>
        <v>15000</v>
      </c>
      <c r="R4" s="50">
        <f>E4*F4</f>
        <v>75000</v>
      </c>
    </row>
    <row r="5" spans="1:32" ht="16.2" customHeight="1" x14ac:dyDescent="0.3">
      <c r="A5" s="39" t="s">
        <v>47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67"/>
      <c r="R5" s="51"/>
    </row>
    <row r="6" spans="1:32" ht="15.6" x14ac:dyDescent="0.3">
      <c r="A6" s="48" t="s">
        <v>89</v>
      </c>
      <c r="B6" s="210" t="s">
        <v>106</v>
      </c>
      <c r="C6" s="211">
        <v>45069</v>
      </c>
      <c r="D6" s="209" t="s">
        <v>109</v>
      </c>
      <c r="E6" s="209">
        <v>315</v>
      </c>
      <c r="F6" s="49">
        <v>17704.129000000001</v>
      </c>
      <c r="G6" s="49" t="s">
        <v>45</v>
      </c>
      <c r="H6" s="49">
        <f>E6*F6</f>
        <v>5576800.6350000007</v>
      </c>
      <c r="I6" s="49" t="s">
        <v>317</v>
      </c>
      <c r="J6" s="52">
        <v>0.13</v>
      </c>
      <c r="K6" s="53">
        <f>H6-(H6*J6)</f>
        <v>4851816.5524500003</v>
      </c>
      <c r="L6" s="107">
        <v>1475.1378</v>
      </c>
      <c r="M6" s="212">
        <v>1134.5875000000001</v>
      </c>
      <c r="N6" s="14">
        <f>(K6*M6)/L6</f>
        <v>3731726.2242909549</v>
      </c>
      <c r="O6" s="54">
        <v>244</v>
      </c>
      <c r="P6" s="49" t="s">
        <v>23</v>
      </c>
      <c r="Q6" s="49">
        <f t="shared" ref="Q6:Q41" si="0">R6/E6</f>
        <v>63.125377991803276</v>
      </c>
      <c r="R6" s="50">
        <f t="shared" ref="R6:R41" si="1">K6/O6</f>
        <v>19884.494067418033</v>
      </c>
    </row>
    <row r="7" spans="1:32" ht="15.6" x14ac:dyDescent="0.3">
      <c r="A7" s="48" t="s">
        <v>88</v>
      </c>
      <c r="B7" s="207" t="s">
        <v>106</v>
      </c>
      <c r="C7" s="211">
        <v>45069</v>
      </c>
      <c r="D7" s="209" t="s">
        <v>110</v>
      </c>
      <c r="E7" s="209">
        <v>93</v>
      </c>
      <c r="F7" s="49">
        <v>35261.260999999999</v>
      </c>
      <c r="G7" s="49" t="s">
        <v>45</v>
      </c>
      <c r="H7" s="49">
        <f t="shared" ref="H7:H16" si="2">E7*F7</f>
        <v>3279297.273</v>
      </c>
      <c r="I7" s="49" t="s">
        <v>317</v>
      </c>
      <c r="J7" s="52">
        <v>0.13</v>
      </c>
      <c r="K7" s="53">
        <f t="shared" ref="K7:K16" si="3">H7-(H7*J7)</f>
        <v>2852988.62751</v>
      </c>
      <c r="L7" s="107">
        <v>1475.1378</v>
      </c>
      <c r="M7" s="212">
        <v>1134.5875000000001</v>
      </c>
      <c r="N7" s="14">
        <f t="shared" ref="N7:N15" si="4">(K7*M7)/L7</f>
        <v>2194347.6971541252</v>
      </c>
      <c r="O7" s="54">
        <v>244</v>
      </c>
      <c r="P7" s="49" t="s">
        <v>23</v>
      </c>
      <c r="Q7" s="49">
        <f t="shared" si="0"/>
        <v>125.72662733606558</v>
      </c>
      <c r="R7" s="50">
        <f t="shared" si="1"/>
        <v>11692.576342254099</v>
      </c>
    </row>
    <row r="8" spans="1:32" ht="15.6" x14ac:dyDescent="0.3">
      <c r="A8" s="48" t="s">
        <v>27</v>
      </c>
      <c r="B8" s="210" t="s">
        <v>106</v>
      </c>
      <c r="C8" s="211">
        <v>45069</v>
      </c>
      <c r="D8" s="209" t="s">
        <v>111</v>
      </c>
      <c r="E8" s="209">
        <v>240</v>
      </c>
      <c r="F8" s="49">
        <v>5022.0690000000004</v>
      </c>
      <c r="G8" s="49" t="s">
        <v>45</v>
      </c>
      <c r="H8" s="49">
        <f t="shared" si="2"/>
        <v>1205296.56</v>
      </c>
      <c r="I8" s="49" t="s">
        <v>317</v>
      </c>
      <c r="J8" s="52">
        <v>0.13</v>
      </c>
      <c r="K8" s="53">
        <f t="shared" si="3"/>
        <v>1048608.0072000001</v>
      </c>
      <c r="L8" s="107">
        <v>1475.1378</v>
      </c>
      <c r="M8" s="212">
        <v>1134.5875000000001</v>
      </c>
      <c r="N8" s="14">
        <f t="shared" si="4"/>
        <v>806526.37154917337</v>
      </c>
      <c r="O8" s="54">
        <v>244</v>
      </c>
      <c r="P8" s="49" t="s">
        <v>23</v>
      </c>
      <c r="Q8" s="49">
        <f t="shared" si="0"/>
        <v>17.906557500000002</v>
      </c>
      <c r="R8" s="50">
        <f t="shared" si="1"/>
        <v>4297.5738000000001</v>
      </c>
    </row>
    <row r="9" spans="1:32" ht="15.6" x14ac:dyDescent="0.3">
      <c r="A9" s="48" t="s">
        <v>28</v>
      </c>
      <c r="B9" s="210" t="s">
        <v>106</v>
      </c>
      <c r="C9" s="211">
        <v>45069</v>
      </c>
      <c r="D9" s="209" t="s">
        <v>111</v>
      </c>
      <c r="E9" s="209">
        <v>400</v>
      </c>
      <c r="F9" s="49">
        <v>3475.2269999999999</v>
      </c>
      <c r="G9" s="49" t="s">
        <v>45</v>
      </c>
      <c r="H9" s="49">
        <f t="shared" si="2"/>
        <v>1390090.8</v>
      </c>
      <c r="I9" s="49" t="s">
        <v>317</v>
      </c>
      <c r="J9" s="52">
        <v>0.13</v>
      </c>
      <c r="K9" s="53">
        <f t="shared" si="3"/>
        <v>1209378.996</v>
      </c>
      <c r="L9" s="107">
        <v>1475.1378</v>
      </c>
      <c r="M9" s="212">
        <v>1134.5875000000001</v>
      </c>
      <c r="N9" s="14">
        <f t="shared" si="4"/>
        <v>930181.77123801608</v>
      </c>
      <c r="O9" s="54">
        <v>244</v>
      </c>
      <c r="P9" s="49" t="s">
        <v>23</v>
      </c>
      <c r="Q9" s="49">
        <f t="shared" si="0"/>
        <v>12.391178237704919</v>
      </c>
      <c r="R9" s="50">
        <f t="shared" si="1"/>
        <v>4956.4712950819676</v>
      </c>
    </row>
    <row r="10" spans="1:32" ht="15.6" x14ac:dyDescent="0.3">
      <c r="A10" s="55" t="s">
        <v>30</v>
      </c>
      <c r="B10" s="210" t="s">
        <v>106</v>
      </c>
      <c r="C10" s="211">
        <v>45069</v>
      </c>
      <c r="D10" s="209" t="s">
        <v>111</v>
      </c>
      <c r="E10" s="209">
        <v>300</v>
      </c>
      <c r="F10" s="49">
        <v>2222.2539999999999</v>
      </c>
      <c r="G10" s="49" t="s">
        <v>45</v>
      </c>
      <c r="H10" s="49">
        <f t="shared" si="2"/>
        <v>666676.19999999995</v>
      </c>
      <c r="I10" s="49" t="s">
        <v>317</v>
      </c>
      <c r="J10" s="52">
        <v>0.13</v>
      </c>
      <c r="K10" s="53">
        <f t="shared" si="3"/>
        <v>580008.29399999999</v>
      </c>
      <c r="L10" s="107">
        <v>1475.1378</v>
      </c>
      <c r="M10" s="212">
        <v>1134.5875000000001</v>
      </c>
      <c r="N10" s="14">
        <f t="shared" si="4"/>
        <v>446107.58416517091</v>
      </c>
      <c r="O10" s="54">
        <v>244</v>
      </c>
      <c r="P10" s="49" t="s">
        <v>23</v>
      </c>
      <c r="Q10" s="49">
        <f t="shared" si="0"/>
        <v>7.9236105737704916</v>
      </c>
      <c r="R10" s="50">
        <f t="shared" si="1"/>
        <v>2377.0831721311474</v>
      </c>
    </row>
    <row r="11" spans="1:32" ht="15.6" x14ac:dyDescent="0.3">
      <c r="A11" s="48" t="s">
        <v>29</v>
      </c>
      <c r="B11" s="210" t="s">
        <v>106</v>
      </c>
      <c r="C11" s="211">
        <v>45069</v>
      </c>
      <c r="D11" s="209" t="s">
        <v>111</v>
      </c>
      <c r="E11" s="209">
        <v>450</v>
      </c>
      <c r="F11" s="49">
        <v>1592.633</v>
      </c>
      <c r="G11" s="49" t="s">
        <v>45</v>
      </c>
      <c r="H11" s="49">
        <f t="shared" si="2"/>
        <v>716684.85</v>
      </c>
      <c r="I11" s="49" t="s">
        <v>317</v>
      </c>
      <c r="J11" s="52">
        <v>0.13</v>
      </c>
      <c r="K11" s="53">
        <f t="shared" si="3"/>
        <v>623515.81949999998</v>
      </c>
      <c r="L11" s="107">
        <v>1475.1378</v>
      </c>
      <c r="M11" s="212">
        <v>1134.5875000000001</v>
      </c>
      <c r="N11" s="14">
        <f t="shared" si="4"/>
        <v>479570.96269715024</v>
      </c>
      <c r="O11" s="54">
        <v>244</v>
      </c>
      <c r="P11" s="49" t="s">
        <v>23</v>
      </c>
      <c r="Q11" s="49">
        <f t="shared" si="0"/>
        <v>5.6786504508196716</v>
      </c>
      <c r="R11" s="50">
        <f t="shared" si="1"/>
        <v>2555.3927028688522</v>
      </c>
    </row>
    <row r="12" spans="1:32" ht="15.6" x14ac:dyDescent="0.3">
      <c r="A12" s="48" t="s">
        <v>90</v>
      </c>
      <c r="B12" s="210" t="s">
        <v>106</v>
      </c>
      <c r="C12" s="211">
        <v>45069</v>
      </c>
      <c r="D12" s="209" t="s">
        <v>111</v>
      </c>
      <c r="E12" s="209">
        <v>10</v>
      </c>
      <c r="F12" s="49">
        <v>4926.4470000000001</v>
      </c>
      <c r="G12" s="49" t="s">
        <v>45</v>
      </c>
      <c r="H12" s="49">
        <f t="shared" si="2"/>
        <v>49264.47</v>
      </c>
      <c r="I12" s="49" t="s">
        <v>317</v>
      </c>
      <c r="J12" s="52">
        <v>0.13</v>
      </c>
      <c r="K12" s="53">
        <f t="shared" si="3"/>
        <v>42860.088900000002</v>
      </c>
      <c r="L12" s="107">
        <v>1475.1378</v>
      </c>
      <c r="M12" s="212">
        <v>1134.5875000000001</v>
      </c>
      <c r="N12" s="14">
        <f t="shared" si="4"/>
        <v>32965.40913996561</v>
      </c>
      <c r="O12" s="54">
        <v>244</v>
      </c>
      <c r="P12" s="49" t="s">
        <v>23</v>
      </c>
      <c r="Q12" s="49">
        <f t="shared" si="0"/>
        <v>17.565610204918034</v>
      </c>
      <c r="R12" s="50">
        <f t="shared" si="1"/>
        <v>175.65610204918033</v>
      </c>
    </row>
    <row r="13" spans="1:32" ht="15.6" x14ac:dyDescent="0.3">
      <c r="A13" s="48" t="s">
        <v>91</v>
      </c>
      <c r="B13" s="210" t="s">
        <v>106</v>
      </c>
      <c r="C13" s="211">
        <v>45069</v>
      </c>
      <c r="D13" s="209" t="s">
        <v>111</v>
      </c>
      <c r="E13" s="209">
        <v>14</v>
      </c>
      <c r="F13" s="49">
        <v>2436.739</v>
      </c>
      <c r="G13" s="49" t="s">
        <v>45</v>
      </c>
      <c r="H13" s="49">
        <f t="shared" si="2"/>
        <v>34114.345999999998</v>
      </c>
      <c r="I13" s="49" t="s">
        <v>317</v>
      </c>
      <c r="J13" s="52">
        <v>0.13</v>
      </c>
      <c r="K13" s="53">
        <f t="shared" si="3"/>
        <v>29679.481019999999</v>
      </c>
      <c r="L13" s="107">
        <v>1475.1378</v>
      </c>
      <c r="M13" s="212">
        <v>1134.5875000000001</v>
      </c>
      <c r="N13" s="14">
        <f t="shared" si="4"/>
        <v>22827.67628338129</v>
      </c>
      <c r="O13" s="54">
        <v>244</v>
      </c>
      <c r="P13" s="49" t="s">
        <v>23</v>
      </c>
      <c r="Q13" s="49">
        <f t="shared" si="0"/>
        <v>8.6883726639344268</v>
      </c>
      <c r="R13" s="50">
        <f t="shared" si="1"/>
        <v>121.63721729508197</v>
      </c>
    </row>
    <row r="14" spans="1:32" ht="15.6" x14ac:dyDescent="0.3">
      <c r="A14" s="48" t="s">
        <v>31</v>
      </c>
      <c r="B14" s="210" t="s">
        <v>106</v>
      </c>
      <c r="C14" s="211">
        <v>45069</v>
      </c>
      <c r="D14" s="209" t="s">
        <v>111</v>
      </c>
      <c r="E14" s="209">
        <v>3</v>
      </c>
      <c r="F14" s="49">
        <v>2875.0619999999999</v>
      </c>
      <c r="G14" s="49" t="s">
        <v>45</v>
      </c>
      <c r="H14" s="49">
        <f t="shared" si="2"/>
        <v>8625.1859999999997</v>
      </c>
      <c r="I14" s="49" t="s">
        <v>317</v>
      </c>
      <c r="J14" s="52">
        <v>0.13</v>
      </c>
      <c r="K14" s="53">
        <f t="shared" si="3"/>
        <v>7503.9118199999994</v>
      </c>
      <c r="L14" s="107">
        <v>1475.1378</v>
      </c>
      <c r="M14" s="212">
        <v>1134.5875000000001</v>
      </c>
      <c r="N14" s="14">
        <f t="shared" si="4"/>
        <v>5771.558800862028</v>
      </c>
      <c r="O14" s="54">
        <v>244</v>
      </c>
      <c r="P14" s="49" t="s">
        <v>23</v>
      </c>
      <c r="Q14" s="49">
        <f t="shared" si="0"/>
        <v>10.251245655737703</v>
      </c>
      <c r="R14" s="50">
        <f t="shared" si="1"/>
        <v>30.753736967213111</v>
      </c>
    </row>
    <row r="15" spans="1:32" ht="15.6" x14ac:dyDescent="0.3">
      <c r="A15" s="48" t="s">
        <v>32</v>
      </c>
      <c r="B15" s="210" t="s">
        <v>106</v>
      </c>
      <c r="C15" s="211">
        <v>45069</v>
      </c>
      <c r="D15" s="209" t="s">
        <v>111</v>
      </c>
      <c r="E15" s="209">
        <v>2</v>
      </c>
      <c r="F15" s="49">
        <v>2042.6079999999999</v>
      </c>
      <c r="G15" s="49" t="s">
        <v>45</v>
      </c>
      <c r="H15" s="49">
        <f t="shared" si="2"/>
        <v>4085.2159999999999</v>
      </c>
      <c r="I15" s="49" t="s">
        <v>317</v>
      </c>
      <c r="J15" s="52">
        <v>0.13</v>
      </c>
      <c r="K15" s="53">
        <f t="shared" si="3"/>
        <v>3554.1379200000001</v>
      </c>
      <c r="L15" s="107">
        <v>1475.1378</v>
      </c>
      <c r="M15" s="212">
        <v>1134.5875000000001</v>
      </c>
      <c r="N15" s="14">
        <f t="shared" si="4"/>
        <v>2733.6296699250743</v>
      </c>
      <c r="O15" s="54">
        <v>244</v>
      </c>
      <c r="P15" s="49" t="s">
        <v>23</v>
      </c>
      <c r="Q15" s="49">
        <f t="shared" si="0"/>
        <v>7.2830695081967214</v>
      </c>
      <c r="R15" s="50">
        <f t="shared" si="1"/>
        <v>14.566139016393443</v>
      </c>
    </row>
    <row r="16" spans="1:32" ht="15.6" x14ac:dyDescent="0.3">
      <c r="A16" s="48" t="s">
        <v>36</v>
      </c>
      <c r="B16" s="210" t="s">
        <v>106</v>
      </c>
      <c r="C16" s="211">
        <v>45069</v>
      </c>
      <c r="D16" s="209" t="s">
        <v>111</v>
      </c>
      <c r="E16" s="209">
        <v>14</v>
      </c>
      <c r="F16" s="49">
        <v>8412.0669999999991</v>
      </c>
      <c r="G16" s="49" t="s">
        <v>45</v>
      </c>
      <c r="H16" s="49">
        <f t="shared" si="2"/>
        <v>117768.93799999999</v>
      </c>
      <c r="I16" s="49" t="s">
        <v>317</v>
      </c>
      <c r="J16" s="52">
        <v>0.13</v>
      </c>
      <c r="K16" s="53">
        <f t="shared" si="3"/>
        <v>102458.97606</v>
      </c>
      <c r="L16" s="107">
        <v>1475.1378</v>
      </c>
      <c r="M16" s="212">
        <v>1134.5875000000001</v>
      </c>
      <c r="N16" s="14">
        <f>(K16*M16)/L16</f>
        <v>78805.297715559354</v>
      </c>
      <c r="O16" s="54">
        <v>244</v>
      </c>
      <c r="P16" s="49" t="s">
        <v>23</v>
      </c>
      <c r="Q16" s="49">
        <f t="shared" si="0"/>
        <v>29.99384545081967</v>
      </c>
      <c r="R16" s="50">
        <f t="shared" si="1"/>
        <v>419.91383631147539</v>
      </c>
    </row>
    <row r="17" spans="1:18" ht="15.6" x14ac:dyDescent="0.3">
      <c r="A17" s="48" t="s">
        <v>95</v>
      </c>
      <c r="B17" s="207" t="s">
        <v>92</v>
      </c>
      <c r="C17" s="211">
        <v>45069</v>
      </c>
      <c r="D17" s="209" t="s">
        <v>21</v>
      </c>
      <c r="E17" s="209">
        <v>2</v>
      </c>
      <c r="F17" s="49">
        <f>47600</f>
        <v>47600</v>
      </c>
      <c r="G17" s="49" t="s">
        <v>45</v>
      </c>
      <c r="H17" s="49">
        <f>E17*F17</f>
        <v>95200</v>
      </c>
      <c r="I17" s="49" t="s">
        <v>308</v>
      </c>
      <c r="J17" s="49" t="s">
        <v>9</v>
      </c>
      <c r="K17" s="49">
        <f t="shared" ref="K17:K28" si="5">H17-(H17*21%)</f>
        <v>75208</v>
      </c>
      <c r="L17" s="107">
        <v>1475.1378</v>
      </c>
      <c r="M17" s="212">
        <v>1134.5875000000001</v>
      </c>
      <c r="N17" s="14">
        <f t="shared" ref="N17:N43" si="6">(K17*M17)/L17</f>
        <v>57845.481757704263</v>
      </c>
      <c r="O17" s="54">
        <v>244</v>
      </c>
      <c r="P17" s="49" t="s">
        <v>23</v>
      </c>
      <c r="Q17" s="49">
        <f t="shared" si="0"/>
        <v>154.11475409836066</v>
      </c>
      <c r="R17" s="50">
        <f t="shared" si="1"/>
        <v>308.22950819672133</v>
      </c>
    </row>
    <row r="18" spans="1:18" ht="15.6" x14ac:dyDescent="0.3">
      <c r="A18" s="48" t="s">
        <v>124</v>
      </c>
      <c r="B18" s="207" t="s">
        <v>87</v>
      </c>
      <c r="C18" s="211">
        <v>45069</v>
      </c>
      <c r="D18" s="209" t="s">
        <v>110</v>
      </c>
      <c r="E18" s="209">
        <v>30</v>
      </c>
      <c r="F18" s="49">
        <f>36500</f>
        <v>36500</v>
      </c>
      <c r="G18" s="49" t="s">
        <v>45</v>
      </c>
      <c r="H18" s="49">
        <f>F18*E18</f>
        <v>1095000</v>
      </c>
      <c r="I18" s="49" t="s">
        <v>308</v>
      </c>
      <c r="J18" s="49" t="s">
        <v>9</v>
      </c>
      <c r="K18" s="49">
        <f t="shared" si="5"/>
        <v>865050</v>
      </c>
      <c r="L18" s="107">
        <v>1475.1378</v>
      </c>
      <c r="M18" s="212">
        <v>1134.5875000000001</v>
      </c>
      <c r="N18" s="14">
        <f t="shared" si="6"/>
        <v>665344.56433493888</v>
      </c>
      <c r="O18" s="54">
        <v>244</v>
      </c>
      <c r="P18" s="49" t="s">
        <v>23</v>
      </c>
      <c r="Q18" s="49">
        <f t="shared" si="0"/>
        <v>118.17622950819671</v>
      </c>
      <c r="R18" s="50">
        <f t="shared" si="1"/>
        <v>3545.2868852459014</v>
      </c>
    </row>
    <row r="19" spans="1:18" ht="15.6" x14ac:dyDescent="0.3">
      <c r="A19" s="48" t="s">
        <v>125</v>
      </c>
      <c r="B19" s="207" t="s">
        <v>87</v>
      </c>
      <c r="C19" s="211">
        <v>45069</v>
      </c>
      <c r="D19" s="209" t="s">
        <v>110</v>
      </c>
      <c r="E19" s="209">
        <v>3</v>
      </c>
      <c r="F19" s="49">
        <f>63500</f>
        <v>63500</v>
      </c>
      <c r="G19" s="49" t="s">
        <v>45</v>
      </c>
      <c r="H19" s="49">
        <f>F19*E19</f>
        <v>190500</v>
      </c>
      <c r="I19" s="49" t="s">
        <v>308</v>
      </c>
      <c r="J19" s="49" t="s">
        <v>9</v>
      </c>
      <c r="K19" s="49">
        <f t="shared" si="5"/>
        <v>150495</v>
      </c>
      <c r="L19" s="107">
        <v>1475.1378</v>
      </c>
      <c r="M19" s="212">
        <v>1134.5875000000001</v>
      </c>
      <c r="N19" s="14">
        <f t="shared" si="6"/>
        <v>115751.72557607839</v>
      </c>
      <c r="O19" s="54">
        <v>244</v>
      </c>
      <c r="P19" s="49" t="s">
        <v>23</v>
      </c>
      <c r="Q19" s="49">
        <f t="shared" si="0"/>
        <v>205.59426229508196</v>
      </c>
      <c r="R19" s="50">
        <f t="shared" si="1"/>
        <v>616.78278688524586</v>
      </c>
    </row>
    <row r="20" spans="1:18" ht="15.6" x14ac:dyDescent="0.3">
      <c r="A20" s="48" t="s">
        <v>38</v>
      </c>
      <c r="B20" s="207" t="s">
        <v>87</v>
      </c>
      <c r="C20" s="211">
        <v>45069</v>
      </c>
      <c r="D20" s="209" t="s">
        <v>37</v>
      </c>
      <c r="E20" s="209">
        <v>15</v>
      </c>
      <c r="F20" s="49">
        <f>1250</f>
        <v>1250</v>
      </c>
      <c r="G20" s="49" t="s">
        <v>45</v>
      </c>
      <c r="H20" s="49">
        <f>F20*E20</f>
        <v>18750</v>
      </c>
      <c r="I20" s="49" t="s">
        <v>308</v>
      </c>
      <c r="J20" s="49" t="s">
        <v>9</v>
      </c>
      <c r="K20" s="49">
        <f t="shared" si="5"/>
        <v>14812.5</v>
      </c>
      <c r="L20" s="107">
        <v>1475.1378</v>
      </c>
      <c r="M20" s="212">
        <v>1134.5875000000001</v>
      </c>
      <c r="N20" s="14">
        <f t="shared" si="6"/>
        <v>11392.886375598266</v>
      </c>
      <c r="O20" s="54">
        <v>244</v>
      </c>
      <c r="P20" s="49" t="s">
        <v>23</v>
      </c>
      <c r="Q20" s="49">
        <f t="shared" si="0"/>
        <v>4.0471311475409832</v>
      </c>
      <c r="R20" s="50">
        <f t="shared" si="1"/>
        <v>60.706967213114751</v>
      </c>
    </row>
    <row r="21" spans="1:18" ht="15.6" x14ac:dyDescent="0.3">
      <c r="A21" s="48" t="s">
        <v>39</v>
      </c>
      <c r="B21" s="207" t="s">
        <v>87</v>
      </c>
      <c r="C21" s="211">
        <v>45069</v>
      </c>
      <c r="D21" s="209" t="s">
        <v>37</v>
      </c>
      <c r="E21" s="209">
        <v>50</v>
      </c>
      <c r="F21" s="49">
        <f>1300</f>
        <v>1300</v>
      </c>
      <c r="G21" s="49" t="s">
        <v>45</v>
      </c>
      <c r="H21" s="49">
        <f>F21*E21</f>
        <v>65000</v>
      </c>
      <c r="I21" s="49" t="s">
        <v>308</v>
      </c>
      <c r="J21" s="49" t="s">
        <v>9</v>
      </c>
      <c r="K21" s="49">
        <f t="shared" si="5"/>
        <v>51350</v>
      </c>
      <c r="L21" s="107">
        <v>1475.1378</v>
      </c>
      <c r="M21" s="212">
        <v>1134.5875000000001</v>
      </c>
      <c r="N21" s="14">
        <f t="shared" si="6"/>
        <v>39495.339435407332</v>
      </c>
      <c r="O21" s="54">
        <v>244</v>
      </c>
      <c r="P21" s="49" t="s">
        <v>23</v>
      </c>
      <c r="Q21" s="49">
        <f t="shared" si="0"/>
        <v>4.2090163934426235</v>
      </c>
      <c r="R21" s="50">
        <f t="shared" si="1"/>
        <v>210.45081967213116</v>
      </c>
    </row>
    <row r="22" spans="1:18" ht="15.6" x14ac:dyDescent="0.3">
      <c r="A22" s="48" t="s">
        <v>44</v>
      </c>
      <c r="B22" s="207" t="s">
        <v>87</v>
      </c>
      <c r="C22" s="211">
        <v>45069</v>
      </c>
      <c r="D22" s="209" t="s">
        <v>37</v>
      </c>
      <c r="E22" s="209">
        <v>10</v>
      </c>
      <c r="F22" s="49">
        <f>1200</f>
        <v>1200</v>
      </c>
      <c r="G22" s="49" t="s">
        <v>45</v>
      </c>
      <c r="H22" s="49">
        <f>F22*E22</f>
        <v>12000</v>
      </c>
      <c r="I22" s="49" t="s">
        <v>308</v>
      </c>
      <c r="J22" s="49" t="s">
        <v>9</v>
      </c>
      <c r="K22" s="49">
        <f t="shared" si="5"/>
        <v>9480</v>
      </c>
      <c r="L22" s="107">
        <v>1475.1378</v>
      </c>
      <c r="M22" s="212">
        <v>1134.5875000000001</v>
      </c>
      <c r="N22" s="14">
        <f t="shared" si="6"/>
        <v>7291.4472803828903</v>
      </c>
      <c r="O22" s="54">
        <v>244</v>
      </c>
      <c r="P22" s="49" t="s">
        <v>23</v>
      </c>
      <c r="Q22" s="49">
        <f t="shared" si="0"/>
        <v>3.8852459016393439</v>
      </c>
      <c r="R22" s="50">
        <f t="shared" si="1"/>
        <v>38.852459016393439</v>
      </c>
    </row>
    <row r="23" spans="1:18" ht="15.6" x14ac:dyDescent="0.3">
      <c r="A23" s="48" t="s">
        <v>126</v>
      </c>
      <c r="B23" s="207" t="s">
        <v>113</v>
      </c>
      <c r="C23" s="211">
        <v>45069</v>
      </c>
      <c r="D23" s="209" t="s">
        <v>40</v>
      </c>
      <c r="E23" s="209">
        <v>14</v>
      </c>
      <c r="F23" s="49">
        <f>13200</f>
        <v>13200</v>
      </c>
      <c r="G23" s="49" t="s">
        <v>45</v>
      </c>
      <c r="H23" s="49">
        <f t="shared" ref="H23:H29" si="7">E23*F23</f>
        <v>184800</v>
      </c>
      <c r="I23" s="49" t="s">
        <v>308</v>
      </c>
      <c r="J23" s="49" t="s">
        <v>9</v>
      </c>
      <c r="K23" s="49">
        <f t="shared" si="5"/>
        <v>145992</v>
      </c>
      <c r="L23" s="107">
        <v>1475.1378</v>
      </c>
      <c r="M23" s="212">
        <v>1134.5875000000001</v>
      </c>
      <c r="N23" s="14">
        <f t="shared" si="6"/>
        <v>112288.28811789652</v>
      </c>
      <c r="O23" s="54">
        <v>244</v>
      </c>
      <c r="P23" s="49" t="s">
        <v>23</v>
      </c>
      <c r="Q23" s="49">
        <f t="shared" si="0"/>
        <v>42.737704918032783</v>
      </c>
      <c r="R23" s="50">
        <f t="shared" si="1"/>
        <v>598.32786885245901</v>
      </c>
    </row>
    <row r="24" spans="1:18" ht="15.6" x14ac:dyDescent="0.3">
      <c r="A24" s="48" t="s">
        <v>127</v>
      </c>
      <c r="B24" s="207" t="s">
        <v>113</v>
      </c>
      <c r="C24" s="211">
        <v>45069</v>
      </c>
      <c r="D24" s="209" t="s">
        <v>40</v>
      </c>
      <c r="E24" s="209">
        <v>14</v>
      </c>
      <c r="F24" s="49">
        <f>7900</f>
        <v>7900</v>
      </c>
      <c r="G24" s="49" t="s">
        <v>45</v>
      </c>
      <c r="H24" s="49">
        <f t="shared" si="7"/>
        <v>110600</v>
      </c>
      <c r="I24" s="49" t="s">
        <v>308</v>
      </c>
      <c r="J24" s="49" t="s">
        <v>9</v>
      </c>
      <c r="K24" s="49">
        <f t="shared" si="5"/>
        <v>87374</v>
      </c>
      <c r="L24" s="107">
        <v>1475.1378</v>
      </c>
      <c r="M24" s="212">
        <v>1134.5875000000001</v>
      </c>
      <c r="N24" s="14">
        <f t="shared" si="6"/>
        <v>67202.839100862315</v>
      </c>
      <c r="O24" s="54">
        <v>244</v>
      </c>
      <c r="P24" s="49" t="s">
        <v>23</v>
      </c>
      <c r="Q24" s="49">
        <f t="shared" si="0"/>
        <v>25.577868852459016</v>
      </c>
      <c r="R24" s="50">
        <f t="shared" si="1"/>
        <v>358.09016393442624</v>
      </c>
    </row>
    <row r="25" spans="1:18" ht="15.6" x14ac:dyDescent="0.3">
      <c r="A25" s="48" t="s">
        <v>41</v>
      </c>
      <c r="B25" s="207" t="s">
        <v>113</v>
      </c>
      <c r="C25" s="211">
        <v>45069</v>
      </c>
      <c r="D25" s="209" t="s">
        <v>21</v>
      </c>
      <c r="E25" s="209">
        <v>13</v>
      </c>
      <c r="F25" s="49">
        <f>18600</f>
        <v>18600</v>
      </c>
      <c r="G25" s="49" t="s">
        <v>45</v>
      </c>
      <c r="H25" s="49">
        <f t="shared" si="7"/>
        <v>241800</v>
      </c>
      <c r="I25" s="49" t="s">
        <v>308</v>
      </c>
      <c r="J25" s="49" t="s">
        <v>9</v>
      </c>
      <c r="K25" s="49">
        <f t="shared" si="5"/>
        <v>191022</v>
      </c>
      <c r="L25" s="107">
        <v>1475.1378</v>
      </c>
      <c r="M25" s="212">
        <v>1134.5875000000001</v>
      </c>
      <c r="N25" s="14">
        <f t="shared" si="6"/>
        <v>146922.66269971526</v>
      </c>
      <c r="O25" s="54">
        <v>244</v>
      </c>
      <c r="P25" s="49" t="s">
        <v>23</v>
      </c>
      <c r="Q25" s="49">
        <f t="shared" si="0"/>
        <v>60.221311475409834</v>
      </c>
      <c r="R25" s="50">
        <f t="shared" si="1"/>
        <v>782.87704918032784</v>
      </c>
    </row>
    <row r="26" spans="1:18" ht="15.6" x14ac:dyDescent="0.3">
      <c r="A26" s="48" t="s">
        <v>42</v>
      </c>
      <c r="B26" s="207" t="s">
        <v>113</v>
      </c>
      <c r="C26" s="211">
        <v>45069</v>
      </c>
      <c r="D26" s="209" t="s">
        <v>43</v>
      </c>
      <c r="E26" s="209">
        <v>84</v>
      </c>
      <c r="F26" s="49">
        <f>2050</f>
        <v>2050</v>
      </c>
      <c r="G26" s="49" t="s">
        <v>45</v>
      </c>
      <c r="H26" s="49">
        <f t="shared" si="7"/>
        <v>172200</v>
      </c>
      <c r="I26" s="49" t="s">
        <v>308</v>
      </c>
      <c r="J26" s="49" t="s">
        <v>9</v>
      </c>
      <c r="K26" s="49">
        <f t="shared" si="5"/>
        <v>136038</v>
      </c>
      <c r="L26" s="107">
        <v>1475.1378</v>
      </c>
      <c r="M26" s="212">
        <v>1134.5875000000001</v>
      </c>
      <c r="N26" s="14">
        <f t="shared" si="6"/>
        <v>104632.26847349449</v>
      </c>
      <c r="O26" s="54">
        <v>244</v>
      </c>
      <c r="P26" s="49" t="s">
        <v>23</v>
      </c>
      <c r="Q26" s="49">
        <f t="shared" si="0"/>
        <v>6.6372950819672125</v>
      </c>
      <c r="R26" s="50">
        <f t="shared" si="1"/>
        <v>557.53278688524586</v>
      </c>
    </row>
    <row r="27" spans="1:18" ht="15.6" x14ac:dyDescent="0.3">
      <c r="A27" s="48" t="s">
        <v>93</v>
      </c>
      <c r="B27" s="207" t="s">
        <v>363</v>
      </c>
      <c r="C27" s="211">
        <v>45069</v>
      </c>
      <c r="D27" s="209" t="s">
        <v>21</v>
      </c>
      <c r="E27" s="209">
        <v>3</v>
      </c>
      <c r="F27" s="49">
        <f>24600</f>
        <v>24600</v>
      </c>
      <c r="G27" s="49" t="s">
        <v>45</v>
      </c>
      <c r="H27" s="49">
        <f t="shared" si="7"/>
        <v>73800</v>
      </c>
      <c r="I27" s="49" t="s">
        <v>308</v>
      </c>
      <c r="J27" s="49" t="s">
        <v>9</v>
      </c>
      <c r="K27" s="49">
        <f t="shared" si="5"/>
        <v>58302</v>
      </c>
      <c r="L27" s="107">
        <v>1475.1378</v>
      </c>
      <c r="M27" s="212">
        <v>1134.5875000000001</v>
      </c>
      <c r="N27" s="14">
        <f t="shared" si="6"/>
        <v>44842.400774354777</v>
      </c>
      <c r="O27" s="54">
        <v>244</v>
      </c>
      <c r="P27" s="49" t="s">
        <v>23</v>
      </c>
      <c r="Q27" s="49">
        <f t="shared" si="0"/>
        <v>79.647540983606561</v>
      </c>
      <c r="R27" s="50">
        <f t="shared" si="1"/>
        <v>238.94262295081967</v>
      </c>
    </row>
    <row r="28" spans="1:18" ht="15.6" x14ac:dyDescent="0.3">
      <c r="A28" s="48" t="s">
        <v>94</v>
      </c>
      <c r="B28" s="207" t="s">
        <v>363</v>
      </c>
      <c r="C28" s="211">
        <v>45069</v>
      </c>
      <c r="D28" s="209" t="s">
        <v>21</v>
      </c>
      <c r="E28" s="209">
        <v>8</v>
      </c>
      <c r="F28" s="49">
        <f>3600</f>
        <v>3600</v>
      </c>
      <c r="G28" s="49" t="s">
        <v>45</v>
      </c>
      <c r="H28" s="49">
        <f t="shared" si="7"/>
        <v>28800</v>
      </c>
      <c r="I28" s="49" t="s">
        <v>308</v>
      </c>
      <c r="J28" s="49" t="s">
        <v>9</v>
      </c>
      <c r="K28" s="49">
        <f t="shared" si="5"/>
        <v>22752</v>
      </c>
      <c r="L28" s="107">
        <v>1475.1378</v>
      </c>
      <c r="M28" s="212">
        <v>1134.5875000000001</v>
      </c>
      <c r="N28" s="14">
        <f t="shared" si="6"/>
        <v>17499.473472918937</v>
      </c>
      <c r="O28" s="54">
        <v>244</v>
      </c>
      <c r="P28" s="49" t="s">
        <v>23</v>
      </c>
      <c r="Q28" s="49">
        <f t="shared" si="0"/>
        <v>11.655737704918034</v>
      </c>
      <c r="R28" s="50">
        <f t="shared" si="1"/>
        <v>93.245901639344268</v>
      </c>
    </row>
    <row r="29" spans="1:18" ht="15.6" x14ac:dyDescent="0.3">
      <c r="A29" s="48" t="s">
        <v>35</v>
      </c>
      <c r="B29" s="207" t="s">
        <v>112</v>
      </c>
      <c r="C29" s="211">
        <v>45069</v>
      </c>
      <c r="D29" s="209" t="s">
        <v>34</v>
      </c>
      <c r="E29" s="209">
        <v>1</v>
      </c>
      <c r="F29" s="49">
        <v>1844.89</v>
      </c>
      <c r="G29" s="49" t="s">
        <v>45</v>
      </c>
      <c r="H29" s="49">
        <f t="shared" si="7"/>
        <v>1844.89</v>
      </c>
      <c r="I29" s="49" t="s">
        <v>317</v>
      </c>
      <c r="J29" s="49" t="s">
        <v>9</v>
      </c>
      <c r="K29" s="49">
        <f t="shared" ref="K29:K34" si="8">E29*F29</f>
        <v>1844.89</v>
      </c>
      <c r="L29" s="107">
        <v>1475.1378</v>
      </c>
      <c r="M29" s="212">
        <v>1134.5875000000001</v>
      </c>
      <c r="N29" s="14">
        <f t="shared" si="6"/>
        <v>1418.978710243206</v>
      </c>
      <c r="O29" s="54">
        <v>244</v>
      </c>
      <c r="P29" s="49" t="s">
        <v>23</v>
      </c>
      <c r="Q29" s="49">
        <f t="shared" si="0"/>
        <v>7.5610245901639352</v>
      </c>
      <c r="R29" s="50">
        <f t="shared" si="1"/>
        <v>7.5610245901639352</v>
      </c>
    </row>
    <row r="30" spans="1:18" ht="15.6" x14ac:dyDescent="0.3">
      <c r="A30" s="48" t="s">
        <v>33</v>
      </c>
      <c r="B30" s="207" t="s">
        <v>112</v>
      </c>
      <c r="C30" s="211">
        <v>45069</v>
      </c>
      <c r="D30" s="209" t="s">
        <v>34</v>
      </c>
      <c r="E30" s="209">
        <v>8</v>
      </c>
      <c r="F30" s="49">
        <v>2070.84</v>
      </c>
      <c r="G30" s="49" t="s">
        <v>45</v>
      </c>
      <c r="H30" s="49">
        <f t="shared" ref="H30:H40" si="9">E30*F30</f>
        <v>16566.72</v>
      </c>
      <c r="I30" s="49" t="s">
        <v>317</v>
      </c>
      <c r="J30" s="49" t="s">
        <v>9</v>
      </c>
      <c r="K30" s="49">
        <f t="shared" si="8"/>
        <v>16566.72</v>
      </c>
      <c r="L30" s="107">
        <v>1475.1378</v>
      </c>
      <c r="M30" s="212">
        <v>1134.5875000000001</v>
      </c>
      <c r="N30" s="14">
        <f t="shared" si="6"/>
        <v>12742.127161272665</v>
      </c>
      <c r="O30" s="54">
        <v>244</v>
      </c>
      <c r="P30" s="49" t="s">
        <v>23</v>
      </c>
      <c r="Q30" s="49">
        <f t="shared" si="0"/>
        <v>8.4870491803278689</v>
      </c>
      <c r="R30" s="50">
        <f t="shared" si="1"/>
        <v>67.896393442622951</v>
      </c>
    </row>
    <row r="31" spans="1:18" ht="15.6" x14ac:dyDescent="0.3">
      <c r="A31" s="48" t="s">
        <v>114</v>
      </c>
      <c r="B31" s="207" t="s">
        <v>112</v>
      </c>
      <c r="C31" s="211">
        <v>45069</v>
      </c>
      <c r="D31" s="209" t="s">
        <v>21</v>
      </c>
      <c r="E31" s="209">
        <v>5000</v>
      </c>
      <c r="F31" s="49">
        <v>43.41</v>
      </c>
      <c r="G31" s="49" t="s">
        <v>45</v>
      </c>
      <c r="H31" s="49">
        <f t="shared" si="9"/>
        <v>217049.99999999997</v>
      </c>
      <c r="I31" s="49" t="s">
        <v>317</v>
      </c>
      <c r="J31" s="49" t="s">
        <v>9</v>
      </c>
      <c r="K31" s="49">
        <f t="shared" si="8"/>
        <v>217049.99999999997</v>
      </c>
      <c r="L31" s="107">
        <v>1475.1378</v>
      </c>
      <c r="M31" s="212">
        <v>1134.5875000000001</v>
      </c>
      <c r="N31" s="14">
        <f t="shared" si="6"/>
        <v>166941.83884041206</v>
      </c>
      <c r="O31" s="54">
        <v>244</v>
      </c>
      <c r="P31" s="49" t="s">
        <v>23</v>
      </c>
      <c r="Q31" s="49">
        <f t="shared" si="0"/>
        <v>0.17790983606557376</v>
      </c>
      <c r="R31" s="50">
        <f t="shared" si="1"/>
        <v>889.54918032786873</v>
      </c>
    </row>
    <row r="32" spans="1:18" ht="15.6" x14ac:dyDescent="0.3">
      <c r="A32" s="48" t="s">
        <v>120</v>
      </c>
      <c r="B32" s="207" t="s">
        <v>112</v>
      </c>
      <c r="C32" s="211">
        <v>45069</v>
      </c>
      <c r="D32" s="209" t="s">
        <v>21</v>
      </c>
      <c r="E32" s="209">
        <v>5000</v>
      </c>
      <c r="F32" s="49">
        <v>17.36</v>
      </c>
      <c r="G32" s="49" t="s">
        <v>45</v>
      </c>
      <c r="H32" s="49">
        <f t="shared" si="9"/>
        <v>86800</v>
      </c>
      <c r="I32" s="49" t="s">
        <v>317</v>
      </c>
      <c r="J32" s="49" t="s">
        <v>9</v>
      </c>
      <c r="K32" s="49">
        <f t="shared" si="8"/>
        <v>86800</v>
      </c>
      <c r="L32" s="107">
        <v>1475.1378</v>
      </c>
      <c r="M32" s="212">
        <v>1134.5875000000001</v>
      </c>
      <c r="N32" s="14">
        <f t="shared" si="6"/>
        <v>66761.352735995257</v>
      </c>
      <c r="O32" s="54">
        <v>244</v>
      </c>
      <c r="P32" s="49" t="s">
        <v>23</v>
      </c>
      <c r="Q32" s="49">
        <f t="shared" si="0"/>
        <v>7.1147540983606553E-2</v>
      </c>
      <c r="R32" s="50">
        <f t="shared" si="1"/>
        <v>355.73770491803276</v>
      </c>
    </row>
    <row r="33" spans="1:18" ht="15.6" x14ac:dyDescent="0.3">
      <c r="A33" s="48" t="s">
        <v>121</v>
      </c>
      <c r="B33" s="207" t="s">
        <v>112</v>
      </c>
      <c r="C33" s="211">
        <v>45069</v>
      </c>
      <c r="D33" s="209" t="s">
        <v>21</v>
      </c>
      <c r="E33" s="209">
        <v>5000</v>
      </c>
      <c r="F33" s="49">
        <v>14.29</v>
      </c>
      <c r="G33" s="49" t="s">
        <v>45</v>
      </c>
      <c r="H33" s="49">
        <f t="shared" si="9"/>
        <v>71450</v>
      </c>
      <c r="I33" s="49" t="s">
        <v>317</v>
      </c>
      <c r="J33" s="49" t="s">
        <v>9</v>
      </c>
      <c r="K33" s="49">
        <f t="shared" si="8"/>
        <v>71450</v>
      </c>
      <c r="L33" s="107">
        <v>1475.1378</v>
      </c>
      <c r="M33" s="212">
        <v>1134.5875000000001</v>
      </c>
      <c r="N33" s="14">
        <f t="shared" si="6"/>
        <v>54955.053605839399</v>
      </c>
      <c r="O33" s="54">
        <v>244</v>
      </c>
      <c r="P33" s="49" t="s">
        <v>23</v>
      </c>
      <c r="Q33" s="49">
        <f t="shared" si="0"/>
        <v>5.8565573770491798E-2</v>
      </c>
      <c r="R33" s="50">
        <f t="shared" si="1"/>
        <v>292.82786885245901</v>
      </c>
    </row>
    <row r="34" spans="1:18" ht="15.6" x14ac:dyDescent="0.3">
      <c r="A34" s="48" t="s">
        <v>122</v>
      </c>
      <c r="B34" s="207" t="s">
        <v>112</v>
      </c>
      <c r="C34" s="211">
        <v>45069</v>
      </c>
      <c r="D34" s="209" t="s">
        <v>21</v>
      </c>
      <c r="E34" s="209">
        <v>5000</v>
      </c>
      <c r="F34" s="49">
        <v>6.85</v>
      </c>
      <c r="G34" s="49" t="s">
        <v>45</v>
      </c>
      <c r="H34" s="49">
        <f t="shared" si="9"/>
        <v>34250</v>
      </c>
      <c r="I34" s="49" t="s">
        <v>317</v>
      </c>
      <c r="J34" s="49" t="s">
        <v>9</v>
      </c>
      <c r="K34" s="49">
        <f t="shared" si="8"/>
        <v>34250</v>
      </c>
      <c r="L34" s="107">
        <v>1475.1378</v>
      </c>
      <c r="M34" s="212">
        <v>1134.5875000000001</v>
      </c>
      <c r="N34" s="14">
        <f t="shared" si="6"/>
        <v>26343.045290412869</v>
      </c>
      <c r="O34" s="54">
        <v>244</v>
      </c>
      <c r="P34" s="49" t="s">
        <v>23</v>
      </c>
      <c r="Q34" s="49">
        <f t="shared" si="0"/>
        <v>2.8073770491803277E-2</v>
      </c>
      <c r="R34" s="50">
        <f t="shared" si="1"/>
        <v>140.36885245901638</v>
      </c>
    </row>
    <row r="35" spans="1:18" ht="15.6" x14ac:dyDescent="0.3">
      <c r="A35" s="48" t="s">
        <v>115</v>
      </c>
      <c r="B35" s="207" t="s">
        <v>112</v>
      </c>
      <c r="C35" s="211">
        <v>45069</v>
      </c>
      <c r="D35" s="209" t="s">
        <v>21</v>
      </c>
      <c r="E35" s="209">
        <v>24</v>
      </c>
      <c r="F35" s="49">
        <v>540.65</v>
      </c>
      <c r="G35" s="49" t="s">
        <v>45</v>
      </c>
      <c r="H35" s="49">
        <f t="shared" si="9"/>
        <v>12975.599999999999</v>
      </c>
      <c r="I35" s="49" t="s">
        <v>317</v>
      </c>
      <c r="J35" s="49" t="s">
        <v>9</v>
      </c>
      <c r="K35" s="49">
        <f t="shared" ref="K35:K40" si="10">E35*F35</f>
        <v>12975.599999999999</v>
      </c>
      <c r="L35" s="107">
        <v>1475.1378</v>
      </c>
      <c r="M35" s="212">
        <v>1134.5875000000001</v>
      </c>
      <c r="N35" s="14">
        <f t="shared" si="6"/>
        <v>9980.0530940228091</v>
      </c>
      <c r="O35" s="54">
        <v>244</v>
      </c>
      <c r="P35" s="49" t="s">
        <v>23</v>
      </c>
      <c r="Q35" s="49">
        <f t="shared" si="0"/>
        <v>2.21577868852459</v>
      </c>
      <c r="R35" s="50">
        <f t="shared" si="1"/>
        <v>53.178688524590157</v>
      </c>
    </row>
    <row r="36" spans="1:18" ht="15.6" x14ac:dyDescent="0.3">
      <c r="A36" s="48" t="s">
        <v>116</v>
      </c>
      <c r="B36" s="207" t="s">
        <v>112</v>
      </c>
      <c r="C36" s="211">
        <v>45069</v>
      </c>
      <c r="D36" s="209" t="s">
        <v>21</v>
      </c>
      <c r="E36" s="209">
        <v>260</v>
      </c>
      <c r="F36" s="49">
        <v>59.59</v>
      </c>
      <c r="G36" s="49" t="s">
        <v>45</v>
      </c>
      <c r="H36" s="49">
        <f t="shared" si="9"/>
        <v>15493.400000000001</v>
      </c>
      <c r="I36" s="49" t="s">
        <v>317</v>
      </c>
      <c r="J36" s="49" t="s">
        <v>9</v>
      </c>
      <c r="K36" s="49">
        <f t="shared" si="10"/>
        <v>15493.400000000001</v>
      </c>
      <c r="L36" s="107">
        <v>1475.1378</v>
      </c>
      <c r="M36" s="212">
        <v>1134.5875000000001</v>
      </c>
      <c r="N36" s="14">
        <f t="shared" si="6"/>
        <v>11916.593807371763</v>
      </c>
      <c r="O36" s="54">
        <v>244</v>
      </c>
      <c r="P36" s="49" t="s">
        <v>23</v>
      </c>
      <c r="Q36" s="49">
        <f t="shared" si="0"/>
        <v>0.24422131147540985</v>
      </c>
      <c r="R36" s="50">
        <f t="shared" si="1"/>
        <v>63.497540983606562</v>
      </c>
    </row>
    <row r="37" spans="1:18" ht="15.6" x14ac:dyDescent="0.3">
      <c r="A37" s="48" t="s">
        <v>117</v>
      </c>
      <c r="B37" s="207" t="s">
        <v>112</v>
      </c>
      <c r="C37" s="211">
        <v>45069</v>
      </c>
      <c r="D37" s="209" t="s">
        <v>21</v>
      </c>
      <c r="E37" s="209">
        <v>550</v>
      </c>
      <c r="F37" s="49">
        <v>49.68</v>
      </c>
      <c r="G37" s="49" t="s">
        <v>45</v>
      </c>
      <c r="H37" s="49">
        <f t="shared" si="9"/>
        <v>27324</v>
      </c>
      <c r="I37" s="49" t="s">
        <v>317</v>
      </c>
      <c r="J37" s="49" t="s">
        <v>9</v>
      </c>
      <c r="K37" s="49">
        <f t="shared" si="10"/>
        <v>27324</v>
      </c>
      <c r="L37" s="107">
        <v>1475.1378</v>
      </c>
      <c r="M37" s="212">
        <v>1134.5875000000001</v>
      </c>
      <c r="N37" s="14">
        <f t="shared" si="6"/>
        <v>21015.981591685875</v>
      </c>
      <c r="O37" s="54">
        <v>244</v>
      </c>
      <c r="P37" s="49" t="s">
        <v>23</v>
      </c>
      <c r="Q37" s="49">
        <f t="shared" si="0"/>
        <v>0.20360655737704916</v>
      </c>
      <c r="R37" s="50">
        <f t="shared" si="1"/>
        <v>111.98360655737704</v>
      </c>
    </row>
    <row r="38" spans="1:18" ht="15.6" x14ac:dyDescent="0.3">
      <c r="A38" s="48" t="s">
        <v>118</v>
      </c>
      <c r="B38" s="207" t="s">
        <v>112</v>
      </c>
      <c r="C38" s="211">
        <v>45069</v>
      </c>
      <c r="D38" s="209" t="s">
        <v>21</v>
      </c>
      <c r="E38" s="209">
        <v>550</v>
      </c>
      <c r="F38" s="49">
        <v>10.38</v>
      </c>
      <c r="G38" s="49" t="s">
        <v>45</v>
      </c>
      <c r="H38" s="49">
        <f t="shared" si="9"/>
        <v>5709</v>
      </c>
      <c r="I38" s="49" t="s">
        <v>317</v>
      </c>
      <c r="J38" s="49" t="s">
        <v>9</v>
      </c>
      <c r="K38" s="49">
        <f t="shared" si="10"/>
        <v>5709</v>
      </c>
      <c r="L38" s="107">
        <v>1475.1378</v>
      </c>
      <c r="M38" s="212">
        <v>1134.5875000000001</v>
      </c>
      <c r="N38" s="14">
        <f t="shared" si="6"/>
        <v>4391.0203084077984</v>
      </c>
      <c r="O38" s="54">
        <v>244</v>
      </c>
      <c r="P38" s="49" t="s">
        <v>23</v>
      </c>
      <c r="Q38" s="49">
        <f t="shared" si="0"/>
        <v>4.2540983606557378E-2</v>
      </c>
      <c r="R38" s="50">
        <f t="shared" si="1"/>
        <v>23.397540983606557</v>
      </c>
    </row>
    <row r="39" spans="1:18" ht="15.6" x14ac:dyDescent="0.3">
      <c r="A39" s="48" t="s">
        <v>123</v>
      </c>
      <c r="B39" s="207" t="s">
        <v>112</v>
      </c>
      <c r="C39" s="211">
        <v>45069</v>
      </c>
      <c r="D39" s="209" t="s">
        <v>21</v>
      </c>
      <c r="E39" s="209">
        <v>810</v>
      </c>
      <c r="F39" s="49">
        <v>26.24</v>
      </c>
      <c r="G39" s="49" t="s">
        <v>45</v>
      </c>
      <c r="H39" s="49">
        <f t="shared" si="9"/>
        <v>21254.399999999998</v>
      </c>
      <c r="I39" s="49" t="s">
        <v>317</v>
      </c>
      <c r="J39" s="49" t="s">
        <v>9</v>
      </c>
      <c r="K39" s="49">
        <f t="shared" si="10"/>
        <v>21254.399999999998</v>
      </c>
      <c r="L39" s="107">
        <v>1475.1378</v>
      </c>
      <c r="M39" s="212">
        <v>1134.5875000000001</v>
      </c>
      <c r="N39" s="14">
        <f t="shared" si="6"/>
        <v>16347.609396220474</v>
      </c>
      <c r="O39" s="54">
        <v>244</v>
      </c>
      <c r="P39" s="49" t="s">
        <v>23</v>
      </c>
      <c r="Q39" s="49">
        <f t="shared" si="0"/>
        <v>0.10754098360655737</v>
      </c>
      <c r="R39" s="50">
        <f t="shared" si="1"/>
        <v>87.108196721311472</v>
      </c>
    </row>
    <row r="40" spans="1:18" ht="15.6" x14ac:dyDescent="0.3">
      <c r="A40" s="48" t="s">
        <v>119</v>
      </c>
      <c r="B40" s="207" t="s">
        <v>112</v>
      </c>
      <c r="C40" s="211">
        <v>45069</v>
      </c>
      <c r="D40" s="209" t="s">
        <v>34</v>
      </c>
      <c r="E40" s="209">
        <v>1</v>
      </c>
      <c r="F40" s="49">
        <v>4746.4399999999996</v>
      </c>
      <c r="G40" s="49" t="s">
        <v>45</v>
      </c>
      <c r="H40" s="49">
        <f t="shared" si="9"/>
        <v>4746.4399999999996</v>
      </c>
      <c r="I40" s="49" t="s">
        <v>317</v>
      </c>
      <c r="J40" s="49" t="s">
        <v>9</v>
      </c>
      <c r="K40" s="49">
        <f t="shared" si="10"/>
        <v>4746.4399999999996</v>
      </c>
      <c r="L40" s="107">
        <v>1475.1378</v>
      </c>
      <c r="M40" s="212">
        <v>1134.5875000000001</v>
      </c>
      <c r="N40" s="14">
        <f t="shared" si="6"/>
        <v>3650.6769018460514</v>
      </c>
      <c r="O40" s="54">
        <v>244</v>
      </c>
      <c r="P40" s="49" t="s">
        <v>23</v>
      </c>
      <c r="Q40" s="49">
        <f t="shared" si="0"/>
        <v>19.45262295081967</v>
      </c>
      <c r="R40" s="50">
        <f t="shared" si="1"/>
        <v>19.45262295081967</v>
      </c>
    </row>
    <row r="41" spans="1:18" ht="15.6" x14ac:dyDescent="0.3">
      <c r="A41" s="69" t="s">
        <v>212</v>
      </c>
      <c r="B41" s="70" t="s">
        <v>211</v>
      </c>
      <c r="C41" s="71">
        <v>45078</v>
      </c>
      <c r="D41" s="72" t="s">
        <v>21</v>
      </c>
      <c r="E41" s="72">
        <v>66</v>
      </c>
      <c r="F41" s="73">
        <f>6800.2-(6800.2*21%)</f>
        <v>5372.1579999999994</v>
      </c>
      <c r="G41" s="73" t="s">
        <v>45</v>
      </c>
      <c r="H41" s="73">
        <f>F41*E41</f>
        <v>354562.42799999996</v>
      </c>
      <c r="I41" s="73" t="s">
        <v>308</v>
      </c>
      <c r="J41" s="74" t="s">
        <v>9</v>
      </c>
      <c r="K41" s="73">
        <f>H41-(H41*21%)</f>
        <v>280104.31811999995</v>
      </c>
      <c r="L41" s="107">
        <v>1475.1378</v>
      </c>
      <c r="M41" s="212">
        <v>1134.5875000000001</v>
      </c>
      <c r="N41" s="14">
        <f t="shared" si="6"/>
        <v>215439.43761387951</v>
      </c>
      <c r="O41" s="75">
        <v>249.5</v>
      </c>
      <c r="P41" s="74" t="s">
        <v>23</v>
      </c>
      <c r="Q41" s="74">
        <f t="shared" si="0"/>
        <v>17.010039358717432</v>
      </c>
      <c r="R41" s="76">
        <f t="shared" si="1"/>
        <v>1122.6625976753505</v>
      </c>
    </row>
    <row r="42" spans="1:18" ht="15.6" x14ac:dyDescent="0.3">
      <c r="A42" s="37" t="s">
        <v>46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68"/>
      <c r="R42" s="213"/>
    </row>
    <row r="43" spans="1:18" ht="15.6" x14ac:dyDescent="0.3">
      <c r="A43" s="48" t="s">
        <v>48</v>
      </c>
      <c r="B43" s="207" t="s">
        <v>50</v>
      </c>
      <c r="C43" s="211">
        <v>45069</v>
      </c>
      <c r="D43" s="209" t="s">
        <v>49</v>
      </c>
      <c r="E43" s="214">
        <v>0.4</v>
      </c>
      <c r="F43" s="49">
        <v>0</v>
      </c>
      <c r="G43" s="49" t="s">
        <v>23</v>
      </c>
      <c r="H43" s="49"/>
      <c r="I43" s="49"/>
      <c r="J43" s="49" t="s">
        <v>9</v>
      </c>
      <c r="K43" s="215" cm="1">
        <f t="array" ref="K43">(SUM($K$6+$K$8:$K$16))*E43</f>
        <v>18925566.673788007</v>
      </c>
      <c r="L43" s="107">
        <v>1475.1378</v>
      </c>
      <c r="M43" s="212">
        <v>1134.5875000000001</v>
      </c>
      <c r="N43" s="14">
        <f t="shared" si="6"/>
        <v>14556410.511951122</v>
      </c>
      <c r="O43" s="54">
        <v>244</v>
      </c>
      <c r="P43" s="49" t="s">
        <v>23</v>
      </c>
      <c r="Q43" s="49" t="s">
        <v>9</v>
      </c>
      <c r="R43" s="58">
        <f>K43/O43</f>
        <v>77563.797843393477</v>
      </c>
    </row>
    <row r="44" spans="1:18" ht="15.6" x14ac:dyDescent="0.3">
      <c r="A44" s="37" t="s">
        <v>25</v>
      </c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68"/>
      <c r="R44" s="213"/>
    </row>
    <row r="45" spans="1:18" ht="15.6" x14ac:dyDescent="0.3">
      <c r="A45" s="55" t="s">
        <v>364</v>
      </c>
      <c r="B45" s="207" t="s">
        <v>51</v>
      </c>
      <c r="C45" s="211">
        <v>45079</v>
      </c>
      <c r="D45" s="209" t="s">
        <v>21</v>
      </c>
      <c r="E45" s="209">
        <v>1</v>
      </c>
      <c r="F45" s="14">
        <v>0</v>
      </c>
      <c r="G45" s="14" t="s">
        <v>23</v>
      </c>
      <c r="H45" s="14"/>
      <c r="I45" s="14"/>
      <c r="J45" s="14" t="s">
        <v>9</v>
      </c>
      <c r="K45" s="14">
        <v>0</v>
      </c>
      <c r="L45" s="107">
        <v>1475.1378</v>
      </c>
      <c r="M45" s="212">
        <v>1134.5875000000001</v>
      </c>
      <c r="N45" s="14">
        <f t="shared" ref="N45:N50" si="11">R45*O45</f>
        <v>3123956.4754229984</v>
      </c>
      <c r="O45" s="14">
        <v>179.28749999999999</v>
      </c>
      <c r="P45" s="49" t="s">
        <v>23</v>
      </c>
      <c r="Q45" s="49" t="s">
        <v>9</v>
      </c>
      <c r="R45" s="59">
        <v>17424.284879999992</v>
      </c>
    </row>
    <row r="46" spans="1:18" ht="15.6" x14ac:dyDescent="0.3">
      <c r="A46" s="55" t="s">
        <v>365</v>
      </c>
      <c r="B46" s="207" t="s">
        <v>51</v>
      </c>
      <c r="C46" s="211">
        <v>45079</v>
      </c>
      <c r="D46" s="209" t="s">
        <v>21</v>
      </c>
      <c r="E46" s="209">
        <v>1</v>
      </c>
      <c r="F46" s="14">
        <v>0</v>
      </c>
      <c r="G46" s="14" t="s">
        <v>23</v>
      </c>
      <c r="H46" s="14"/>
      <c r="I46" s="14"/>
      <c r="J46" s="14" t="s">
        <v>9</v>
      </c>
      <c r="K46" s="14">
        <v>0</v>
      </c>
      <c r="L46" s="107">
        <v>1475.1378</v>
      </c>
      <c r="M46" s="212">
        <v>1134.5875000000001</v>
      </c>
      <c r="N46" s="14">
        <f t="shared" si="11"/>
        <v>498053.50349999999</v>
      </c>
      <c r="O46" s="14">
        <v>179.28749999999999</v>
      </c>
      <c r="P46" s="49" t="s">
        <v>23</v>
      </c>
      <c r="Q46" s="49" t="s">
        <v>9</v>
      </c>
      <c r="R46" s="59">
        <v>2777.96</v>
      </c>
    </row>
    <row r="47" spans="1:18" ht="15.6" x14ac:dyDescent="0.3">
      <c r="A47" s="55" t="s">
        <v>213</v>
      </c>
      <c r="B47" s="207" t="s">
        <v>51</v>
      </c>
      <c r="C47" s="211">
        <v>45079</v>
      </c>
      <c r="D47" s="209" t="s">
        <v>21</v>
      </c>
      <c r="E47" s="209">
        <v>1</v>
      </c>
      <c r="F47" s="14">
        <v>0</v>
      </c>
      <c r="G47" s="14" t="s">
        <v>23</v>
      </c>
      <c r="H47" s="14"/>
      <c r="I47" s="14"/>
      <c r="J47" s="14" t="s">
        <v>9</v>
      </c>
      <c r="K47" s="14">
        <v>0</v>
      </c>
      <c r="L47" s="107">
        <v>1475.1378</v>
      </c>
      <c r="M47" s="212">
        <v>1134.5875000000001</v>
      </c>
      <c r="N47" s="14">
        <f t="shared" si="11"/>
        <v>8638968.1875</v>
      </c>
      <c r="O47" s="14">
        <v>179.28749999999999</v>
      </c>
      <c r="P47" s="49" t="s">
        <v>23</v>
      </c>
      <c r="Q47" s="49" t="s">
        <v>9</v>
      </c>
      <c r="R47" s="59">
        <v>48185</v>
      </c>
    </row>
    <row r="48" spans="1:18" ht="15.6" x14ac:dyDescent="0.3">
      <c r="A48" s="55" t="s">
        <v>366</v>
      </c>
      <c r="B48" s="207" t="s">
        <v>51</v>
      </c>
      <c r="C48" s="211">
        <v>45079</v>
      </c>
      <c r="D48" s="209" t="s">
        <v>21</v>
      </c>
      <c r="E48" s="209">
        <v>1</v>
      </c>
      <c r="F48" s="14">
        <v>0</v>
      </c>
      <c r="G48" s="14" t="s">
        <v>23</v>
      </c>
      <c r="H48" s="14"/>
      <c r="I48" s="14"/>
      <c r="J48" s="14" t="s">
        <v>9</v>
      </c>
      <c r="K48" s="14">
        <v>0</v>
      </c>
      <c r="L48" s="107">
        <v>1475.1378</v>
      </c>
      <c r="M48" s="212">
        <v>1134.5875000000001</v>
      </c>
      <c r="N48" s="14">
        <f t="shared" si="11"/>
        <v>1115758.1058749999</v>
      </c>
      <c r="O48" s="14">
        <v>179.28749999999999</v>
      </c>
      <c r="P48" s="49" t="s">
        <v>23</v>
      </c>
      <c r="Q48" s="49" t="s">
        <v>9</v>
      </c>
      <c r="R48" s="59">
        <v>6223.29</v>
      </c>
    </row>
    <row r="49" spans="1:18" ht="15.6" x14ac:dyDescent="0.3">
      <c r="A49" s="55" t="s">
        <v>367</v>
      </c>
      <c r="B49" s="207" t="s">
        <v>51</v>
      </c>
      <c r="C49" s="211">
        <v>45079</v>
      </c>
      <c r="D49" s="209" t="s">
        <v>21</v>
      </c>
      <c r="E49" s="209">
        <v>1</v>
      </c>
      <c r="F49" s="14">
        <v>0</v>
      </c>
      <c r="G49" s="14" t="s">
        <v>23</v>
      </c>
      <c r="H49" s="14"/>
      <c r="I49" s="14"/>
      <c r="J49" s="14" t="s">
        <v>9</v>
      </c>
      <c r="K49" s="14">
        <v>0</v>
      </c>
      <c r="L49" s="107">
        <v>1475.1378</v>
      </c>
      <c r="M49" s="212">
        <v>1134.5875000000001</v>
      </c>
      <c r="N49" s="14">
        <f t="shared" si="11"/>
        <v>790657.875</v>
      </c>
      <c r="O49" s="14">
        <v>179.28749999999999</v>
      </c>
      <c r="P49" s="49" t="s">
        <v>23</v>
      </c>
      <c r="Q49" s="49" t="s">
        <v>9</v>
      </c>
      <c r="R49" s="59">
        <v>4410</v>
      </c>
    </row>
    <row r="50" spans="1:18" ht="15.6" x14ac:dyDescent="0.3">
      <c r="A50" s="55" t="s">
        <v>368</v>
      </c>
      <c r="B50" s="207" t="s">
        <v>51</v>
      </c>
      <c r="C50" s="211">
        <v>45079</v>
      </c>
      <c r="D50" s="209" t="s">
        <v>21</v>
      </c>
      <c r="E50" s="209">
        <v>1</v>
      </c>
      <c r="F50" s="14">
        <v>0</v>
      </c>
      <c r="G50" s="14" t="s">
        <v>23</v>
      </c>
      <c r="H50" s="14"/>
      <c r="I50" s="14"/>
      <c r="J50" s="14" t="s">
        <v>9</v>
      </c>
      <c r="K50" s="14">
        <v>0</v>
      </c>
      <c r="L50" s="107">
        <v>1475.1378</v>
      </c>
      <c r="M50" s="212">
        <v>1134.5875000000001</v>
      </c>
      <c r="N50" s="14">
        <f t="shared" si="11"/>
        <v>1226326.5</v>
      </c>
      <c r="O50" s="14">
        <v>179.28749999999999</v>
      </c>
      <c r="P50" s="49" t="s">
        <v>23</v>
      </c>
      <c r="Q50" s="49" t="s">
        <v>9</v>
      </c>
      <c r="R50" s="59">
        <v>6840</v>
      </c>
    </row>
    <row r="51" spans="1:18" ht="15.6" x14ac:dyDescent="0.3">
      <c r="A51" s="55" t="s">
        <v>369</v>
      </c>
      <c r="B51" s="207" t="s">
        <v>51</v>
      </c>
      <c r="C51" s="211">
        <v>45079</v>
      </c>
      <c r="D51" s="209" t="s">
        <v>21</v>
      </c>
      <c r="E51" s="209">
        <v>1</v>
      </c>
      <c r="F51" s="14">
        <v>0</v>
      </c>
      <c r="G51" s="14" t="s">
        <v>23</v>
      </c>
      <c r="H51" s="14"/>
      <c r="I51" s="14"/>
      <c r="J51" s="14" t="s">
        <v>9</v>
      </c>
      <c r="K51" s="14">
        <v>0</v>
      </c>
      <c r="L51" s="107">
        <v>1475.1378</v>
      </c>
      <c r="M51" s="212">
        <v>1134.5875000000001</v>
      </c>
      <c r="N51" s="14">
        <f>R51*O51</f>
        <v>98608.125</v>
      </c>
      <c r="O51" s="14">
        <v>179.28749999999999</v>
      </c>
      <c r="P51" s="49" t="s">
        <v>23</v>
      </c>
      <c r="Q51" s="49" t="s">
        <v>9</v>
      </c>
      <c r="R51" s="59">
        <v>550</v>
      </c>
    </row>
    <row r="52" spans="1:18" ht="15.6" x14ac:dyDescent="0.3">
      <c r="A52" s="55" t="s">
        <v>370</v>
      </c>
      <c r="B52" s="207" t="s">
        <v>51</v>
      </c>
      <c r="C52" s="211">
        <v>45079</v>
      </c>
      <c r="D52" s="209" t="s">
        <v>21</v>
      </c>
      <c r="E52" s="209">
        <v>1</v>
      </c>
      <c r="F52" s="14">
        <v>0</v>
      </c>
      <c r="G52" s="14" t="s">
        <v>23</v>
      </c>
      <c r="H52" s="14"/>
      <c r="I52" s="14"/>
      <c r="J52" s="14" t="s">
        <v>9</v>
      </c>
      <c r="K52" s="14">
        <v>0</v>
      </c>
      <c r="L52" s="107">
        <v>1475.1378</v>
      </c>
      <c r="M52" s="212">
        <v>1134.5875000000001</v>
      </c>
      <c r="N52" s="14">
        <f>R52*O52</f>
        <v>480490.5</v>
      </c>
      <c r="O52" s="14">
        <v>179.28749999999999</v>
      </c>
      <c r="P52" s="49" t="s">
        <v>23</v>
      </c>
      <c r="Q52" s="49" t="s">
        <v>9</v>
      </c>
      <c r="R52" s="59">
        <v>2680</v>
      </c>
    </row>
    <row r="53" spans="1:18" ht="15.6" x14ac:dyDescent="0.3">
      <c r="A53" s="55" t="s">
        <v>371</v>
      </c>
      <c r="B53" s="207" t="s">
        <v>51</v>
      </c>
      <c r="C53" s="211">
        <v>45079</v>
      </c>
      <c r="D53" s="209" t="s">
        <v>21</v>
      </c>
      <c r="E53" s="209">
        <v>1</v>
      </c>
      <c r="F53" s="14">
        <v>0</v>
      </c>
      <c r="G53" s="14" t="s">
        <v>23</v>
      </c>
      <c r="H53" s="14"/>
      <c r="I53" s="14"/>
      <c r="J53" s="14" t="s">
        <v>9</v>
      </c>
      <c r="K53" s="14">
        <v>0</v>
      </c>
      <c r="L53" s="107">
        <v>1475.1378</v>
      </c>
      <c r="M53" s="212">
        <v>1134.5875000000001</v>
      </c>
      <c r="N53" s="14">
        <f>R53*O53</f>
        <v>510969.375</v>
      </c>
      <c r="O53" s="14">
        <v>179.28749999999999</v>
      </c>
      <c r="P53" s="49" t="s">
        <v>23</v>
      </c>
      <c r="Q53" s="49" t="s">
        <v>9</v>
      </c>
      <c r="R53" s="59">
        <v>2850</v>
      </c>
    </row>
    <row r="54" spans="1:18" ht="15.6" x14ac:dyDescent="0.3">
      <c r="A54" s="37" t="s">
        <v>80</v>
      </c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68"/>
      <c r="R54" s="213"/>
    </row>
    <row r="55" spans="1:18" ht="15.6" x14ac:dyDescent="0.3">
      <c r="A55" s="60" t="s">
        <v>55</v>
      </c>
      <c r="B55" s="216" t="s">
        <v>98</v>
      </c>
      <c r="C55" s="211">
        <v>45070</v>
      </c>
      <c r="D55" s="209" t="s">
        <v>21</v>
      </c>
      <c r="E55" s="209">
        <v>1</v>
      </c>
      <c r="F55" s="46">
        <v>690.14</v>
      </c>
      <c r="G55" s="49" t="s">
        <v>23</v>
      </c>
      <c r="H55" s="49"/>
      <c r="I55" s="49"/>
      <c r="J55" s="47">
        <v>0.17</v>
      </c>
      <c r="K55" s="49">
        <v>0</v>
      </c>
      <c r="L55" s="107">
        <v>1475.1378</v>
      </c>
      <c r="M55" s="212">
        <v>1134.5875000000001</v>
      </c>
      <c r="N55" s="49">
        <f>R55*O55</f>
        <v>123733.47524999999</v>
      </c>
      <c r="O55" s="49">
        <v>179.28749999999999</v>
      </c>
      <c r="P55" s="49" t="s">
        <v>23</v>
      </c>
      <c r="Q55" s="49">
        <f>F55</f>
        <v>690.14</v>
      </c>
      <c r="R55" s="61">
        <f>Q55*E55</f>
        <v>690.14</v>
      </c>
    </row>
    <row r="56" spans="1:18" ht="15.6" x14ac:dyDescent="0.3">
      <c r="A56" s="60" t="s">
        <v>56</v>
      </c>
      <c r="B56" s="216" t="s">
        <v>98</v>
      </c>
      <c r="C56" s="211">
        <v>45070</v>
      </c>
      <c r="D56" s="209" t="s">
        <v>21</v>
      </c>
      <c r="E56" s="209">
        <v>1</v>
      </c>
      <c r="F56" s="46">
        <v>29.1</v>
      </c>
      <c r="G56" s="49" t="s">
        <v>23</v>
      </c>
      <c r="H56" s="49"/>
      <c r="I56" s="49"/>
      <c r="J56" s="47">
        <v>0.17</v>
      </c>
      <c r="K56" s="49">
        <v>0</v>
      </c>
      <c r="L56" s="107">
        <v>1475.1378</v>
      </c>
      <c r="M56" s="212">
        <v>1134.5875000000001</v>
      </c>
      <c r="N56" s="49">
        <f t="shared" ref="N56:N94" si="12">R56*O56</f>
        <v>5217.2662499999997</v>
      </c>
      <c r="O56" s="49">
        <v>179.28749999999999</v>
      </c>
      <c r="P56" s="49" t="s">
        <v>23</v>
      </c>
      <c r="Q56" s="49">
        <f t="shared" ref="Q56:Q94" si="13">F56</f>
        <v>29.1</v>
      </c>
      <c r="R56" s="61">
        <f t="shared" ref="R56:R94" si="14">Q56*E56</f>
        <v>29.1</v>
      </c>
    </row>
    <row r="57" spans="1:18" ht="15.6" x14ac:dyDescent="0.3">
      <c r="A57" s="60" t="s">
        <v>61</v>
      </c>
      <c r="B57" s="216" t="s">
        <v>98</v>
      </c>
      <c r="C57" s="211">
        <v>45070</v>
      </c>
      <c r="D57" s="209" t="s">
        <v>21</v>
      </c>
      <c r="E57" s="209">
        <v>7</v>
      </c>
      <c r="F57" s="46">
        <v>9.9</v>
      </c>
      <c r="G57" s="49" t="s">
        <v>23</v>
      </c>
      <c r="H57" s="49"/>
      <c r="I57" s="49"/>
      <c r="J57" s="47">
        <v>0.17</v>
      </c>
      <c r="K57" s="49">
        <v>0</v>
      </c>
      <c r="L57" s="107">
        <v>1475.1378</v>
      </c>
      <c r="M57" s="212">
        <v>1134.5875000000001</v>
      </c>
      <c r="N57" s="49">
        <f t="shared" si="12"/>
        <v>12424.623749999999</v>
      </c>
      <c r="O57" s="49">
        <v>179.28749999999999</v>
      </c>
      <c r="P57" s="49" t="s">
        <v>23</v>
      </c>
      <c r="Q57" s="49">
        <f t="shared" si="13"/>
        <v>9.9</v>
      </c>
      <c r="R57" s="61">
        <f t="shared" si="14"/>
        <v>69.3</v>
      </c>
    </row>
    <row r="58" spans="1:18" ht="15.6" x14ac:dyDescent="0.3">
      <c r="A58" s="60" t="s">
        <v>128</v>
      </c>
      <c r="B58" s="216" t="s">
        <v>98</v>
      </c>
      <c r="C58" s="211">
        <v>45070</v>
      </c>
      <c r="D58" s="209" t="s">
        <v>21</v>
      </c>
      <c r="E58" s="209">
        <v>5</v>
      </c>
      <c r="F58" s="46">
        <v>17.93</v>
      </c>
      <c r="G58" s="49" t="s">
        <v>23</v>
      </c>
      <c r="H58" s="49"/>
      <c r="I58" s="49"/>
      <c r="J58" s="47">
        <v>0.17</v>
      </c>
      <c r="K58" s="49">
        <v>0</v>
      </c>
      <c r="L58" s="107">
        <v>1475.1378</v>
      </c>
      <c r="M58" s="212">
        <v>1134.5875000000001</v>
      </c>
      <c r="N58" s="49">
        <f t="shared" si="12"/>
        <v>16073.124375000001</v>
      </c>
      <c r="O58" s="49">
        <v>179.28749999999999</v>
      </c>
      <c r="P58" s="49" t="s">
        <v>23</v>
      </c>
      <c r="Q58" s="49">
        <f t="shared" si="13"/>
        <v>17.93</v>
      </c>
      <c r="R58" s="61">
        <f t="shared" si="14"/>
        <v>89.65</v>
      </c>
    </row>
    <row r="59" spans="1:18" ht="15.6" x14ac:dyDescent="0.3">
      <c r="A59" s="60" t="s">
        <v>129</v>
      </c>
      <c r="B59" s="216" t="s">
        <v>98</v>
      </c>
      <c r="C59" s="211">
        <v>45070</v>
      </c>
      <c r="D59" s="209" t="s">
        <v>21</v>
      </c>
      <c r="E59" s="209">
        <v>1</v>
      </c>
      <c r="F59" s="46">
        <v>20.18</v>
      </c>
      <c r="G59" s="49" t="s">
        <v>23</v>
      </c>
      <c r="H59" s="49"/>
      <c r="I59" s="49"/>
      <c r="J59" s="47">
        <v>0.17</v>
      </c>
      <c r="K59" s="49">
        <v>0</v>
      </c>
      <c r="L59" s="107">
        <v>1475.1378</v>
      </c>
      <c r="M59" s="212">
        <v>1134.5875000000001</v>
      </c>
      <c r="N59" s="49">
        <f t="shared" si="12"/>
        <v>3618.0217499999999</v>
      </c>
      <c r="O59" s="49">
        <v>179.28749999999999</v>
      </c>
      <c r="P59" s="49" t="s">
        <v>23</v>
      </c>
      <c r="Q59" s="49">
        <f t="shared" si="13"/>
        <v>20.18</v>
      </c>
      <c r="R59" s="61">
        <f t="shared" si="14"/>
        <v>20.18</v>
      </c>
    </row>
    <row r="60" spans="1:18" ht="15.6" x14ac:dyDescent="0.3">
      <c r="A60" s="60" t="s">
        <v>57</v>
      </c>
      <c r="B60" s="216" t="s">
        <v>98</v>
      </c>
      <c r="C60" s="211">
        <v>45070</v>
      </c>
      <c r="D60" s="209" t="s">
        <v>21</v>
      </c>
      <c r="E60" s="209">
        <v>2</v>
      </c>
      <c r="F60" s="46">
        <v>24.45</v>
      </c>
      <c r="G60" s="49" t="s">
        <v>23</v>
      </c>
      <c r="H60" s="49"/>
      <c r="I60" s="49"/>
      <c r="J60" s="47">
        <v>0.17</v>
      </c>
      <c r="K60" s="49">
        <v>0</v>
      </c>
      <c r="L60" s="107">
        <v>1475.1378</v>
      </c>
      <c r="M60" s="212">
        <v>1134.5875000000001</v>
      </c>
      <c r="N60" s="49">
        <f t="shared" si="12"/>
        <v>8767.1587499999987</v>
      </c>
      <c r="O60" s="49">
        <v>179.28749999999999</v>
      </c>
      <c r="P60" s="49" t="s">
        <v>23</v>
      </c>
      <c r="Q60" s="49">
        <f t="shared" si="13"/>
        <v>24.45</v>
      </c>
      <c r="R60" s="61">
        <f t="shared" si="14"/>
        <v>48.9</v>
      </c>
    </row>
    <row r="61" spans="1:18" ht="15.6" x14ac:dyDescent="0.3">
      <c r="A61" s="60" t="s">
        <v>58</v>
      </c>
      <c r="B61" s="216" t="s">
        <v>98</v>
      </c>
      <c r="C61" s="211">
        <v>45070</v>
      </c>
      <c r="D61" s="209" t="s">
        <v>21</v>
      </c>
      <c r="E61" s="209">
        <v>2</v>
      </c>
      <c r="F61" s="46">
        <v>24.45</v>
      </c>
      <c r="G61" s="49" t="s">
        <v>23</v>
      </c>
      <c r="H61" s="49"/>
      <c r="I61" s="49"/>
      <c r="J61" s="47">
        <v>0.17</v>
      </c>
      <c r="K61" s="49">
        <v>0</v>
      </c>
      <c r="L61" s="107">
        <v>1475.1378</v>
      </c>
      <c r="M61" s="212">
        <v>1134.5875000000001</v>
      </c>
      <c r="N61" s="49">
        <f t="shared" si="12"/>
        <v>8767.1587499999987</v>
      </c>
      <c r="O61" s="49">
        <v>179.28749999999999</v>
      </c>
      <c r="P61" s="49" t="s">
        <v>23</v>
      </c>
      <c r="Q61" s="49">
        <f t="shared" si="13"/>
        <v>24.45</v>
      </c>
      <c r="R61" s="61">
        <f t="shared" si="14"/>
        <v>48.9</v>
      </c>
    </row>
    <row r="62" spans="1:18" ht="15.6" x14ac:dyDescent="0.3">
      <c r="A62" s="60" t="s">
        <v>59</v>
      </c>
      <c r="B62" s="216" t="s">
        <v>98</v>
      </c>
      <c r="C62" s="211">
        <v>45070</v>
      </c>
      <c r="D62" s="209" t="s">
        <v>21</v>
      </c>
      <c r="E62" s="209">
        <v>1</v>
      </c>
      <c r="F62" s="46">
        <v>24.45</v>
      </c>
      <c r="G62" s="49" t="s">
        <v>23</v>
      </c>
      <c r="H62" s="49"/>
      <c r="I62" s="49"/>
      <c r="J62" s="47">
        <v>0.17</v>
      </c>
      <c r="K62" s="49">
        <v>0</v>
      </c>
      <c r="L62" s="107">
        <v>1475.1378</v>
      </c>
      <c r="M62" s="212">
        <v>1134.5875000000001</v>
      </c>
      <c r="N62" s="49">
        <f t="shared" si="12"/>
        <v>4383.5793749999993</v>
      </c>
      <c r="O62" s="49">
        <v>179.28749999999999</v>
      </c>
      <c r="P62" s="49" t="s">
        <v>23</v>
      </c>
      <c r="Q62" s="49">
        <f t="shared" si="13"/>
        <v>24.45</v>
      </c>
      <c r="R62" s="61">
        <f t="shared" si="14"/>
        <v>24.45</v>
      </c>
    </row>
    <row r="63" spans="1:18" ht="15.6" x14ac:dyDescent="0.3">
      <c r="A63" s="60" t="s">
        <v>62</v>
      </c>
      <c r="B63" s="216" t="s">
        <v>98</v>
      </c>
      <c r="C63" s="211">
        <v>45070</v>
      </c>
      <c r="D63" s="209" t="s">
        <v>21</v>
      </c>
      <c r="E63" s="209">
        <v>3</v>
      </c>
      <c r="F63" s="46">
        <v>3.42</v>
      </c>
      <c r="G63" s="49" t="s">
        <v>23</v>
      </c>
      <c r="H63" s="49"/>
      <c r="I63" s="49"/>
      <c r="J63" s="47">
        <v>0.17</v>
      </c>
      <c r="K63" s="49">
        <v>0</v>
      </c>
      <c r="L63" s="107">
        <v>1475.1378</v>
      </c>
      <c r="M63" s="212">
        <v>1134.5875000000001</v>
      </c>
      <c r="N63" s="49">
        <f t="shared" si="12"/>
        <v>1839.48975</v>
      </c>
      <c r="O63" s="49">
        <v>179.28749999999999</v>
      </c>
      <c r="P63" s="49" t="s">
        <v>23</v>
      </c>
      <c r="Q63" s="49">
        <f t="shared" si="13"/>
        <v>3.42</v>
      </c>
      <c r="R63" s="61">
        <f t="shared" si="14"/>
        <v>10.26</v>
      </c>
    </row>
    <row r="64" spans="1:18" ht="15.6" x14ac:dyDescent="0.3">
      <c r="A64" s="60" t="s">
        <v>63</v>
      </c>
      <c r="B64" s="216" t="s">
        <v>98</v>
      </c>
      <c r="C64" s="211">
        <v>45070</v>
      </c>
      <c r="D64" s="209" t="s">
        <v>21</v>
      </c>
      <c r="E64" s="209">
        <v>2</v>
      </c>
      <c r="F64" s="46">
        <v>6.38</v>
      </c>
      <c r="G64" s="49" t="s">
        <v>23</v>
      </c>
      <c r="H64" s="49"/>
      <c r="I64" s="49"/>
      <c r="J64" s="47">
        <v>0.17</v>
      </c>
      <c r="K64" s="49">
        <v>0</v>
      </c>
      <c r="L64" s="107">
        <v>1475.1378</v>
      </c>
      <c r="M64" s="212">
        <v>1134.5875000000001</v>
      </c>
      <c r="N64" s="49">
        <f t="shared" si="12"/>
        <v>2287.7084999999997</v>
      </c>
      <c r="O64" s="49">
        <v>179.28749999999999</v>
      </c>
      <c r="P64" s="49" t="s">
        <v>23</v>
      </c>
      <c r="Q64" s="49">
        <f t="shared" si="13"/>
        <v>6.38</v>
      </c>
      <c r="R64" s="61">
        <f t="shared" si="14"/>
        <v>12.76</v>
      </c>
    </row>
    <row r="65" spans="1:18" ht="15.6" x14ac:dyDescent="0.3">
      <c r="A65" s="60" t="s">
        <v>64</v>
      </c>
      <c r="B65" s="216" t="s">
        <v>98</v>
      </c>
      <c r="C65" s="211">
        <v>45070</v>
      </c>
      <c r="D65" s="209" t="s">
        <v>21</v>
      </c>
      <c r="E65" s="209">
        <v>3</v>
      </c>
      <c r="F65" s="46">
        <v>4.6900000000000004</v>
      </c>
      <c r="G65" s="49" t="s">
        <v>23</v>
      </c>
      <c r="H65" s="49"/>
      <c r="I65" s="49"/>
      <c r="J65" s="47">
        <v>0.17</v>
      </c>
      <c r="K65" s="49">
        <v>0</v>
      </c>
      <c r="L65" s="107">
        <v>1475.1378</v>
      </c>
      <c r="M65" s="212">
        <v>1134.5875000000001</v>
      </c>
      <c r="N65" s="49">
        <f t="shared" si="12"/>
        <v>2522.5751249999998</v>
      </c>
      <c r="O65" s="49">
        <v>179.28749999999999</v>
      </c>
      <c r="P65" s="49" t="s">
        <v>23</v>
      </c>
      <c r="Q65" s="49">
        <f t="shared" si="13"/>
        <v>4.6900000000000004</v>
      </c>
      <c r="R65" s="61">
        <f t="shared" si="14"/>
        <v>14.07</v>
      </c>
    </row>
    <row r="66" spans="1:18" ht="15.6" x14ac:dyDescent="0.3">
      <c r="A66" s="60" t="s">
        <v>60</v>
      </c>
      <c r="B66" s="216" t="s">
        <v>98</v>
      </c>
      <c r="C66" s="211">
        <v>45070</v>
      </c>
      <c r="D66" s="209" t="s">
        <v>21</v>
      </c>
      <c r="E66" s="209">
        <v>3</v>
      </c>
      <c r="F66" s="46">
        <v>3.54</v>
      </c>
      <c r="G66" s="49" t="s">
        <v>23</v>
      </c>
      <c r="H66" s="49"/>
      <c r="I66" s="49"/>
      <c r="J66" s="47">
        <v>0.17</v>
      </c>
      <c r="K66" s="49">
        <v>0</v>
      </c>
      <c r="L66" s="107">
        <v>1475.1378</v>
      </c>
      <c r="M66" s="212">
        <v>1134.5875000000001</v>
      </c>
      <c r="N66" s="49">
        <f t="shared" si="12"/>
        <v>1904.0332500000002</v>
      </c>
      <c r="O66" s="49">
        <v>179.28749999999999</v>
      </c>
      <c r="P66" s="49" t="s">
        <v>23</v>
      </c>
      <c r="Q66" s="49">
        <f t="shared" si="13"/>
        <v>3.54</v>
      </c>
      <c r="R66" s="61">
        <f t="shared" si="14"/>
        <v>10.620000000000001</v>
      </c>
    </row>
    <row r="67" spans="1:18" ht="15.6" x14ac:dyDescent="0.3">
      <c r="A67" s="60" t="s">
        <v>65</v>
      </c>
      <c r="B67" s="216" t="s">
        <v>98</v>
      </c>
      <c r="C67" s="211">
        <v>45070</v>
      </c>
      <c r="D67" s="209" t="s">
        <v>40</v>
      </c>
      <c r="E67" s="209">
        <v>6</v>
      </c>
      <c r="F67" s="46">
        <v>5.53</v>
      </c>
      <c r="G67" s="49" t="s">
        <v>23</v>
      </c>
      <c r="H67" s="49"/>
      <c r="I67" s="49"/>
      <c r="J67" s="47">
        <v>0.17</v>
      </c>
      <c r="K67" s="49">
        <v>0</v>
      </c>
      <c r="L67" s="107">
        <v>1475.1378</v>
      </c>
      <c r="M67" s="212">
        <v>1134.5875000000001</v>
      </c>
      <c r="N67" s="49">
        <f t="shared" si="12"/>
        <v>5948.7592500000001</v>
      </c>
      <c r="O67" s="49">
        <v>179.28749999999999</v>
      </c>
      <c r="P67" s="49" t="s">
        <v>23</v>
      </c>
      <c r="Q67" s="49">
        <f t="shared" si="13"/>
        <v>5.53</v>
      </c>
      <c r="R67" s="61">
        <f t="shared" si="14"/>
        <v>33.18</v>
      </c>
    </row>
    <row r="68" spans="1:18" ht="15.6" x14ac:dyDescent="0.3">
      <c r="A68" s="60" t="s">
        <v>66</v>
      </c>
      <c r="B68" s="216" t="s">
        <v>98</v>
      </c>
      <c r="C68" s="211">
        <v>45070</v>
      </c>
      <c r="D68" s="209" t="s">
        <v>21</v>
      </c>
      <c r="E68" s="209">
        <v>13</v>
      </c>
      <c r="F68" s="46">
        <v>50.78</v>
      </c>
      <c r="G68" s="49" t="s">
        <v>23</v>
      </c>
      <c r="H68" s="49"/>
      <c r="I68" s="49"/>
      <c r="J68" s="47">
        <v>0.17</v>
      </c>
      <c r="K68" s="49">
        <v>0</v>
      </c>
      <c r="L68" s="107">
        <v>1475.1378</v>
      </c>
      <c r="M68" s="212">
        <v>1134.5875000000001</v>
      </c>
      <c r="N68" s="49">
        <f t="shared" si="12"/>
        <v>118354.85024999999</v>
      </c>
      <c r="O68" s="49">
        <v>179.28749999999999</v>
      </c>
      <c r="P68" s="49" t="s">
        <v>23</v>
      </c>
      <c r="Q68" s="49">
        <f t="shared" si="13"/>
        <v>50.78</v>
      </c>
      <c r="R68" s="61">
        <f t="shared" si="14"/>
        <v>660.14</v>
      </c>
    </row>
    <row r="69" spans="1:18" ht="15.6" x14ac:dyDescent="0.3">
      <c r="A69" s="60" t="s">
        <v>130</v>
      </c>
      <c r="B69" s="216" t="s">
        <v>98</v>
      </c>
      <c r="C69" s="211">
        <v>45070</v>
      </c>
      <c r="D69" s="209" t="s">
        <v>21</v>
      </c>
      <c r="E69" s="209">
        <v>13</v>
      </c>
      <c r="F69" s="46">
        <v>6.7</v>
      </c>
      <c r="G69" s="49" t="s">
        <v>23</v>
      </c>
      <c r="H69" s="49"/>
      <c r="I69" s="49"/>
      <c r="J69" s="47">
        <v>0.17</v>
      </c>
      <c r="K69" s="49">
        <v>0</v>
      </c>
      <c r="L69" s="107">
        <v>1475.1378</v>
      </c>
      <c r="M69" s="212">
        <v>1134.5875000000001</v>
      </c>
      <c r="N69" s="49">
        <f t="shared" si="12"/>
        <v>15615.941250000002</v>
      </c>
      <c r="O69" s="49">
        <v>179.28749999999999</v>
      </c>
      <c r="P69" s="49" t="s">
        <v>23</v>
      </c>
      <c r="Q69" s="49">
        <f t="shared" si="13"/>
        <v>6.7</v>
      </c>
      <c r="R69" s="61">
        <f t="shared" si="14"/>
        <v>87.100000000000009</v>
      </c>
    </row>
    <row r="70" spans="1:18" ht="15.6" x14ac:dyDescent="0.3">
      <c r="A70" s="60" t="s">
        <v>132</v>
      </c>
      <c r="B70" s="216" t="s">
        <v>98</v>
      </c>
      <c r="C70" s="211">
        <v>45070</v>
      </c>
      <c r="D70" s="209" t="s">
        <v>21</v>
      </c>
      <c r="E70" s="209">
        <v>15</v>
      </c>
      <c r="F70" s="46">
        <v>3.07</v>
      </c>
      <c r="G70" s="49" t="s">
        <v>23</v>
      </c>
      <c r="H70" s="49"/>
      <c r="I70" s="49"/>
      <c r="J70" s="47">
        <v>0.17</v>
      </c>
      <c r="K70" s="49">
        <v>0</v>
      </c>
      <c r="L70" s="107">
        <v>1475.1378</v>
      </c>
      <c r="M70" s="212">
        <v>1134.5875000000001</v>
      </c>
      <c r="N70" s="49">
        <f t="shared" si="12"/>
        <v>8256.1893749999999</v>
      </c>
      <c r="O70" s="49">
        <v>179.28749999999999</v>
      </c>
      <c r="P70" s="49" t="s">
        <v>23</v>
      </c>
      <c r="Q70" s="49">
        <f t="shared" si="13"/>
        <v>3.07</v>
      </c>
      <c r="R70" s="61">
        <f t="shared" si="14"/>
        <v>46.05</v>
      </c>
    </row>
    <row r="71" spans="1:18" ht="15.6" x14ac:dyDescent="0.3">
      <c r="A71" s="60" t="s">
        <v>131</v>
      </c>
      <c r="B71" s="216" t="s">
        <v>98</v>
      </c>
      <c r="C71" s="211">
        <v>45070</v>
      </c>
      <c r="D71" s="209" t="s">
        <v>34</v>
      </c>
      <c r="E71" s="209">
        <v>15</v>
      </c>
      <c r="F71" s="46">
        <v>4.76</v>
      </c>
      <c r="G71" s="49" t="s">
        <v>23</v>
      </c>
      <c r="H71" s="49"/>
      <c r="I71" s="49"/>
      <c r="J71" s="47">
        <v>0.17</v>
      </c>
      <c r="K71" s="49">
        <v>0</v>
      </c>
      <c r="L71" s="107">
        <v>1475.1378</v>
      </c>
      <c r="M71" s="212">
        <v>1134.5875000000001</v>
      </c>
      <c r="N71" s="49">
        <f t="shared" si="12"/>
        <v>12801.127499999999</v>
      </c>
      <c r="O71" s="49">
        <v>179.28749999999999</v>
      </c>
      <c r="P71" s="49" t="s">
        <v>23</v>
      </c>
      <c r="Q71" s="49">
        <f t="shared" si="13"/>
        <v>4.76</v>
      </c>
      <c r="R71" s="61">
        <f t="shared" si="14"/>
        <v>71.399999999999991</v>
      </c>
    </row>
    <row r="72" spans="1:18" ht="15.6" x14ac:dyDescent="0.3">
      <c r="A72" s="60" t="s">
        <v>68</v>
      </c>
      <c r="B72" s="216" t="s">
        <v>98</v>
      </c>
      <c r="C72" s="211">
        <v>45070</v>
      </c>
      <c r="D72" s="209" t="s">
        <v>21</v>
      </c>
      <c r="E72" s="209">
        <v>13</v>
      </c>
      <c r="F72" s="46">
        <v>4.54</v>
      </c>
      <c r="G72" s="49" t="s">
        <v>23</v>
      </c>
      <c r="H72" s="49"/>
      <c r="I72" s="49"/>
      <c r="J72" s="47">
        <v>0.17</v>
      </c>
      <c r="K72" s="49">
        <v>0</v>
      </c>
      <c r="L72" s="107">
        <v>1475.1378</v>
      </c>
      <c r="M72" s="212">
        <v>1134.5875000000001</v>
      </c>
      <c r="N72" s="49">
        <f t="shared" si="12"/>
        <v>10581.54825</v>
      </c>
      <c r="O72" s="49">
        <v>179.28749999999999</v>
      </c>
      <c r="P72" s="49" t="s">
        <v>23</v>
      </c>
      <c r="Q72" s="49">
        <f t="shared" si="13"/>
        <v>4.54</v>
      </c>
      <c r="R72" s="61">
        <f t="shared" si="14"/>
        <v>59.02</v>
      </c>
    </row>
    <row r="73" spans="1:18" ht="15.6" x14ac:dyDescent="0.3">
      <c r="A73" s="60" t="s">
        <v>67</v>
      </c>
      <c r="B73" s="216" t="s">
        <v>98</v>
      </c>
      <c r="C73" s="211">
        <v>45070</v>
      </c>
      <c r="D73" s="209" t="s">
        <v>21</v>
      </c>
      <c r="E73" s="209">
        <v>10</v>
      </c>
      <c r="F73" s="46">
        <v>3.45</v>
      </c>
      <c r="G73" s="49" t="s">
        <v>23</v>
      </c>
      <c r="H73" s="49"/>
      <c r="I73" s="49"/>
      <c r="J73" s="47">
        <v>0.17</v>
      </c>
      <c r="K73" s="49">
        <v>0</v>
      </c>
      <c r="L73" s="107">
        <v>1475.1378</v>
      </c>
      <c r="M73" s="212">
        <v>1134.5875000000001</v>
      </c>
      <c r="N73" s="49">
        <f t="shared" si="12"/>
        <v>6185.4187499999998</v>
      </c>
      <c r="O73" s="49">
        <v>179.28749999999999</v>
      </c>
      <c r="P73" s="49" t="s">
        <v>23</v>
      </c>
      <c r="Q73" s="49">
        <f t="shared" si="13"/>
        <v>3.45</v>
      </c>
      <c r="R73" s="61">
        <f t="shared" si="14"/>
        <v>34.5</v>
      </c>
    </row>
    <row r="74" spans="1:18" ht="15.6" x14ac:dyDescent="0.3">
      <c r="A74" s="60" t="s">
        <v>133</v>
      </c>
      <c r="B74" s="216" t="s">
        <v>98</v>
      </c>
      <c r="C74" s="211">
        <v>45070</v>
      </c>
      <c r="D74" s="209" t="s">
        <v>21</v>
      </c>
      <c r="E74" s="209">
        <v>6</v>
      </c>
      <c r="F74" s="46">
        <v>1.38</v>
      </c>
      <c r="G74" s="49" t="s">
        <v>23</v>
      </c>
      <c r="H74" s="49"/>
      <c r="I74" s="49"/>
      <c r="J74" s="47">
        <v>0.17</v>
      </c>
      <c r="K74" s="49">
        <v>0</v>
      </c>
      <c r="L74" s="107">
        <v>1475.1378</v>
      </c>
      <c r="M74" s="212">
        <v>1134.5875000000001</v>
      </c>
      <c r="N74" s="49">
        <f t="shared" si="12"/>
        <v>1484.5004999999999</v>
      </c>
      <c r="O74" s="49">
        <v>179.28749999999999</v>
      </c>
      <c r="P74" s="49" t="s">
        <v>23</v>
      </c>
      <c r="Q74" s="49">
        <f t="shared" si="13"/>
        <v>1.38</v>
      </c>
      <c r="R74" s="61">
        <f t="shared" si="14"/>
        <v>8.2799999999999994</v>
      </c>
    </row>
    <row r="75" spans="1:18" ht="15.6" x14ac:dyDescent="0.3">
      <c r="A75" s="60" t="s">
        <v>134</v>
      </c>
      <c r="B75" s="216" t="s">
        <v>98</v>
      </c>
      <c r="C75" s="211">
        <v>45070</v>
      </c>
      <c r="D75" s="209" t="s">
        <v>21</v>
      </c>
      <c r="E75" s="209">
        <v>24</v>
      </c>
      <c r="F75" s="46">
        <v>1.53</v>
      </c>
      <c r="G75" s="49" t="s">
        <v>23</v>
      </c>
      <c r="H75" s="49"/>
      <c r="I75" s="49"/>
      <c r="J75" s="47">
        <v>0.17</v>
      </c>
      <c r="K75" s="49">
        <v>0</v>
      </c>
      <c r="L75" s="107">
        <v>1475.1378</v>
      </c>
      <c r="M75" s="212">
        <v>1134.5875000000001</v>
      </c>
      <c r="N75" s="49">
        <f t="shared" si="12"/>
        <v>6583.4369999999999</v>
      </c>
      <c r="O75" s="49">
        <v>179.28749999999999</v>
      </c>
      <c r="P75" s="49" t="s">
        <v>23</v>
      </c>
      <c r="Q75" s="49">
        <f t="shared" si="13"/>
        <v>1.53</v>
      </c>
      <c r="R75" s="61">
        <f t="shared" si="14"/>
        <v>36.72</v>
      </c>
    </row>
    <row r="76" spans="1:18" ht="15.6" x14ac:dyDescent="0.3">
      <c r="A76" s="60" t="s">
        <v>142</v>
      </c>
      <c r="B76" s="216" t="s">
        <v>98</v>
      </c>
      <c r="C76" s="211">
        <v>45070</v>
      </c>
      <c r="D76" s="209" t="s">
        <v>40</v>
      </c>
      <c r="E76" s="209">
        <v>200</v>
      </c>
      <c r="F76" s="46">
        <v>1.34</v>
      </c>
      <c r="G76" s="49" t="s">
        <v>23</v>
      </c>
      <c r="H76" s="49"/>
      <c r="I76" s="49"/>
      <c r="J76" s="47">
        <v>0.17</v>
      </c>
      <c r="K76" s="49">
        <v>0</v>
      </c>
      <c r="L76" s="107">
        <v>1475.1378</v>
      </c>
      <c r="M76" s="212">
        <v>1134.5875000000001</v>
      </c>
      <c r="N76" s="49">
        <f t="shared" si="12"/>
        <v>48049.049999999996</v>
      </c>
      <c r="O76" s="49">
        <v>179.28749999999999</v>
      </c>
      <c r="P76" s="49" t="s">
        <v>23</v>
      </c>
      <c r="Q76" s="49">
        <f t="shared" si="13"/>
        <v>1.34</v>
      </c>
      <c r="R76" s="61">
        <f t="shared" si="14"/>
        <v>268</v>
      </c>
    </row>
    <row r="77" spans="1:18" ht="15.6" x14ac:dyDescent="0.3">
      <c r="A77" s="60" t="s">
        <v>143</v>
      </c>
      <c r="B77" s="216" t="s">
        <v>98</v>
      </c>
      <c r="C77" s="211">
        <v>45070</v>
      </c>
      <c r="D77" s="209" t="s">
        <v>40</v>
      </c>
      <c r="E77" s="209">
        <v>500</v>
      </c>
      <c r="F77" s="46">
        <v>3.16</v>
      </c>
      <c r="G77" s="49" t="s">
        <v>23</v>
      </c>
      <c r="H77" s="49"/>
      <c r="I77" s="49"/>
      <c r="J77" s="47">
        <v>0.17</v>
      </c>
      <c r="K77" s="49">
        <v>0</v>
      </c>
      <c r="L77" s="107">
        <v>1475.1378</v>
      </c>
      <c r="M77" s="212">
        <v>1134.5875000000001</v>
      </c>
      <c r="N77" s="49">
        <f t="shared" si="12"/>
        <v>283274.25</v>
      </c>
      <c r="O77" s="49">
        <v>179.28749999999999</v>
      </c>
      <c r="P77" s="49" t="s">
        <v>23</v>
      </c>
      <c r="Q77" s="49">
        <f t="shared" si="13"/>
        <v>3.16</v>
      </c>
      <c r="R77" s="61">
        <f t="shared" si="14"/>
        <v>1580</v>
      </c>
    </row>
    <row r="78" spans="1:18" ht="15.6" x14ac:dyDescent="0.3">
      <c r="A78" s="60" t="s">
        <v>71</v>
      </c>
      <c r="B78" s="216" t="s">
        <v>98</v>
      </c>
      <c r="C78" s="211">
        <v>45070</v>
      </c>
      <c r="D78" s="209" t="s">
        <v>40</v>
      </c>
      <c r="E78" s="209">
        <v>60</v>
      </c>
      <c r="F78" s="46">
        <v>3.76</v>
      </c>
      <c r="G78" s="49" t="s">
        <v>23</v>
      </c>
      <c r="H78" s="49"/>
      <c r="I78" s="49"/>
      <c r="J78" s="47">
        <v>0.17</v>
      </c>
      <c r="K78" s="49">
        <v>0</v>
      </c>
      <c r="L78" s="107">
        <v>1475.1378</v>
      </c>
      <c r="M78" s="212">
        <v>1134.5875000000001</v>
      </c>
      <c r="N78" s="49">
        <f t="shared" si="12"/>
        <v>40447.259999999995</v>
      </c>
      <c r="O78" s="49">
        <v>179.28749999999999</v>
      </c>
      <c r="P78" s="49" t="s">
        <v>23</v>
      </c>
      <c r="Q78" s="49">
        <f t="shared" si="13"/>
        <v>3.76</v>
      </c>
      <c r="R78" s="61">
        <f t="shared" si="14"/>
        <v>225.6</v>
      </c>
    </row>
    <row r="79" spans="1:18" ht="15.6" x14ac:dyDescent="0.3">
      <c r="A79" s="60" t="s">
        <v>135</v>
      </c>
      <c r="B79" s="216" t="s">
        <v>98</v>
      </c>
      <c r="C79" s="211">
        <v>45070</v>
      </c>
      <c r="D79" s="209" t="s">
        <v>21</v>
      </c>
      <c r="E79" s="209">
        <v>2</v>
      </c>
      <c r="F79" s="46">
        <v>55.02</v>
      </c>
      <c r="G79" s="49" t="s">
        <v>23</v>
      </c>
      <c r="H79" s="49"/>
      <c r="I79" s="49"/>
      <c r="J79" s="47">
        <v>0.17</v>
      </c>
      <c r="K79" s="49">
        <v>0</v>
      </c>
      <c r="L79" s="107">
        <v>1475.1378</v>
      </c>
      <c r="M79" s="212">
        <v>1134.5875000000001</v>
      </c>
      <c r="N79" s="49">
        <f t="shared" si="12"/>
        <v>19728.7965</v>
      </c>
      <c r="O79" s="49">
        <v>179.28749999999999</v>
      </c>
      <c r="P79" s="49" t="s">
        <v>23</v>
      </c>
      <c r="Q79" s="49">
        <f t="shared" si="13"/>
        <v>55.02</v>
      </c>
      <c r="R79" s="61">
        <f t="shared" si="14"/>
        <v>110.04</v>
      </c>
    </row>
    <row r="80" spans="1:18" ht="15.6" x14ac:dyDescent="0.3">
      <c r="A80" s="60" t="s">
        <v>136</v>
      </c>
      <c r="B80" s="216" t="s">
        <v>98</v>
      </c>
      <c r="C80" s="211">
        <v>45070</v>
      </c>
      <c r="D80" s="209" t="s">
        <v>21</v>
      </c>
      <c r="E80" s="209">
        <v>2</v>
      </c>
      <c r="F80" s="46">
        <v>10.43</v>
      </c>
      <c r="G80" s="49" t="s">
        <v>23</v>
      </c>
      <c r="H80" s="49"/>
      <c r="I80" s="49"/>
      <c r="J80" s="47">
        <v>0.17</v>
      </c>
      <c r="K80" s="49">
        <v>0</v>
      </c>
      <c r="L80" s="107">
        <v>1475.1378</v>
      </c>
      <c r="M80" s="212">
        <v>1134.5875000000001</v>
      </c>
      <c r="N80" s="49">
        <f t="shared" si="12"/>
        <v>3739.9372499999999</v>
      </c>
      <c r="O80" s="49">
        <v>179.28749999999999</v>
      </c>
      <c r="P80" s="49" t="s">
        <v>23</v>
      </c>
      <c r="Q80" s="49">
        <f t="shared" si="13"/>
        <v>10.43</v>
      </c>
      <c r="R80" s="61">
        <f t="shared" si="14"/>
        <v>20.86</v>
      </c>
    </row>
    <row r="81" spans="1:18" ht="15.6" x14ac:dyDescent="0.3">
      <c r="A81" s="60" t="s">
        <v>137</v>
      </c>
      <c r="B81" s="216" t="s">
        <v>98</v>
      </c>
      <c r="C81" s="211">
        <v>45070</v>
      </c>
      <c r="D81" s="209" t="s">
        <v>21</v>
      </c>
      <c r="E81" s="209">
        <v>2</v>
      </c>
      <c r="F81" s="46">
        <v>5.21</v>
      </c>
      <c r="G81" s="49" t="s">
        <v>23</v>
      </c>
      <c r="H81" s="49"/>
      <c r="I81" s="49"/>
      <c r="J81" s="47">
        <v>0.17</v>
      </c>
      <c r="K81" s="49">
        <v>0</v>
      </c>
      <c r="L81" s="107">
        <v>1475.1378</v>
      </c>
      <c r="M81" s="212">
        <v>1134.5875000000001</v>
      </c>
      <c r="N81" s="49">
        <f t="shared" si="12"/>
        <v>1868.1757499999999</v>
      </c>
      <c r="O81" s="49">
        <v>179.28749999999999</v>
      </c>
      <c r="P81" s="49" t="s">
        <v>23</v>
      </c>
      <c r="Q81" s="49">
        <f t="shared" si="13"/>
        <v>5.21</v>
      </c>
      <c r="R81" s="61">
        <f t="shared" si="14"/>
        <v>10.42</v>
      </c>
    </row>
    <row r="82" spans="1:18" ht="15.6" x14ac:dyDescent="0.3">
      <c r="A82" s="60" t="s">
        <v>74</v>
      </c>
      <c r="B82" s="216" t="s">
        <v>98</v>
      </c>
      <c r="C82" s="211">
        <v>45070</v>
      </c>
      <c r="D82" s="209" t="s">
        <v>21</v>
      </c>
      <c r="E82" s="209">
        <v>18</v>
      </c>
      <c r="F82" s="46">
        <v>7.56</v>
      </c>
      <c r="G82" s="49" t="s">
        <v>23</v>
      </c>
      <c r="H82" s="49"/>
      <c r="I82" s="49"/>
      <c r="J82" s="47">
        <v>0.17</v>
      </c>
      <c r="K82" s="49">
        <v>0</v>
      </c>
      <c r="L82" s="107">
        <v>1475.1378</v>
      </c>
      <c r="M82" s="212">
        <v>1134.5875000000001</v>
      </c>
      <c r="N82" s="49">
        <f t="shared" si="12"/>
        <v>24397.442999999996</v>
      </c>
      <c r="O82" s="49">
        <v>179.28749999999999</v>
      </c>
      <c r="P82" s="49" t="s">
        <v>23</v>
      </c>
      <c r="Q82" s="49">
        <f t="shared" si="13"/>
        <v>7.56</v>
      </c>
      <c r="R82" s="61">
        <f t="shared" si="14"/>
        <v>136.07999999999998</v>
      </c>
    </row>
    <row r="83" spans="1:18" ht="15.6" x14ac:dyDescent="0.3">
      <c r="A83" s="60" t="s">
        <v>75</v>
      </c>
      <c r="B83" s="216" t="s">
        <v>98</v>
      </c>
      <c r="C83" s="211">
        <v>45070</v>
      </c>
      <c r="D83" s="209" t="s">
        <v>21</v>
      </c>
      <c r="E83" s="209">
        <v>18</v>
      </c>
      <c r="F83" s="46">
        <v>2.75</v>
      </c>
      <c r="G83" s="49" t="s">
        <v>23</v>
      </c>
      <c r="H83" s="49"/>
      <c r="I83" s="49"/>
      <c r="J83" s="47">
        <v>0.17</v>
      </c>
      <c r="K83" s="49">
        <v>0</v>
      </c>
      <c r="L83" s="107">
        <v>1475.1378</v>
      </c>
      <c r="M83" s="212">
        <v>1134.5875000000001</v>
      </c>
      <c r="N83" s="49">
        <f t="shared" si="12"/>
        <v>8874.7312499999989</v>
      </c>
      <c r="O83" s="49">
        <v>179.28749999999999</v>
      </c>
      <c r="P83" s="49" t="s">
        <v>23</v>
      </c>
      <c r="Q83" s="49">
        <f t="shared" si="13"/>
        <v>2.75</v>
      </c>
      <c r="R83" s="61">
        <f t="shared" si="14"/>
        <v>49.5</v>
      </c>
    </row>
    <row r="84" spans="1:18" ht="15.6" x14ac:dyDescent="0.3">
      <c r="A84" s="60" t="s">
        <v>138</v>
      </c>
      <c r="B84" s="216" t="s">
        <v>98</v>
      </c>
      <c r="C84" s="211">
        <v>45070</v>
      </c>
      <c r="D84" s="209" t="s">
        <v>21</v>
      </c>
      <c r="E84" s="209">
        <v>18</v>
      </c>
      <c r="F84" s="46">
        <v>3.41</v>
      </c>
      <c r="G84" s="49" t="s">
        <v>23</v>
      </c>
      <c r="H84" s="49"/>
      <c r="I84" s="49"/>
      <c r="J84" s="47">
        <v>0.17</v>
      </c>
      <c r="K84" s="49">
        <v>0</v>
      </c>
      <c r="L84" s="107">
        <v>1475.1378</v>
      </c>
      <c r="M84" s="212">
        <v>1134.5875000000001</v>
      </c>
      <c r="N84" s="49">
        <f t="shared" si="12"/>
        <v>11004.66675</v>
      </c>
      <c r="O84" s="49">
        <v>179.28749999999999</v>
      </c>
      <c r="P84" s="49" t="s">
        <v>23</v>
      </c>
      <c r="Q84" s="49">
        <f t="shared" si="13"/>
        <v>3.41</v>
      </c>
      <c r="R84" s="61">
        <f t="shared" si="14"/>
        <v>61.38</v>
      </c>
    </row>
    <row r="85" spans="1:18" ht="15.6" x14ac:dyDescent="0.3">
      <c r="A85" s="60" t="s">
        <v>76</v>
      </c>
      <c r="B85" s="216" t="s">
        <v>98</v>
      </c>
      <c r="C85" s="211">
        <v>45070</v>
      </c>
      <c r="D85" s="209" t="s">
        <v>21</v>
      </c>
      <c r="E85" s="209">
        <v>18</v>
      </c>
      <c r="F85" s="46">
        <v>1.34</v>
      </c>
      <c r="G85" s="49" t="s">
        <v>23</v>
      </c>
      <c r="H85" s="49"/>
      <c r="I85" s="49"/>
      <c r="J85" s="47">
        <v>0.17</v>
      </c>
      <c r="K85" s="49">
        <v>0</v>
      </c>
      <c r="L85" s="107">
        <v>1475.1378</v>
      </c>
      <c r="M85" s="212">
        <v>1134.5875000000001</v>
      </c>
      <c r="N85" s="49">
        <f t="shared" si="12"/>
        <v>4324.4144999999999</v>
      </c>
      <c r="O85" s="49">
        <v>179.28749999999999</v>
      </c>
      <c r="P85" s="49" t="s">
        <v>23</v>
      </c>
      <c r="Q85" s="49">
        <f t="shared" si="13"/>
        <v>1.34</v>
      </c>
      <c r="R85" s="61">
        <f t="shared" si="14"/>
        <v>24.12</v>
      </c>
    </row>
    <row r="86" spans="1:18" ht="15.6" x14ac:dyDescent="0.3">
      <c r="A86" s="60" t="s">
        <v>77</v>
      </c>
      <c r="B86" s="216" t="s">
        <v>98</v>
      </c>
      <c r="C86" s="211">
        <v>45070</v>
      </c>
      <c r="D86" s="209" t="s">
        <v>40</v>
      </c>
      <c r="E86" s="209">
        <v>238</v>
      </c>
      <c r="F86" s="46">
        <v>44.84</v>
      </c>
      <c r="G86" s="49" t="s">
        <v>23</v>
      </c>
      <c r="H86" s="49"/>
      <c r="I86" s="49"/>
      <c r="J86" s="47">
        <v>0.17</v>
      </c>
      <c r="K86" s="49">
        <v>0</v>
      </c>
      <c r="L86" s="107">
        <v>1475.1378</v>
      </c>
      <c r="M86" s="212">
        <v>1134.5875000000001</v>
      </c>
      <c r="N86" s="49">
        <f t="shared" si="12"/>
        <v>1913341.8569999998</v>
      </c>
      <c r="O86" s="49">
        <v>179.28749999999999</v>
      </c>
      <c r="P86" s="49" t="s">
        <v>23</v>
      </c>
      <c r="Q86" s="49">
        <f t="shared" si="13"/>
        <v>44.84</v>
      </c>
      <c r="R86" s="61">
        <f t="shared" si="14"/>
        <v>10671.92</v>
      </c>
    </row>
    <row r="87" spans="1:18" ht="15.6" x14ac:dyDescent="0.3">
      <c r="A87" s="60" t="s">
        <v>141</v>
      </c>
      <c r="B87" s="216" t="s">
        <v>98</v>
      </c>
      <c r="C87" s="211">
        <v>45070</v>
      </c>
      <c r="D87" s="209" t="s">
        <v>40</v>
      </c>
      <c r="E87" s="209">
        <v>51</v>
      </c>
      <c r="F87" s="46">
        <v>28.49</v>
      </c>
      <c r="G87" s="49" t="s">
        <v>23</v>
      </c>
      <c r="H87" s="49"/>
      <c r="I87" s="49"/>
      <c r="J87" s="47">
        <v>0.17</v>
      </c>
      <c r="K87" s="49">
        <v>0</v>
      </c>
      <c r="L87" s="107">
        <v>1475.1378</v>
      </c>
      <c r="M87" s="212">
        <v>1134.5875000000001</v>
      </c>
      <c r="N87" s="49">
        <f t="shared" si="12"/>
        <v>260502.944625</v>
      </c>
      <c r="O87" s="49">
        <v>179.28749999999999</v>
      </c>
      <c r="P87" s="49" t="s">
        <v>23</v>
      </c>
      <c r="Q87" s="49">
        <f t="shared" si="13"/>
        <v>28.49</v>
      </c>
      <c r="R87" s="61">
        <f t="shared" si="14"/>
        <v>1452.99</v>
      </c>
    </row>
    <row r="88" spans="1:18" ht="15.6" x14ac:dyDescent="0.3">
      <c r="A88" s="60" t="s">
        <v>139</v>
      </c>
      <c r="B88" s="216" t="s">
        <v>98</v>
      </c>
      <c r="C88" s="211">
        <v>45070</v>
      </c>
      <c r="D88" s="209" t="s">
        <v>21</v>
      </c>
      <c r="E88" s="209">
        <v>1</v>
      </c>
      <c r="F88" s="46">
        <v>25.09</v>
      </c>
      <c r="G88" s="49" t="s">
        <v>23</v>
      </c>
      <c r="H88" s="49"/>
      <c r="I88" s="49"/>
      <c r="J88" s="47">
        <v>0.17</v>
      </c>
      <c r="K88" s="49">
        <v>0</v>
      </c>
      <c r="L88" s="107">
        <v>1475.1378</v>
      </c>
      <c r="M88" s="212">
        <v>1134.5875000000001</v>
      </c>
      <c r="N88" s="49">
        <f t="shared" si="12"/>
        <v>4498.3233749999999</v>
      </c>
      <c r="O88" s="49">
        <v>179.28749999999999</v>
      </c>
      <c r="P88" s="49" t="s">
        <v>23</v>
      </c>
      <c r="Q88" s="49">
        <f t="shared" si="13"/>
        <v>25.09</v>
      </c>
      <c r="R88" s="61">
        <f t="shared" si="14"/>
        <v>25.09</v>
      </c>
    </row>
    <row r="89" spans="1:18" ht="15.6" x14ac:dyDescent="0.3">
      <c r="A89" s="60" t="s">
        <v>140</v>
      </c>
      <c r="B89" s="216" t="s">
        <v>98</v>
      </c>
      <c r="C89" s="211">
        <v>45070</v>
      </c>
      <c r="D89" s="209" t="s">
        <v>40</v>
      </c>
      <c r="E89" s="209">
        <v>50</v>
      </c>
      <c r="F89" s="46">
        <v>40.909999999999997</v>
      </c>
      <c r="G89" s="49" t="s">
        <v>23</v>
      </c>
      <c r="H89" s="49"/>
      <c r="I89" s="49"/>
      <c r="J89" s="47">
        <v>0.17</v>
      </c>
      <c r="K89" s="49">
        <v>0</v>
      </c>
      <c r="L89" s="107">
        <v>1475.1378</v>
      </c>
      <c r="M89" s="212">
        <v>1134.5875000000001</v>
      </c>
      <c r="N89" s="49">
        <f t="shared" si="12"/>
        <v>366732.58124999993</v>
      </c>
      <c r="O89" s="49">
        <v>179.28749999999999</v>
      </c>
      <c r="P89" s="49" t="s">
        <v>23</v>
      </c>
      <c r="Q89" s="49">
        <f t="shared" si="13"/>
        <v>40.909999999999997</v>
      </c>
      <c r="R89" s="61">
        <f t="shared" si="14"/>
        <v>2045.4999999999998</v>
      </c>
    </row>
    <row r="90" spans="1:18" ht="15.6" x14ac:dyDescent="0.3">
      <c r="A90" s="60" t="s">
        <v>69</v>
      </c>
      <c r="B90" s="216" t="s">
        <v>98</v>
      </c>
      <c r="C90" s="211">
        <v>45070</v>
      </c>
      <c r="D90" s="209" t="s">
        <v>40</v>
      </c>
      <c r="E90" s="209">
        <v>500</v>
      </c>
      <c r="F90" s="46">
        <v>1.1499999999999999</v>
      </c>
      <c r="G90" s="49" t="s">
        <v>23</v>
      </c>
      <c r="H90" s="49"/>
      <c r="I90" s="49"/>
      <c r="J90" s="47">
        <v>0.17</v>
      </c>
      <c r="K90" s="49">
        <v>0</v>
      </c>
      <c r="L90" s="107">
        <v>1475.1378</v>
      </c>
      <c r="M90" s="212">
        <v>1134.5875000000001</v>
      </c>
      <c r="N90" s="49">
        <f t="shared" si="12"/>
        <v>103090.3125</v>
      </c>
      <c r="O90" s="49">
        <v>179.28749999999999</v>
      </c>
      <c r="P90" s="49" t="s">
        <v>23</v>
      </c>
      <c r="Q90" s="49">
        <f t="shared" si="13"/>
        <v>1.1499999999999999</v>
      </c>
      <c r="R90" s="61">
        <f t="shared" si="14"/>
        <v>575</v>
      </c>
    </row>
    <row r="91" spans="1:18" ht="15.6" x14ac:dyDescent="0.3">
      <c r="A91" s="60" t="s">
        <v>144</v>
      </c>
      <c r="B91" s="216" t="s">
        <v>98</v>
      </c>
      <c r="C91" s="211">
        <v>45070</v>
      </c>
      <c r="D91" s="209" t="s">
        <v>21</v>
      </c>
      <c r="E91" s="209">
        <v>1</v>
      </c>
      <c r="F91" s="46">
        <v>18.440000000000001</v>
      </c>
      <c r="G91" s="49" t="s">
        <v>23</v>
      </c>
      <c r="H91" s="49"/>
      <c r="I91" s="49"/>
      <c r="J91" s="47">
        <v>0.17</v>
      </c>
      <c r="K91" s="49">
        <v>0</v>
      </c>
      <c r="L91" s="107">
        <v>1475.1378</v>
      </c>
      <c r="M91" s="212">
        <v>1134.5875000000001</v>
      </c>
      <c r="N91" s="49">
        <f t="shared" si="12"/>
        <v>3306.0615000000003</v>
      </c>
      <c r="O91" s="49">
        <v>179.28749999999999</v>
      </c>
      <c r="P91" s="49" t="s">
        <v>23</v>
      </c>
      <c r="Q91" s="49">
        <f t="shared" si="13"/>
        <v>18.440000000000001</v>
      </c>
      <c r="R91" s="61">
        <f t="shared" si="14"/>
        <v>18.440000000000001</v>
      </c>
    </row>
    <row r="92" spans="1:18" ht="15.6" x14ac:dyDescent="0.3">
      <c r="A92" s="60" t="s">
        <v>70</v>
      </c>
      <c r="B92" s="216" t="s">
        <v>98</v>
      </c>
      <c r="C92" s="211">
        <v>45070</v>
      </c>
      <c r="D92" s="209" t="s">
        <v>40</v>
      </c>
      <c r="E92" s="209">
        <v>250</v>
      </c>
      <c r="F92" s="46">
        <v>4.91</v>
      </c>
      <c r="G92" s="49" t="s">
        <v>23</v>
      </c>
      <c r="H92" s="49"/>
      <c r="I92" s="49"/>
      <c r="J92" s="47">
        <v>0.17</v>
      </c>
      <c r="K92" s="49">
        <v>0</v>
      </c>
      <c r="L92" s="107">
        <v>1475.1378</v>
      </c>
      <c r="M92" s="212">
        <v>1134.5875000000001</v>
      </c>
      <c r="N92" s="49">
        <f t="shared" si="12"/>
        <v>220075.40625</v>
      </c>
      <c r="O92" s="49">
        <v>179.28749999999999</v>
      </c>
      <c r="P92" s="49" t="s">
        <v>23</v>
      </c>
      <c r="Q92" s="49">
        <f t="shared" si="13"/>
        <v>4.91</v>
      </c>
      <c r="R92" s="61">
        <f t="shared" si="14"/>
        <v>1227.5</v>
      </c>
    </row>
    <row r="93" spans="1:18" ht="15.6" x14ac:dyDescent="0.3">
      <c r="A93" s="60" t="s">
        <v>72</v>
      </c>
      <c r="B93" s="216" t="s">
        <v>98</v>
      </c>
      <c r="C93" s="211">
        <v>45070</v>
      </c>
      <c r="D93" s="209" t="s">
        <v>40</v>
      </c>
      <c r="E93" s="209">
        <v>60</v>
      </c>
      <c r="F93" s="46">
        <v>1.66</v>
      </c>
      <c r="G93" s="49" t="s">
        <v>23</v>
      </c>
      <c r="H93" s="49"/>
      <c r="I93" s="49"/>
      <c r="J93" s="47">
        <v>0.17</v>
      </c>
      <c r="K93" s="49">
        <v>0</v>
      </c>
      <c r="L93" s="107">
        <v>1475.1378</v>
      </c>
      <c r="M93" s="212">
        <v>1134.5875000000001</v>
      </c>
      <c r="N93" s="49">
        <f t="shared" si="12"/>
        <v>17857.035</v>
      </c>
      <c r="O93" s="49">
        <v>179.28749999999999</v>
      </c>
      <c r="P93" s="49" t="s">
        <v>23</v>
      </c>
      <c r="Q93" s="49">
        <f t="shared" si="13"/>
        <v>1.66</v>
      </c>
      <c r="R93" s="61">
        <f t="shared" si="14"/>
        <v>99.6</v>
      </c>
    </row>
    <row r="94" spans="1:18" ht="15.6" x14ac:dyDescent="0.3">
      <c r="A94" s="77" t="s">
        <v>73</v>
      </c>
      <c r="B94" s="78" t="s">
        <v>98</v>
      </c>
      <c r="C94" s="79">
        <v>45070</v>
      </c>
      <c r="D94" s="80" t="s">
        <v>40</v>
      </c>
      <c r="E94" s="80">
        <v>200</v>
      </c>
      <c r="F94" s="81">
        <v>1.66</v>
      </c>
      <c r="G94" s="74" t="s">
        <v>23</v>
      </c>
      <c r="H94" s="74"/>
      <c r="I94" s="74"/>
      <c r="J94" s="82">
        <v>0.17</v>
      </c>
      <c r="K94" s="74">
        <v>0</v>
      </c>
      <c r="L94" s="107">
        <v>1475.1378</v>
      </c>
      <c r="M94" s="212">
        <v>1134.5875000000001</v>
      </c>
      <c r="N94" s="49">
        <f t="shared" si="12"/>
        <v>59523.45</v>
      </c>
      <c r="O94" s="49">
        <v>179.28749999999999</v>
      </c>
      <c r="P94" s="74" t="s">
        <v>23</v>
      </c>
      <c r="Q94" s="49">
        <f t="shared" si="13"/>
        <v>1.66</v>
      </c>
      <c r="R94" s="61">
        <f t="shared" si="14"/>
        <v>332</v>
      </c>
    </row>
    <row r="95" spans="1:18" ht="15.6" x14ac:dyDescent="0.3">
      <c r="A95" s="37" t="s">
        <v>81</v>
      </c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68"/>
      <c r="R95" s="57"/>
    </row>
    <row r="96" spans="1:18" ht="15.6" x14ac:dyDescent="0.3">
      <c r="A96" s="55" t="s">
        <v>86</v>
      </c>
      <c r="B96" s="216" t="s">
        <v>210</v>
      </c>
      <c r="C96" s="211">
        <v>45078</v>
      </c>
      <c r="D96" s="209" t="s">
        <v>40</v>
      </c>
      <c r="E96" s="209">
        <v>52</v>
      </c>
      <c r="F96" s="49">
        <f>1352.74</f>
        <v>1352.74</v>
      </c>
      <c r="G96" s="49" t="s">
        <v>45</v>
      </c>
      <c r="H96" s="49">
        <f>E96*F96</f>
        <v>70342.48</v>
      </c>
      <c r="I96" s="49" t="s">
        <v>308</v>
      </c>
      <c r="J96" s="52">
        <v>0.05</v>
      </c>
      <c r="K96" s="215">
        <f>H96-(H96*21%)-((H96-(H96*21%))*5%)</f>
        <v>52792.031239999997</v>
      </c>
      <c r="L96" s="107">
        <v>1475.1378</v>
      </c>
      <c r="M96" s="212">
        <v>1134.5875000000001</v>
      </c>
      <c r="N96" s="14">
        <f>(K96*M96)/L96</f>
        <v>40604.463355568208</v>
      </c>
      <c r="O96" s="56">
        <v>249.5</v>
      </c>
      <c r="P96" s="49" t="s">
        <v>23</v>
      </c>
      <c r="Q96" s="49">
        <f>R96/E96</f>
        <v>4.0690636072144288</v>
      </c>
      <c r="R96" s="50">
        <f>K96/O96</f>
        <v>211.5913075751503</v>
      </c>
    </row>
    <row r="97" spans="1:20" ht="15.6" x14ac:dyDescent="0.3">
      <c r="A97" s="55" t="s">
        <v>84</v>
      </c>
      <c r="B97" s="216" t="s">
        <v>210</v>
      </c>
      <c r="C97" s="211">
        <v>45078</v>
      </c>
      <c r="D97" s="209" t="s">
        <v>40</v>
      </c>
      <c r="E97" s="209">
        <v>100</v>
      </c>
      <c r="F97" s="49">
        <f>936.36</f>
        <v>936.36</v>
      </c>
      <c r="G97" s="49" t="s">
        <v>45</v>
      </c>
      <c r="H97" s="49">
        <f>E97*F97</f>
        <v>93636</v>
      </c>
      <c r="I97" s="49" t="s">
        <v>308</v>
      </c>
      <c r="J97" s="52">
        <v>0.05</v>
      </c>
      <c r="K97" s="215">
        <f>H97-(H97*21%)-((H97-(H97*21%))*5%)</f>
        <v>70273.817999999999</v>
      </c>
      <c r="L97" s="107">
        <v>1475.1378</v>
      </c>
      <c r="M97" s="212">
        <v>1134.5875000000001</v>
      </c>
      <c r="N97" s="14">
        <f>(K97*M97)/L97</f>
        <v>54050.404972386314</v>
      </c>
      <c r="O97" s="56">
        <v>249.5</v>
      </c>
      <c r="P97" s="49" t="s">
        <v>23</v>
      </c>
      <c r="Q97" s="49">
        <f>R97/E97</f>
        <v>2.8165858917835669</v>
      </c>
      <c r="R97" s="58">
        <f>K97/O97</f>
        <v>281.65858917835669</v>
      </c>
      <c r="T97" s="35"/>
    </row>
    <row r="98" spans="1:20" ht="15.6" x14ac:dyDescent="0.3">
      <c r="A98" s="55" t="s">
        <v>85</v>
      </c>
      <c r="B98" s="216" t="s">
        <v>98</v>
      </c>
      <c r="C98" s="211">
        <v>45078</v>
      </c>
      <c r="D98" s="209" t="s">
        <v>40</v>
      </c>
      <c r="E98" s="209">
        <v>50</v>
      </c>
      <c r="F98" s="14"/>
      <c r="G98" s="14" t="s">
        <v>45</v>
      </c>
      <c r="H98" s="14"/>
      <c r="I98" s="14"/>
      <c r="J98" s="14"/>
      <c r="K98" s="14">
        <v>0</v>
      </c>
      <c r="L98" s="107">
        <v>1475.1378</v>
      </c>
      <c r="M98" s="212">
        <v>1134.5875000000001</v>
      </c>
      <c r="N98" s="49">
        <f>R98*O98</f>
        <v>0</v>
      </c>
      <c r="O98" s="14">
        <v>0</v>
      </c>
      <c r="P98" s="49" t="s">
        <v>23</v>
      </c>
      <c r="Q98" s="49">
        <v>40.18</v>
      </c>
      <c r="R98" s="83">
        <f>Q98*E98</f>
        <v>2009</v>
      </c>
    </row>
    <row r="99" spans="1:20" ht="15.6" x14ac:dyDescent="0.3">
      <c r="A99" s="55" t="s">
        <v>146</v>
      </c>
      <c r="B99" s="216" t="s">
        <v>147</v>
      </c>
      <c r="C99" s="211">
        <v>45076</v>
      </c>
      <c r="D99" s="209" t="s">
        <v>21</v>
      </c>
      <c r="E99" s="209">
        <v>1</v>
      </c>
      <c r="F99" s="59">
        <v>103</v>
      </c>
      <c r="G99" s="14" t="s">
        <v>23</v>
      </c>
      <c r="H99" s="14"/>
      <c r="I99" s="14"/>
      <c r="J99" s="14" t="s">
        <v>9</v>
      </c>
      <c r="K99" s="14">
        <v>0</v>
      </c>
      <c r="L99" s="107">
        <v>1475.1378</v>
      </c>
      <c r="M99" s="212">
        <v>1134.5875000000001</v>
      </c>
      <c r="N99" s="14">
        <f>O99*R99</f>
        <v>18466.612499999999</v>
      </c>
      <c r="O99" s="14">
        <v>179.28749999999999</v>
      </c>
      <c r="P99" s="49" t="s">
        <v>23</v>
      </c>
      <c r="Q99" s="14">
        <f>R99</f>
        <v>103</v>
      </c>
      <c r="R99" s="59">
        <v>103</v>
      </c>
      <c r="T99" s="1"/>
    </row>
    <row r="100" spans="1:20" ht="16.2" x14ac:dyDescent="0.3">
      <c r="A100" s="37" t="s">
        <v>82</v>
      </c>
      <c r="B100" s="38"/>
      <c r="C100" s="38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51"/>
      <c r="T100" s="35"/>
    </row>
    <row r="101" spans="1:20" ht="15.6" x14ac:dyDescent="0.3">
      <c r="A101" s="55" t="s">
        <v>148</v>
      </c>
      <c r="B101" s="216" t="s">
        <v>210</v>
      </c>
      <c r="C101" s="211">
        <v>45075</v>
      </c>
      <c r="D101" s="209" t="s">
        <v>40</v>
      </c>
      <c r="E101" s="209">
        <v>44.8</v>
      </c>
      <c r="F101" s="14">
        <f>4000.6</f>
        <v>4000.6</v>
      </c>
      <c r="G101" s="14" t="s">
        <v>45</v>
      </c>
      <c r="H101" s="49">
        <f t="shared" ref="H101:H117" si="15">E101*F101</f>
        <v>179226.87999999998</v>
      </c>
      <c r="I101" s="49" t="s">
        <v>308</v>
      </c>
      <c r="J101" s="62">
        <v>0.05</v>
      </c>
      <c r="K101" s="215">
        <f t="shared" ref="K101:K117" si="16">H101-(H101*21%)-((H101-(H101*21%))*5%)</f>
        <v>134509.77343999999</v>
      </c>
      <c r="L101" s="107">
        <v>1475.1378</v>
      </c>
      <c r="M101" s="212">
        <v>1134.5875000000001</v>
      </c>
      <c r="N101" s="14">
        <f t="shared" ref="N101:N126" si="17">(K101*M101)/L101</f>
        <v>103456.84828417793</v>
      </c>
      <c r="O101" s="63">
        <v>248</v>
      </c>
      <c r="P101" s="49" t="s">
        <v>23</v>
      </c>
      <c r="Q101" s="49">
        <f t="shared" ref="Q101:Q117" si="18">R101/E101</f>
        <v>12.10665443548387</v>
      </c>
      <c r="R101" s="64">
        <f t="shared" ref="R101:R117" si="19">K101/O101</f>
        <v>542.37811870967732</v>
      </c>
      <c r="T101" s="2"/>
    </row>
    <row r="102" spans="1:20" ht="15.6" x14ac:dyDescent="0.3">
      <c r="A102" s="55" t="s">
        <v>149</v>
      </c>
      <c r="B102" s="216" t="s">
        <v>210</v>
      </c>
      <c r="C102" s="211">
        <v>45075</v>
      </c>
      <c r="D102" s="209" t="s">
        <v>40</v>
      </c>
      <c r="E102" s="209">
        <v>44.8</v>
      </c>
      <c r="F102" s="14">
        <f>2698.42</f>
        <v>2698.42</v>
      </c>
      <c r="G102" s="14" t="s">
        <v>45</v>
      </c>
      <c r="H102" s="49">
        <f t="shared" si="15"/>
        <v>120889.216</v>
      </c>
      <c r="I102" s="49" t="s">
        <v>308</v>
      </c>
      <c r="J102" s="62">
        <v>0.05</v>
      </c>
      <c r="K102" s="215">
        <f t="shared" si="16"/>
        <v>90727.356608000002</v>
      </c>
      <c r="L102" s="107">
        <v>1475.1378</v>
      </c>
      <c r="M102" s="212">
        <v>1134.5875000000001</v>
      </c>
      <c r="N102" s="14">
        <f t="shared" si="17"/>
        <v>69782.039830773239</v>
      </c>
      <c r="O102" s="63">
        <v>248</v>
      </c>
      <c r="P102" s="49" t="s">
        <v>23</v>
      </c>
      <c r="Q102" s="49">
        <f t="shared" si="18"/>
        <v>8.1659847177419369</v>
      </c>
      <c r="R102" s="64">
        <f t="shared" si="19"/>
        <v>365.83611535483874</v>
      </c>
      <c r="T102" s="2"/>
    </row>
    <row r="103" spans="1:20" ht="15.6" x14ac:dyDescent="0.3">
      <c r="A103" s="55" t="s">
        <v>150</v>
      </c>
      <c r="B103" s="216" t="s">
        <v>210</v>
      </c>
      <c r="C103" s="211">
        <v>45075</v>
      </c>
      <c r="D103" s="209" t="s">
        <v>40</v>
      </c>
      <c r="E103" s="209">
        <v>12.8</v>
      </c>
      <c r="F103" s="14">
        <f>2142.61</f>
        <v>2142.61</v>
      </c>
      <c r="G103" s="14" t="s">
        <v>45</v>
      </c>
      <c r="H103" s="49">
        <f t="shared" si="15"/>
        <v>27425.408000000003</v>
      </c>
      <c r="I103" s="49" t="s">
        <v>308</v>
      </c>
      <c r="J103" s="62">
        <v>0.05</v>
      </c>
      <c r="K103" s="215">
        <f t="shared" si="16"/>
        <v>20582.768704000002</v>
      </c>
      <c r="L103" s="107">
        <v>1475.1378</v>
      </c>
      <c r="M103" s="212">
        <v>1134.5875000000001</v>
      </c>
      <c r="N103" s="14">
        <f t="shared" si="17"/>
        <v>15831.030895520138</v>
      </c>
      <c r="O103" s="63">
        <v>248</v>
      </c>
      <c r="P103" s="49" t="s">
        <v>23</v>
      </c>
      <c r="Q103" s="49">
        <f t="shared" si="18"/>
        <v>6.4839871169354844</v>
      </c>
      <c r="R103" s="64">
        <f t="shared" si="19"/>
        <v>82.995035096774203</v>
      </c>
    </row>
    <row r="104" spans="1:20" ht="15.6" x14ac:dyDescent="0.3">
      <c r="A104" s="55" t="s">
        <v>151</v>
      </c>
      <c r="B104" s="216" t="s">
        <v>210</v>
      </c>
      <c r="C104" s="211">
        <v>45075</v>
      </c>
      <c r="D104" s="209" t="s">
        <v>21</v>
      </c>
      <c r="E104" s="209">
        <v>3</v>
      </c>
      <c r="F104" s="14">
        <f>3001.26</f>
        <v>3001.26</v>
      </c>
      <c r="G104" s="14" t="s">
        <v>45</v>
      </c>
      <c r="H104" s="49">
        <f t="shared" si="15"/>
        <v>9003.7800000000007</v>
      </c>
      <c r="I104" s="49" t="s">
        <v>308</v>
      </c>
      <c r="J104" s="62">
        <v>0.05</v>
      </c>
      <c r="K104" s="215">
        <f t="shared" si="16"/>
        <v>6757.3368900000005</v>
      </c>
      <c r="L104" s="107">
        <v>1475.1378</v>
      </c>
      <c r="M104" s="212">
        <v>1134.5875000000001</v>
      </c>
      <c r="N104" s="14">
        <f t="shared" si="17"/>
        <v>5197.3381528714644</v>
      </c>
      <c r="O104" s="63">
        <v>248</v>
      </c>
      <c r="P104" s="49" t="s">
        <v>23</v>
      </c>
      <c r="Q104" s="49">
        <f t="shared" si="18"/>
        <v>9.0824420564516135</v>
      </c>
      <c r="R104" s="64">
        <f t="shared" si="19"/>
        <v>27.247326169354842</v>
      </c>
    </row>
    <row r="105" spans="1:20" ht="15.6" x14ac:dyDescent="0.3">
      <c r="A105" s="55" t="s">
        <v>152</v>
      </c>
      <c r="B105" s="216" t="s">
        <v>210</v>
      </c>
      <c r="C105" s="211">
        <v>45075</v>
      </c>
      <c r="D105" s="209" t="s">
        <v>21</v>
      </c>
      <c r="E105" s="209">
        <v>1</v>
      </c>
      <c r="F105" s="14">
        <f>2240.54</f>
        <v>2240.54</v>
      </c>
      <c r="G105" s="14" t="s">
        <v>45</v>
      </c>
      <c r="H105" s="49">
        <f t="shared" si="15"/>
        <v>2240.54</v>
      </c>
      <c r="I105" s="49" t="s">
        <v>308</v>
      </c>
      <c r="J105" s="62">
        <v>0.05</v>
      </c>
      <c r="K105" s="215">
        <f t="shared" si="16"/>
        <v>1681.5252699999999</v>
      </c>
      <c r="L105" s="107">
        <v>1475.1378</v>
      </c>
      <c r="M105" s="212">
        <v>1134.5875000000001</v>
      </c>
      <c r="N105" s="14">
        <f t="shared" si="17"/>
        <v>1293.3283604258022</v>
      </c>
      <c r="O105" s="63">
        <v>248</v>
      </c>
      <c r="P105" s="49" t="s">
        <v>23</v>
      </c>
      <c r="Q105" s="49">
        <f t="shared" si="18"/>
        <v>6.7803438306451609</v>
      </c>
      <c r="R105" s="64">
        <f t="shared" si="19"/>
        <v>6.7803438306451609</v>
      </c>
    </row>
    <row r="106" spans="1:20" ht="15.6" x14ac:dyDescent="0.3">
      <c r="A106" s="55" t="s">
        <v>153</v>
      </c>
      <c r="B106" s="216" t="s">
        <v>210</v>
      </c>
      <c r="C106" s="211">
        <v>45075</v>
      </c>
      <c r="D106" s="209" t="s">
        <v>21</v>
      </c>
      <c r="E106" s="209">
        <v>2</v>
      </c>
      <c r="F106" s="14">
        <f>1375.34</f>
        <v>1375.34</v>
      </c>
      <c r="G106" s="14" t="s">
        <v>45</v>
      </c>
      <c r="H106" s="49">
        <f t="shared" si="15"/>
        <v>2750.68</v>
      </c>
      <c r="I106" s="49" t="s">
        <v>308</v>
      </c>
      <c r="J106" s="62">
        <v>0.05</v>
      </c>
      <c r="K106" s="215">
        <f t="shared" si="16"/>
        <v>2064.3853399999998</v>
      </c>
      <c r="L106" s="107">
        <v>1475.1378</v>
      </c>
      <c r="M106" s="212">
        <v>1134.5875000000001</v>
      </c>
      <c r="N106" s="14">
        <f t="shared" si="17"/>
        <v>1587.8013579119524</v>
      </c>
      <c r="O106" s="63">
        <v>248</v>
      </c>
      <c r="P106" s="49" t="s">
        <v>23</v>
      </c>
      <c r="Q106" s="49">
        <f t="shared" si="18"/>
        <v>4.1620672177419351</v>
      </c>
      <c r="R106" s="64">
        <f t="shared" si="19"/>
        <v>8.3241344354838702</v>
      </c>
    </row>
    <row r="107" spans="1:20" ht="15.6" x14ac:dyDescent="0.3">
      <c r="A107" s="55" t="s">
        <v>154</v>
      </c>
      <c r="B107" s="216" t="s">
        <v>210</v>
      </c>
      <c r="C107" s="211">
        <v>45075</v>
      </c>
      <c r="D107" s="209" t="s">
        <v>21</v>
      </c>
      <c r="E107" s="209">
        <v>3</v>
      </c>
      <c r="F107" s="14">
        <f>674.4</f>
        <v>674.4</v>
      </c>
      <c r="G107" s="14" t="s">
        <v>45</v>
      </c>
      <c r="H107" s="49">
        <f t="shared" si="15"/>
        <v>2023.1999999999998</v>
      </c>
      <c r="I107" s="49" t="s">
        <v>308</v>
      </c>
      <c r="J107" s="62">
        <v>0.05</v>
      </c>
      <c r="K107" s="215">
        <f t="shared" si="16"/>
        <v>1518.4115999999999</v>
      </c>
      <c r="L107" s="107">
        <v>1475.1378</v>
      </c>
      <c r="M107" s="212">
        <v>1134.5875000000001</v>
      </c>
      <c r="N107" s="14">
        <f t="shared" si="17"/>
        <v>1167.8711108989276</v>
      </c>
      <c r="O107" s="63">
        <v>248</v>
      </c>
      <c r="P107" s="49" t="s">
        <v>23</v>
      </c>
      <c r="Q107" s="49">
        <f t="shared" si="18"/>
        <v>2.0408758064516128</v>
      </c>
      <c r="R107" s="64">
        <f t="shared" si="19"/>
        <v>6.1226274193548385</v>
      </c>
    </row>
    <row r="108" spans="1:20" ht="15.6" x14ac:dyDescent="0.3">
      <c r="A108" s="55" t="s">
        <v>155</v>
      </c>
      <c r="B108" s="216" t="s">
        <v>210</v>
      </c>
      <c r="C108" s="211">
        <v>45075</v>
      </c>
      <c r="D108" s="209" t="s">
        <v>21</v>
      </c>
      <c r="E108" s="209">
        <v>3</v>
      </c>
      <c r="F108" s="14">
        <f>1023.03</f>
        <v>1023.03</v>
      </c>
      <c r="G108" s="14" t="s">
        <v>45</v>
      </c>
      <c r="H108" s="49">
        <f t="shared" si="15"/>
        <v>3069.09</v>
      </c>
      <c r="I108" s="49" t="s">
        <v>308</v>
      </c>
      <c r="J108" s="62">
        <v>0.05</v>
      </c>
      <c r="K108" s="215">
        <f t="shared" si="16"/>
        <v>2303.3520450000005</v>
      </c>
      <c r="L108" s="107">
        <v>1475.1378</v>
      </c>
      <c r="M108" s="212">
        <v>1134.5875000000001</v>
      </c>
      <c r="N108" s="14">
        <f t="shared" si="17"/>
        <v>1771.6002114219011</v>
      </c>
      <c r="O108" s="63">
        <v>248</v>
      </c>
      <c r="P108" s="49" t="s">
        <v>23</v>
      </c>
      <c r="Q108" s="49">
        <f t="shared" si="18"/>
        <v>3.0959032862903233</v>
      </c>
      <c r="R108" s="64">
        <f t="shared" si="19"/>
        <v>9.2877098588709703</v>
      </c>
    </row>
    <row r="109" spans="1:20" ht="15.6" x14ac:dyDescent="0.3">
      <c r="A109" s="55" t="s">
        <v>156</v>
      </c>
      <c r="B109" s="216" t="s">
        <v>210</v>
      </c>
      <c r="C109" s="211">
        <v>45075</v>
      </c>
      <c r="D109" s="209" t="s">
        <v>21</v>
      </c>
      <c r="E109" s="209">
        <v>16</v>
      </c>
      <c r="F109" s="14">
        <f>2346.06</f>
        <v>2346.06</v>
      </c>
      <c r="G109" s="14" t="s">
        <v>45</v>
      </c>
      <c r="H109" s="49">
        <f t="shared" si="15"/>
        <v>37536.959999999999</v>
      </c>
      <c r="I109" s="49" t="s">
        <v>308</v>
      </c>
      <c r="J109" s="62">
        <v>0.05</v>
      </c>
      <c r="K109" s="215">
        <f t="shared" si="16"/>
        <v>28171.48848</v>
      </c>
      <c r="L109" s="107">
        <v>1475.1378</v>
      </c>
      <c r="M109" s="212">
        <v>1134.5875000000001</v>
      </c>
      <c r="N109" s="14">
        <f t="shared" si="17"/>
        <v>21667.818888379108</v>
      </c>
      <c r="O109" s="63">
        <v>248</v>
      </c>
      <c r="P109" s="49" t="s">
        <v>23</v>
      </c>
      <c r="Q109" s="49">
        <f t="shared" si="18"/>
        <v>7.0996694758064516</v>
      </c>
      <c r="R109" s="64">
        <f t="shared" si="19"/>
        <v>113.59471161290323</v>
      </c>
    </row>
    <row r="110" spans="1:20" ht="15.6" x14ac:dyDescent="0.3">
      <c r="A110" s="55" t="s">
        <v>157</v>
      </c>
      <c r="B110" s="216" t="s">
        <v>210</v>
      </c>
      <c r="C110" s="211">
        <v>45075</v>
      </c>
      <c r="D110" s="209" t="s">
        <v>21</v>
      </c>
      <c r="E110" s="209">
        <v>20</v>
      </c>
      <c r="F110" s="14">
        <f>807.65</f>
        <v>807.65</v>
      </c>
      <c r="G110" s="14" t="s">
        <v>45</v>
      </c>
      <c r="H110" s="49">
        <f t="shared" si="15"/>
        <v>16153</v>
      </c>
      <c r="I110" s="49" t="s">
        <v>308</v>
      </c>
      <c r="J110" s="62">
        <v>0.05</v>
      </c>
      <c r="K110" s="215">
        <f t="shared" si="16"/>
        <v>12122.826500000001</v>
      </c>
      <c r="L110" s="107">
        <v>1475.1378</v>
      </c>
      <c r="M110" s="212">
        <v>1134.5875000000001</v>
      </c>
      <c r="N110" s="14">
        <f t="shared" si="17"/>
        <v>9324.1508770019664</v>
      </c>
      <c r="O110" s="63">
        <v>248</v>
      </c>
      <c r="P110" s="49" t="s">
        <v>23</v>
      </c>
      <c r="Q110" s="49">
        <f t="shared" si="18"/>
        <v>2.4441182459677422</v>
      </c>
      <c r="R110" s="64">
        <f t="shared" si="19"/>
        <v>48.882364919354842</v>
      </c>
    </row>
    <row r="111" spans="1:20" ht="15.6" x14ac:dyDescent="0.3">
      <c r="A111" s="55" t="s">
        <v>158</v>
      </c>
      <c r="B111" s="216" t="s">
        <v>210</v>
      </c>
      <c r="C111" s="211">
        <v>45075</v>
      </c>
      <c r="D111" s="209" t="s">
        <v>21</v>
      </c>
      <c r="E111" s="209">
        <v>40</v>
      </c>
      <c r="F111" s="14">
        <f>549.58</f>
        <v>549.58000000000004</v>
      </c>
      <c r="G111" s="14" t="s">
        <v>45</v>
      </c>
      <c r="H111" s="49">
        <f t="shared" si="15"/>
        <v>21983.200000000001</v>
      </c>
      <c r="I111" s="49" t="s">
        <v>308</v>
      </c>
      <c r="J111" s="62">
        <v>0.05</v>
      </c>
      <c r="K111" s="215">
        <f t="shared" si="16"/>
        <v>16498.391600000003</v>
      </c>
      <c r="L111" s="107">
        <v>1475.1378</v>
      </c>
      <c r="M111" s="212">
        <v>1134.5875000000001</v>
      </c>
      <c r="N111" s="14">
        <f t="shared" si="17"/>
        <v>12689.573055117296</v>
      </c>
      <c r="O111" s="63">
        <v>248</v>
      </c>
      <c r="P111" s="49" t="s">
        <v>23</v>
      </c>
      <c r="Q111" s="49">
        <f t="shared" si="18"/>
        <v>1.6631443145161291</v>
      </c>
      <c r="R111" s="64">
        <f t="shared" si="19"/>
        <v>66.525772580645167</v>
      </c>
    </row>
    <row r="112" spans="1:20" ht="15.6" x14ac:dyDescent="0.3">
      <c r="A112" s="55" t="s">
        <v>159</v>
      </c>
      <c r="B112" s="216" t="s">
        <v>210</v>
      </c>
      <c r="C112" s="211">
        <v>45075</v>
      </c>
      <c r="D112" s="209" t="s">
        <v>21</v>
      </c>
      <c r="E112" s="209">
        <v>40</v>
      </c>
      <c r="F112" s="14">
        <f>2292.61</f>
        <v>2292.61</v>
      </c>
      <c r="G112" s="14" t="s">
        <v>45</v>
      </c>
      <c r="H112" s="49">
        <f t="shared" si="15"/>
        <v>91704.400000000009</v>
      </c>
      <c r="I112" s="49" t="s">
        <v>308</v>
      </c>
      <c r="J112" s="62">
        <v>0.05</v>
      </c>
      <c r="K112" s="215">
        <f t="shared" si="16"/>
        <v>68824.152200000011</v>
      </c>
      <c r="L112" s="107">
        <v>1475.1378</v>
      </c>
      <c r="M112" s="212">
        <v>1134.5875000000001</v>
      </c>
      <c r="N112" s="14">
        <f t="shared" si="17"/>
        <v>52935.409006682305</v>
      </c>
      <c r="O112" s="63">
        <v>248</v>
      </c>
      <c r="P112" s="49" t="s">
        <v>23</v>
      </c>
      <c r="Q112" s="49">
        <f t="shared" si="18"/>
        <v>6.9379185685483877</v>
      </c>
      <c r="R112" s="64">
        <f t="shared" si="19"/>
        <v>277.5167427419355</v>
      </c>
    </row>
    <row r="113" spans="1:18" ht="15.6" x14ac:dyDescent="0.3">
      <c r="A113" s="55" t="s">
        <v>160</v>
      </c>
      <c r="B113" s="216" t="s">
        <v>210</v>
      </c>
      <c r="C113" s="211">
        <v>45075</v>
      </c>
      <c r="D113" s="209" t="s">
        <v>21</v>
      </c>
      <c r="E113" s="209">
        <v>40</v>
      </c>
      <c r="F113" s="14">
        <f>928.93</f>
        <v>928.93</v>
      </c>
      <c r="G113" s="14" t="s">
        <v>45</v>
      </c>
      <c r="H113" s="49">
        <f t="shared" si="15"/>
        <v>37157.199999999997</v>
      </c>
      <c r="I113" s="49" t="s">
        <v>308</v>
      </c>
      <c r="J113" s="62">
        <v>0.05</v>
      </c>
      <c r="K113" s="215">
        <f t="shared" si="16"/>
        <v>27886.478599999999</v>
      </c>
      <c r="L113" s="107">
        <v>1475.1378</v>
      </c>
      <c r="M113" s="212">
        <v>1134.5875000000001</v>
      </c>
      <c r="N113" s="14">
        <f t="shared" si="17"/>
        <v>21448.60638685925</v>
      </c>
      <c r="O113" s="63">
        <v>248</v>
      </c>
      <c r="P113" s="49" t="s">
        <v>23</v>
      </c>
      <c r="Q113" s="49">
        <f t="shared" si="18"/>
        <v>2.8111369556451611</v>
      </c>
      <c r="R113" s="64">
        <f t="shared" si="19"/>
        <v>112.44547822580644</v>
      </c>
    </row>
    <row r="114" spans="1:18" ht="15.6" x14ac:dyDescent="0.3">
      <c r="A114" s="55" t="s">
        <v>161</v>
      </c>
      <c r="B114" s="216" t="s">
        <v>210</v>
      </c>
      <c r="C114" s="211">
        <v>45075</v>
      </c>
      <c r="D114" s="209" t="s">
        <v>21</v>
      </c>
      <c r="E114" s="209">
        <v>40</v>
      </c>
      <c r="F114" s="14">
        <f>280.71</f>
        <v>280.70999999999998</v>
      </c>
      <c r="G114" s="14" t="s">
        <v>45</v>
      </c>
      <c r="H114" s="49">
        <f t="shared" si="15"/>
        <v>11228.4</v>
      </c>
      <c r="I114" s="49" t="s">
        <v>308</v>
      </c>
      <c r="J114" s="62">
        <v>0.05</v>
      </c>
      <c r="K114" s="215">
        <f t="shared" si="16"/>
        <v>8426.9141999999993</v>
      </c>
      <c r="L114" s="107">
        <v>1475.1378</v>
      </c>
      <c r="M114" s="212">
        <v>1134.5875000000001</v>
      </c>
      <c r="N114" s="14">
        <f t="shared" si="17"/>
        <v>6481.4768592415567</v>
      </c>
      <c r="O114" s="63">
        <v>248</v>
      </c>
      <c r="P114" s="49" t="s">
        <v>23</v>
      </c>
      <c r="Q114" s="49">
        <f t="shared" si="18"/>
        <v>0.84948731854838699</v>
      </c>
      <c r="R114" s="64">
        <f t="shared" si="19"/>
        <v>33.979492741935481</v>
      </c>
    </row>
    <row r="115" spans="1:18" ht="15.6" x14ac:dyDescent="0.3">
      <c r="A115" s="55" t="s">
        <v>162</v>
      </c>
      <c r="B115" s="216" t="s">
        <v>210</v>
      </c>
      <c r="C115" s="211">
        <v>45075</v>
      </c>
      <c r="D115" s="209" t="s">
        <v>40</v>
      </c>
      <c r="E115" s="209">
        <v>100</v>
      </c>
      <c r="F115" s="14">
        <f>216.21</f>
        <v>216.21</v>
      </c>
      <c r="G115" s="14" t="s">
        <v>45</v>
      </c>
      <c r="H115" s="49">
        <f t="shared" si="15"/>
        <v>21621</v>
      </c>
      <c r="I115" s="49" t="s">
        <v>308</v>
      </c>
      <c r="J115" s="62">
        <v>0.05</v>
      </c>
      <c r="K115" s="215">
        <f t="shared" si="16"/>
        <v>16226.5605</v>
      </c>
      <c r="L115" s="107">
        <v>1475.1378</v>
      </c>
      <c r="M115" s="212">
        <v>1134.5875000000001</v>
      </c>
      <c r="N115" s="14">
        <f t="shared" si="17"/>
        <v>12480.496880558379</v>
      </c>
      <c r="O115" s="63">
        <v>248</v>
      </c>
      <c r="P115" s="49" t="s">
        <v>23</v>
      </c>
      <c r="Q115" s="49">
        <f t="shared" si="18"/>
        <v>0.65429679435483867</v>
      </c>
      <c r="R115" s="64">
        <f t="shared" si="19"/>
        <v>65.429679435483862</v>
      </c>
    </row>
    <row r="116" spans="1:18" ht="15.6" x14ac:dyDescent="0.3">
      <c r="A116" s="55" t="s">
        <v>163</v>
      </c>
      <c r="B116" s="216" t="s">
        <v>210</v>
      </c>
      <c r="C116" s="211">
        <v>45075</v>
      </c>
      <c r="D116" s="209" t="s">
        <v>21</v>
      </c>
      <c r="E116" s="209">
        <v>1</v>
      </c>
      <c r="F116" s="14">
        <f>6072.96</f>
        <v>6072.96</v>
      </c>
      <c r="G116" s="14" t="s">
        <v>45</v>
      </c>
      <c r="H116" s="49">
        <f t="shared" si="15"/>
        <v>6072.96</v>
      </c>
      <c r="I116" s="49" t="s">
        <v>308</v>
      </c>
      <c r="J116" s="62">
        <v>0.05</v>
      </c>
      <c r="K116" s="215">
        <f t="shared" si="16"/>
        <v>4557.75648</v>
      </c>
      <c r="L116" s="107">
        <v>1475.1378</v>
      </c>
      <c r="M116" s="212">
        <v>1134.5875000000001</v>
      </c>
      <c r="N116" s="14">
        <f t="shared" si="17"/>
        <v>3505.5528576733645</v>
      </c>
      <c r="O116" s="63">
        <v>248</v>
      </c>
      <c r="P116" s="49" t="s">
        <v>23</v>
      </c>
      <c r="Q116" s="49">
        <f t="shared" si="18"/>
        <v>18.378050322580645</v>
      </c>
      <c r="R116" s="64">
        <f t="shared" si="19"/>
        <v>18.378050322580645</v>
      </c>
    </row>
    <row r="117" spans="1:18" ht="15.6" x14ac:dyDescent="0.3">
      <c r="A117" s="55" t="s">
        <v>164</v>
      </c>
      <c r="B117" s="216" t="s">
        <v>210</v>
      </c>
      <c r="C117" s="211">
        <v>45075</v>
      </c>
      <c r="D117" s="209" t="s">
        <v>21</v>
      </c>
      <c r="E117" s="209">
        <v>8</v>
      </c>
      <c r="F117" s="14">
        <f>1038.11</f>
        <v>1038.1099999999999</v>
      </c>
      <c r="G117" s="14" t="s">
        <v>45</v>
      </c>
      <c r="H117" s="49">
        <f t="shared" si="15"/>
        <v>8304.8799999999992</v>
      </c>
      <c r="I117" s="49" t="s">
        <v>308</v>
      </c>
      <c r="J117" s="62">
        <v>0.05</v>
      </c>
      <c r="K117" s="215">
        <f t="shared" si="16"/>
        <v>6232.8124399999997</v>
      </c>
      <c r="L117" s="107">
        <v>1475.1378</v>
      </c>
      <c r="M117" s="212">
        <v>1134.5875000000001</v>
      </c>
      <c r="N117" s="14">
        <f t="shared" si="17"/>
        <v>4793.9054129509123</v>
      </c>
      <c r="O117" s="63">
        <v>248</v>
      </c>
      <c r="P117" s="49" t="s">
        <v>23</v>
      </c>
      <c r="Q117" s="49">
        <f t="shared" si="18"/>
        <v>3.1415385282258064</v>
      </c>
      <c r="R117" s="64">
        <f t="shared" si="19"/>
        <v>25.132308225806451</v>
      </c>
    </row>
    <row r="118" spans="1:18" ht="16.2" x14ac:dyDescent="0.3">
      <c r="A118" s="37" t="s">
        <v>52</v>
      </c>
      <c r="B118" s="38"/>
      <c r="C118" s="38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51"/>
    </row>
    <row r="119" spans="1:18" ht="15.6" x14ac:dyDescent="0.3">
      <c r="A119" s="55" t="s">
        <v>54</v>
      </c>
      <c r="B119" s="207" t="s">
        <v>53</v>
      </c>
      <c r="C119" s="211">
        <v>45079</v>
      </c>
      <c r="D119" s="209" t="s">
        <v>9</v>
      </c>
      <c r="E119" s="209" t="s">
        <v>9</v>
      </c>
      <c r="F119" s="14"/>
      <c r="G119" s="14" t="s">
        <v>45</v>
      </c>
      <c r="H119" s="14"/>
      <c r="I119" s="49" t="s">
        <v>317</v>
      </c>
      <c r="J119" s="14">
        <v>0</v>
      </c>
      <c r="K119" s="217">
        <f>360000+480000+280000+48500+220000+360000+36000</f>
        <v>1784500</v>
      </c>
      <c r="L119" s="107">
        <v>1475.1378</v>
      </c>
      <c r="M119" s="212">
        <v>1134.5875000000001</v>
      </c>
      <c r="N119" s="14">
        <f t="shared" si="17"/>
        <v>1372530.3451311465</v>
      </c>
      <c r="O119" s="56">
        <v>250.5</v>
      </c>
      <c r="P119" s="49" t="s">
        <v>23</v>
      </c>
      <c r="Q119" s="49" t="s">
        <v>9</v>
      </c>
      <c r="R119" s="59">
        <f>K119/O119</f>
        <v>7123.7524950099796</v>
      </c>
    </row>
    <row r="120" spans="1:18" ht="16.2" x14ac:dyDescent="0.3">
      <c r="A120" s="37" t="s">
        <v>165</v>
      </c>
      <c r="B120" s="38"/>
      <c r="C120" s="38"/>
      <c r="D120" s="40"/>
      <c r="E120" s="40"/>
      <c r="F120" s="40"/>
      <c r="G120" s="40"/>
      <c r="H120" s="40"/>
      <c r="I120" s="40"/>
      <c r="J120" s="40"/>
      <c r="K120" s="67"/>
      <c r="L120" s="67"/>
      <c r="M120" s="67"/>
      <c r="N120" s="67"/>
      <c r="O120" s="40"/>
      <c r="P120" s="40"/>
      <c r="Q120" s="40"/>
      <c r="R120" s="51"/>
    </row>
    <row r="121" spans="1:18" ht="15.6" x14ac:dyDescent="0.3">
      <c r="A121" s="55" t="s">
        <v>83</v>
      </c>
      <c r="B121" s="207" t="s">
        <v>53</v>
      </c>
      <c r="C121" s="211">
        <v>45078</v>
      </c>
      <c r="D121" s="209" t="s">
        <v>9</v>
      </c>
      <c r="E121" s="209" t="s">
        <v>9</v>
      </c>
      <c r="F121" s="209" t="s">
        <v>9</v>
      </c>
      <c r="G121" s="14" t="s">
        <v>45</v>
      </c>
      <c r="H121" s="14">
        <f>K121</f>
        <v>560500</v>
      </c>
      <c r="I121" s="49" t="s">
        <v>317</v>
      </c>
      <c r="J121" s="14">
        <v>0</v>
      </c>
      <c r="K121" s="218">
        <v>560500</v>
      </c>
      <c r="L121" s="107">
        <v>1475.1378</v>
      </c>
      <c r="M121" s="212">
        <v>1134.5875000000001</v>
      </c>
      <c r="N121" s="14">
        <f t="shared" si="17"/>
        <v>431102.974752596</v>
      </c>
      <c r="O121" s="56">
        <v>250.5</v>
      </c>
      <c r="P121" s="49" t="s">
        <v>23</v>
      </c>
      <c r="Q121" s="49" t="s">
        <v>9</v>
      </c>
      <c r="R121" s="99">
        <f>K121/O121</f>
        <v>2237.5249500998002</v>
      </c>
    </row>
    <row r="122" spans="1:18" ht="15.6" x14ac:dyDescent="0.3">
      <c r="A122" s="55" t="s">
        <v>166</v>
      </c>
      <c r="B122" s="207" t="s">
        <v>53</v>
      </c>
      <c r="C122" s="211">
        <v>45078</v>
      </c>
      <c r="D122" s="209" t="s">
        <v>9</v>
      </c>
      <c r="E122" s="209" t="s">
        <v>9</v>
      </c>
      <c r="F122" s="209" t="s">
        <v>9</v>
      </c>
      <c r="G122" s="14" t="s">
        <v>45</v>
      </c>
      <c r="H122" s="14">
        <f>K122</f>
        <v>225000</v>
      </c>
      <c r="I122" s="49" t="s">
        <v>317</v>
      </c>
      <c r="J122" s="14">
        <v>0</v>
      </c>
      <c r="K122" s="217">
        <v>225000</v>
      </c>
      <c r="L122" s="107">
        <v>1475.1378</v>
      </c>
      <c r="M122" s="212">
        <v>1134.5875000000001</v>
      </c>
      <c r="N122" s="14">
        <f t="shared" si="17"/>
        <v>173056.50190782177</v>
      </c>
      <c r="O122" s="56">
        <v>250.5</v>
      </c>
      <c r="P122" s="49" t="s">
        <v>23</v>
      </c>
      <c r="Q122" s="49" t="s">
        <v>9</v>
      </c>
      <c r="R122" s="99">
        <f>K122/O122</f>
        <v>898.20359281437129</v>
      </c>
    </row>
    <row r="123" spans="1:18" ht="16.2" x14ac:dyDescent="0.3">
      <c r="A123" s="37" t="s">
        <v>26</v>
      </c>
      <c r="B123" s="36"/>
      <c r="C123" s="36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51"/>
    </row>
    <row r="124" spans="1:18" ht="15.6" x14ac:dyDescent="0.3">
      <c r="A124" s="65" t="s">
        <v>218</v>
      </c>
      <c r="B124" s="207" t="s">
        <v>100</v>
      </c>
      <c r="C124" s="211">
        <v>45078</v>
      </c>
      <c r="D124" s="209" t="s">
        <v>167</v>
      </c>
      <c r="E124" s="209">
        <v>7</v>
      </c>
      <c r="F124" s="209" t="s">
        <v>9</v>
      </c>
      <c r="G124" s="14" t="s">
        <v>45</v>
      </c>
      <c r="H124" s="14">
        <f>K124</f>
        <v>1400000</v>
      </c>
      <c r="I124" s="49" t="s">
        <v>317</v>
      </c>
      <c r="J124" s="14">
        <v>0</v>
      </c>
      <c r="K124" s="46">
        <v>1400000</v>
      </c>
      <c r="L124" s="107">
        <v>1475.1378</v>
      </c>
      <c r="M124" s="212">
        <v>1134.5875000000001</v>
      </c>
      <c r="N124" s="14">
        <f t="shared" si="17"/>
        <v>1076796.0118708911</v>
      </c>
      <c r="O124" s="56">
        <v>249.5</v>
      </c>
      <c r="P124" s="49" t="s">
        <v>23</v>
      </c>
      <c r="Q124" s="49" t="s">
        <v>9</v>
      </c>
      <c r="R124" s="58">
        <f>K124/O124</f>
        <v>5611.2224448897796</v>
      </c>
    </row>
    <row r="125" spans="1:18" ht="15.6" x14ac:dyDescent="0.3">
      <c r="A125" s="65" t="s">
        <v>170</v>
      </c>
      <c r="B125" s="207" t="s">
        <v>99</v>
      </c>
      <c r="C125" s="211">
        <v>45078</v>
      </c>
      <c r="D125" s="209" t="s">
        <v>168</v>
      </c>
      <c r="E125" s="209">
        <v>15</v>
      </c>
      <c r="F125" s="46">
        <v>17000</v>
      </c>
      <c r="G125" s="49" t="s">
        <v>45</v>
      </c>
      <c r="H125" s="49">
        <f>F125*E125</f>
        <v>255000</v>
      </c>
      <c r="I125" s="49" t="s">
        <v>317</v>
      </c>
      <c r="J125" s="52">
        <v>0.05</v>
      </c>
      <c r="K125" s="215">
        <f>H125-(H125*J125)</f>
        <v>242250</v>
      </c>
      <c r="L125" s="107">
        <v>1475.1378</v>
      </c>
      <c r="M125" s="212">
        <v>1134.5875000000001</v>
      </c>
      <c r="N125" s="14">
        <f t="shared" si="17"/>
        <v>186324.16705408812</v>
      </c>
      <c r="O125" s="56">
        <v>249.5</v>
      </c>
      <c r="P125" s="49" t="s">
        <v>23</v>
      </c>
      <c r="Q125" s="49">
        <f>R125/E125</f>
        <v>64.729458917835672</v>
      </c>
      <c r="R125" s="58">
        <f>K125/O125</f>
        <v>970.94188376753505</v>
      </c>
    </row>
    <row r="126" spans="1:18" ht="15.6" x14ac:dyDescent="0.3">
      <c r="A126" s="65" t="s">
        <v>169</v>
      </c>
      <c r="B126" s="207" t="s">
        <v>99</v>
      </c>
      <c r="C126" s="211">
        <v>45078</v>
      </c>
      <c r="D126" s="209" t="s">
        <v>168</v>
      </c>
      <c r="E126" s="209">
        <v>2</v>
      </c>
      <c r="F126" s="46">
        <v>17900</v>
      </c>
      <c r="G126" s="49" t="s">
        <v>45</v>
      </c>
      <c r="H126" s="49">
        <f>E126*F126</f>
        <v>35800</v>
      </c>
      <c r="I126" s="49" t="s">
        <v>317</v>
      </c>
      <c r="J126" s="52">
        <v>0.05</v>
      </c>
      <c r="K126" s="215">
        <f>H126-(H126*J126)</f>
        <v>34010</v>
      </c>
      <c r="L126" s="107">
        <v>1475.1378</v>
      </c>
      <c r="M126" s="212">
        <v>1134.5875000000001</v>
      </c>
      <c r="N126" s="14">
        <f t="shared" si="17"/>
        <v>26158.45168837786</v>
      </c>
      <c r="O126" s="56">
        <v>249.5</v>
      </c>
      <c r="P126" s="49" t="s">
        <v>23</v>
      </c>
      <c r="Q126" s="49">
        <f>R126/E126</f>
        <v>68.156312625250507</v>
      </c>
      <c r="R126" s="58">
        <f>K126/O126</f>
        <v>136.31262525050101</v>
      </c>
    </row>
    <row r="127" spans="1:18" ht="17.399999999999999" x14ac:dyDescent="0.3">
      <c r="A127" s="100" t="s">
        <v>0</v>
      </c>
      <c r="B127" s="101"/>
      <c r="C127" s="101"/>
      <c r="D127" s="101"/>
      <c r="E127" s="101"/>
      <c r="F127" s="102"/>
      <c r="G127" s="101"/>
      <c r="H127" s="101"/>
      <c r="I127" s="101"/>
      <c r="J127" s="101"/>
      <c r="K127" s="101"/>
      <c r="L127" s="101"/>
      <c r="M127" s="101"/>
      <c r="N127" s="206">
        <f>SUM(N4:N126)</f>
        <v>62717417.953571707</v>
      </c>
      <c r="O127" s="101"/>
      <c r="P127" s="101"/>
      <c r="Q127" s="101"/>
      <c r="R127" s="66">
        <f>SUM(R5:R125)</f>
        <v>268971.51004846231</v>
      </c>
    </row>
    <row r="128" spans="1:18" ht="15.6" x14ac:dyDescent="0.3">
      <c r="Q128" s="54"/>
    </row>
    <row r="129" spans="8:18" ht="15.6" x14ac:dyDescent="0.3">
      <c r="Q129" s="54"/>
    </row>
    <row r="130" spans="8:18" ht="15.6" x14ac:dyDescent="0.3">
      <c r="Q130" s="54"/>
      <c r="R130" s="35"/>
    </row>
    <row r="131" spans="8:18" ht="15.6" x14ac:dyDescent="0.3">
      <c r="Q131" s="54"/>
      <c r="R131" s="2"/>
    </row>
    <row r="132" spans="8:18" x14ac:dyDescent="0.3">
      <c r="R132" s="2"/>
    </row>
    <row r="133" spans="8:18" x14ac:dyDescent="0.3">
      <c r="K133" s="2"/>
      <c r="L133" s="2"/>
      <c r="M133" s="2"/>
      <c r="N133" s="2"/>
      <c r="R133" s="2"/>
    </row>
    <row r="136" spans="8:18" x14ac:dyDescent="0.3">
      <c r="H136" s="2"/>
    </row>
  </sheetData>
  <mergeCells count="3">
    <mergeCell ref="U1:AF1"/>
    <mergeCell ref="A1:R1"/>
    <mergeCell ref="A3:R3"/>
  </mergeCells>
  <pageMargins left="0.7" right="0.7" top="0.75" bottom="0.75" header="0.3" footer="0.3"/>
  <pageSetup paperSize="9" orientation="portrait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7AF6E-BCB5-4B20-ADDC-F03703E42401}">
  <dimension ref="A1:O38"/>
  <sheetViews>
    <sheetView zoomScale="59" workbookViewId="0">
      <selection activeCell="I1" sqref="I1:O1"/>
    </sheetView>
  </sheetViews>
  <sheetFormatPr baseColWidth="10" defaultRowHeight="14.4" x14ac:dyDescent="0.3"/>
  <cols>
    <col min="1" max="1" width="11.5546875" customWidth="1"/>
    <col min="2" max="2" width="16.88671875" bestFit="1" customWidth="1"/>
    <col min="3" max="3" width="7.109375" bestFit="1" customWidth="1"/>
    <col min="4" max="4" width="13.21875" bestFit="1" customWidth="1"/>
    <col min="5" max="5" width="17.44140625" bestFit="1" customWidth="1"/>
    <col min="6" max="6" width="23.33203125" bestFit="1" customWidth="1"/>
    <col min="9" max="9" width="14.21875" bestFit="1" customWidth="1"/>
    <col min="10" max="10" width="17.33203125" customWidth="1"/>
    <col min="11" max="11" width="40.33203125" bestFit="1" customWidth="1"/>
    <col min="12" max="12" width="26.6640625" bestFit="1" customWidth="1"/>
    <col min="13" max="13" width="21.6640625" bestFit="1" customWidth="1"/>
    <col min="14" max="14" width="17.33203125" bestFit="1" customWidth="1"/>
    <col min="15" max="15" width="21.6640625" customWidth="1"/>
  </cols>
  <sheetData>
    <row r="1" spans="1:15" ht="16.8" x14ac:dyDescent="0.3">
      <c r="A1" s="643" t="s">
        <v>430</v>
      </c>
      <c r="B1" s="643"/>
      <c r="C1" s="643"/>
      <c r="D1" s="643"/>
      <c r="E1" s="643"/>
      <c r="F1" s="643"/>
      <c r="I1" s="643" t="s">
        <v>429</v>
      </c>
      <c r="J1" s="643"/>
      <c r="K1" s="643"/>
      <c r="L1" s="643"/>
      <c r="M1" s="643"/>
      <c r="N1" s="643"/>
      <c r="O1" s="643"/>
    </row>
    <row r="2" spans="1:15" ht="15.6" x14ac:dyDescent="0.3">
      <c r="A2" s="10" t="s">
        <v>13</v>
      </c>
      <c r="B2" s="10" t="s">
        <v>245</v>
      </c>
      <c r="C2" s="10" t="s">
        <v>247</v>
      </c>
      <c r="D2" s="10" t="s">
        <v>11</v>
      </c>
      <c r="E2" s="113" t="s">
        <v>244</v>
      </c>
      <c r="F2" s="113" t="s">
        <v>264</v>
      </c>
      <c r="I2" s="21" t="s">
        <v>13</v>
      </c>
      <c r="J2" s="10" t="s">
        <v>378</v>
      </c>
      <c r="K2" s="10" t="s">
        <v>381</v>
      </c>
      <c r="L2" s="10" t="s">
        <v>379</v>
      </c>
      <c r="M2" s="10" t="s">
        <v>382</v>
      </c>
      <c r="N2" s="21" t="s">
        <v>380</v>
      </c>
      <c r="O2" s="10" t="s">
        <v>383</v>
      </c>
    </row>
    <row r="3" spans="1:15" ht="15.6" x14ac:dyDescent="0.3">
      <c r="A3" s="13">
        <v>43831</v>
      </c>
      <c r="B3" s="31">
        <v>63</v>
      </c>
      <c r="C3" s="90">
        <v>286.49130000000002</v>
      </c>
      <c r="D3" s="119">
        <v>1134.5875000000001</v>
      </c>
      <c r="E3" s="31">
        <f>21173.92-3085.76-342.86-571.44</f>
        <v>17173.859999999997</v>
      </c>
      <c r="F3" s="31">
        <f>(E3*D3)/C3</f>
        <v>68013.398252407642</v>
      </c>
      <c r="I3" s="120" t="s">
        <v>274</v>
      </c>
      <c r="J3" s="124">
        <v>17173.859999999997</v>
      </c>
      <c r="K3" s="121">
        <v>68013.398252407642</v>
      </c>
      <c r="L3" s="121">
        <v>31583.02</v>
      </c>
      <c r="M3" s="121">
        <v>92012.127256478052</v>
      </c>
      <c r="N3" s="219">
        <v>37815.199999999997</v>
      </c>
      <c r="O3" s="221">
        <v>72300.421049509619</v>
      </c>
    </row>
    <row r="4" spans="1:15" ht="15.6" x14ac:dyDescent="0.3">
      <c r="A4" s="13">
        <v>43862</v>
      </c>
      <c r="B4" s="31">
        <v>63.305555555555557</v>
      </c>
      <c r="C4" s="90">
        <v>291.73700000000002</v>
      </c>
      <c r="D4" s="119">
        <v>1134.5875000000001</v>
      </c>
      <c r="E4" s="31">
        <f>63717.12-10394-1154.89-76.99</f>
        <v>52091.240000000005</v>
      </c>
      <c r="F4" s="31">
        <f t="shared" ref="F4:F38" si="0">(E4*D4)/C4</f>
        <v>202586.81539708714</v>
      </c>
      <c r="I4" s="120" t="s">
        <v>275</v>
      </c>
      <c r="J4" s="124">
        <v>52091.240000000005</v>
      </c>
      <c r="K4" s="121">
        <v>202586.81539708714</v>
      </c>
      <c r="L4" s="121">
        <v>38733.090000000004</v>
      </c>
      <c r="M4" s="121">
        <v>108916.1584294624</v>
      </c>
      <c r="N4" s="219">
        <v>18006.41</v>
      </c>
      <c r="O4" s="221">
        <v>32924.777854199034</v>
      </c>
    </row>
    <row r="5" spans="1:15" ht="15.6" x14ac:dyDescent="0.3">
      <c r="A5" s="13">
        <v>43891</v>
      </c>
      <c r="B5" s="31">
        <v>64.565789473684205</v>
      </c>
      <c r="C5" s="90">
        <v>302.22739999999999</v>
      </c>
      <c r="D5" s="119">
        <v>1134.5875000000001</v>
      </c>
      <c r="E5" s="31">
        <f>46560.02-7497.66-833.07-55.54</f>
        <v>38173.75</v>
      </c>
      <c r="F5" s="31">
        <f>(E5*D5)/C5</f>
        <v>143307.52135023166</v>
      </c>
      <c r="I5" s="120" t="s">
        <v>228</v>
      </c>
      <c r="J5" s="124">
        <v>38173.75</v>
      </c>
      <c r="K5" s="121">
        <v>143307.52135023166</v>
      </c>
      <c r="L5" s="121">
        <v>17199.019999999997</v>
      </c>
      <c r="M5" s="121">
        <v>45973.881036904124</v>
      </c>
      <c r="N5" s="219">
        <v>42272.450000000012</v>
      </c>
      <c r="O5" s="221">
        <v>72464.200404030256</v>
      </c>
    </row>
    <row r="6" spans="1:15" ht="15.6" x14ac:dyDescent="0.3">
      <c r="A6" s="13">
        <v>43922</v>
      </c>
      <c r="B6" s="31">
        <v>67.25</v>
      </c>
      <c r="C6" s="90">
        <v>306.44830000000002</v>
      </c>
      <c r="D6" s="119">
        <v>1134.5875000000001</v>
      </c>
      <c r="E6" s="31">
        <f>35559.8-5467.21-607.47-1012.45</f>
        <v>28472.670000000002</v>
      </c>
      <c r="F6" s="31">
        <f t="shared" si="0"/>
        <v>105416.59220698892</v>
      </c>
      <c r="I6" s="120" t="s">
        <v>276</v>
      </c>
      <c r="J6" s="124">
        <v>28472.670000000002</v>
      </c>
      <c r="K6" s="121">
        <v>105416.59220698892</v>
      </c>
      <c r="L6" s="121">
        <v>32690.390000000003</v>
      </c>
      <c r="M6" s="121">
        <v>83934.115337506271</v>
      </c>
      <c r="N6" s="219">
        <v>16343.8</v>
      </c>
      <c r="O6" s="221">
        <v>26384.043889054097</v>
      </c>
    </row>
    <row r="7" spans="1:15" ht="15.6" x14ac:dyDescent="0.3">
      <c r="A7" s="13">
        <v>43952</v>
      </c>
      <c r="B7" s="31">
        <v>69.71052631578948</v>
      </c>
      <c r="C7" s="90">
        <v>311.09219999999999</v>
      </c>
      <c r="D7" s="119">
        <v>1134.5875000000001</v>
      </c>
      <c r="E7" s="31">
        <f>18837.58- 2786.06-309.56-619.13</f>
        <v>15122.830000000004</v>
      </c>
      <c r="F7" s="31">
        <f t="shared" si="0"/>
        <v>55154.625807477678</v>
      </c>
      <c r="I7" s="120" t="s">
        <v>277</v>
      </c>
      <c r="J7" s="124">
        <v>15122.830000000004</v>
      </c>
      <c r="K7" s="121">
        <v>55154.625807477678</v>
      </c>
      <c r="L7" s="121">
        <v>16186.89</v>
      </c>
      <c r="M7" s="121">
        <v>40205.827543326675</v>
      </c>
      <c r="N7" s="219">
        <v>25179.059999999998</v>
      </c>
      <c r="O7" s="221">
        <v>38795.83789606957</v>
      </c>
    </row>
    <row r="8" spans="1:15" ht="15.6" x14ac:dyDescent="0.3">
      <c r="A8" s="13">
        <v>43983</v>
      </c>
      <c r="B8" s="31">
        <v>71.964285714285708</v>
      </c>
      <c r="C8" s="90">
        <v>317.46609999999998</v>
      </c>
      <c r="D8" s="119">
        <v>1134.5875000000001</v>
      </c>
      <c r="E8" s="31">
        <f>24282.48-3724.7-413.86</f>
        <v>20143.919999999998</v>
      </c>
      <c r="F8" s="31">
        <f t="shared" si="0"/>
        <v>71992.064138501722</v>
      </c>
      <c r="I8" s="120" t="s">
        <v>278</v>
      </c>
      <c r="J8" s="124">
        <v>20143.919999999998</v>
      </c>
      <c r="K8" s="121">
        <v>71992.064138501722</v>
      </c>
      <c r="L8" s="121">
        <v>22695.499999999996</v>
      </c>
      <c r="M8" s="121">
        <v>54696.061476706942</v>
      </c>
      <c r="N8" s="219">
        <v>27257.25</v>
      </c>
      <c r="O8" s="221">
        <v>39818.367070362307</v>
      </c>
    </row>
    <row r="9" spans="1:15" ht="15.6" x14ac:dyDescent="0.3">
      <c r="A9" s="13">
        <v>44013</v>
      </c>
      <c r="B9" s="31">
        <v>75.05952380952381</v>
      </c>
      <c r="C9" s="90">
        <v>322.67910000000001</v>
      </c>
      <c r="D9" s="119">
        <v>1134.5875000000001</v>
      </c>
      <c r="E9" s="31">
        <f>20371.91-3060.64-340.07</f>
        <v>16971.2</v>
      </c>
      <c r="F9" s="31">
        <f t="shared" si="0"/>
        <v>59673.252404633589</v>
      </c>
      <c r="I9" s="120" t="s">
        <v>279</v>
      </c>
      <c r="J9" s="124">
        <v>16971.2</v>
      </c>
      <c r="K9" s="121">
        <v>59673.252404633589</v>
      </c>
      <c r="L9" s="121">
        <v>18530.810000000001</v>
      </c>
      <c r="M9" s="121">
        <v>43323.036117751864</v>
      </c>
      <c r="N9" s="219">
        <v>20692.509999999998</v>
      </c>
      <c r="O9" s="221">
        <v>28154.169113583885</v>
      </c>
    </row>
    <row r="10" spans="1:15" ht="15.6" x14ac:dyDescent="0.3">
      <c r="A10" s="13">
        <v>44044</v>
      </c>
      <c r="B10" s="31">
        <v>77.287499999999994</v>
      </c>
      <c r="C10" s="90">
        <v>331.69569999999999</v>
      </c>
      <c r="D10" s="119">
        <v>1134.5875000000001</v>
      </c>
      <c r="E10" s="31">
        <f>24619.73-3781.97-420.22</f>
        <v>20417.539999999997</v>
      </c>
      <c r="F10" s="31">
        <f t="shared" si="0"/>
        <v>69839.571826677275</v>
      </c>
      <c r="I10" s="120" t="s">
        <v>280</v>
      </c>
      <c r="J10" s="124">
        <v>20417.539999999997</v>
      </c>
      <c r="K10" s="121">
        <v>69839.571826677275</v>
      </c>
      <c r="L10" s="121">
        <v>23046.690000000002</v>
      </c>
      <c r="M10" s="121">
        <v>52513.633529967949</v>
      </c>
      <c r="N10" s="219">
        <v>32569.580000000005</v>
      </c>
      <c r="O10" s="221">
        <v>41434.094202114487</v>
      </c>
    </row>
    <row r="11" spans="1:15" ht="15.6" x14ac:dyDescent="0.3">
      <c r="A11" s="13">
        <v>44075</v>
      </c>
      <c r="B11" s="31">
        <v>79.13636363636364</v>
      </c>
      <c r="C11" s="90">
        <v>340.90199999999999</v>
      </c>
      <c r="D11" s="119">
        <v>1134.5875000000001</v>
      </c>
      <c r="E11" s="31">
        <f>25944.97-3993.42-443.71</f>
        <v>21507.840000000004</v>
      </c>
      <c r="F11" s="31">
        <f t="shared" si="0"/>
        <v>71582.233064047745</v>
      </c>
      <c r="I11" s="120" t="s">
        <v>281</v>
      </c>
      <c r="J11" s="124">
        <v>21507.840000000004</v>
      </c>
      <c r="K11" s="121">
        <v>71582.233064047745</v>
      </c>
      <c r="L11" s="121">
        <v>21506.440000000002</v>
      </c>
      <c r="M11" s="121">
        <v>47193.29260844129</v>
      </c>
      <c r="N11" s="219">
        <v>32467.81</v>
      </c>
      <c r="O11" s="221">
        <v>38953.378675885891</v>
      </c>
    </row>
    <row r="12" spans="1:15" ht="15.6" x14ac:dyDescent="0.3">
      <c r="A12" s="13">
        <v>44105</v>
      </c>
      <c r="B12" s="31">
        <v>82.547619047619051</v>
      </c>
      <c r="C12" s="90">
        <v>353.0444</v>
      </c>
      <c r="D12" s="119">
        <v>1134.5875000000001</v>
      </c>
      <c r="E12" s="31">
        <f>22186.29- 3355.16- 372.8</f>
        <v>18458.330000000002</v>
      </c>
      <c r="F12" s="31">
        <f t="shared" si="0"/>
        <v>59319.990598562123</v>
      </c>
      <c r="I12" s="120" t="s">
        <v>282</v>
      </c>
      <c r="J12" s="124">
        <v>18458.330000000002</v>
      </c>
      <c r="K12" s="121">
        <v>59319.990598562123</v>
      </c>
      <c r="L12" s="121">
        <v>21572.379999999997</v>
      </c>
      <c r="M12" s="121">
        <v>45617.563970725147</v>
      </c>
      <c r="N12" s="219">
        <v>36610.370000000003</v>
      </c>
      <c r="O12" s="221">
        <v>41223.237925101297</v>
      </c>
    </row>
    <row r="13" spans="1:15" ht="15.6" x14ac:dyDescent="0.3">
      <c r="A13" s="13">
        <v>44136</v>
      </c>
      <c r="B13" s="31">
        <v>85.118421052631575</v>
      </c>
      <c r="C13" s="90">
        <v>363.53809999999999</v>
      </c>
      <c r="D13" s="119">
        <v>1134.5875000000001</v>
      </c>
      <c r="E13" s="31">
        <f>30296.49-4732.35-525.82</f>
        <v>25038.32</v>
      </c>
      <c r="F13" s="31">
        <f t="shared" si="0"/>
        <v>78143.569801899735</v>
      </c>
      <c r="I13" s="120" t="s">
        <v>283</v>
      </c>
      <c r="J13" s="124">
        <v>25038.32</v>
      </c>
      <c r="K13" s="121">
        <v>78143.569801899735</v>
      </c>
      <c r="L13" s="121">
        <v>18479.28</v>
      </c>
      <c r="M13" s="121">
        <v>38210.46320506397</v>
      </c>
      <c r="N13" s="219">
        <v>44895.729999999996</v>
      </c>
      <c r="O13" s="221">
        <v>48145.566051893446</v>
      </c>
    </row>
    <row r="14" spans="1:15" ht="15.6" x14ac:dyDescent="0.3">
      <c r="A14" s="13">
        <v>44166</v>
      </c>
      <c r="B14" s="31">
        <v>87.75</v>
      </c>
      <c r="C14" s="90">
        <v>377.05070000000001</v>
      </c>
      <c r="D14" s="119">
        <v>1134.5875000000001</v>
      </c>
      <c r="E14" s="31">
        <f>28114.75-4361.87- 484.65</f>
        <v>23268.23</v>
      </c>
      <c r="F14" s="31">
        <f t="shared" si="0"/>
        <v>70016.692463705811</v>
      </c>
      <c r="I14" s="122" t="s">
        <v>284</v>
      </c>
      <c r="J14" s="125">
        <v>23268.23</v>
      </c>
      <c r="K14" s="123">
        <v>70016.692463705811</v>
      </c>
      <c r="L14" s="123">
        <v>14012.78</v>
      </c>
      <c r="M14" s="123">
        <v>27843.744188027948</v>
      </c>
      <c r="N14" s="220">
        <v>71702.55</v>
      </c>
      <c r="O14" s="222">
        <v>72992.549587792557</v>
      </c>
    </row>
    <row r="15" spans="1:15" ht="15.6" x14ac:dyDescent="0.3">
      <c r="A15" s="13">
        <v>44197</v>
      </c>
      <c r="B15" s="31">
        <v>90.9375</v>
      </c>
      <c r="C15" s="90">
        <v>389.44540000000001</v>
      </c>
      <c r="D15" s="119">
        <v>1134.5875000000001</v>
      </c>
      <c r="E15" s="31">
        <f>38326-6068.68-674.3</f>
        <v>31583.02</v>
      </c>
      <c r="F15" s="31">
        <f t="shared" si="0"/>
        <v>92012.127256478052</v>
      </c>
      <c r="I15" s="223" t="s">
        <v>0</v>
      </c>
      <c r="J15" s="224">
        <f t="shared" ref="J15:O15" si="1">SUM(J3:J14)</f>
        <v>296839.73000000004</v>
      </c>
      <c r="K15" s="224">
        <f t="shared" si="1"/>
        <v>1055046.3273122211</v>
      </c>
      <c r="L15" s="224">
        <f t="shared" si="1"/>
        <v>276236.29000000004</v>
      </c>
      <c r="M15" s="224">
        <f t="shared" si="1"/>
        <v>680439.90470036259</v>
      </c>
      <c r="N15" s="224">
        <f t="shared" si="1"/>
        <v>405812.72000000003</v>
      </c>
      <c r="O15" s="225">
        <f t="shared" si="1"/>
        <v>553590.64371959656</v>
      </c>
    </row>
    <row r="16" spans="1:15" ht="15.6" x14ac:dyDescent="0.3">
      <c r="A16" s="13">
        <v>44228</v>
      </c>
      <c r="B16" s="31">
        <v>93.527777777777771</v>
      </c>
      <c r="C16" s="90">
        <v>403.48540000000003</v>
      </c>
      <c r="D16" s="119">
        <v>1134.5875000000001</v>
      </c>
      <c r="E16" s="31">
        <f>47103.75-7533.59- 837.07</f>
        <v>38733.090000000004</v>
      </c>
      <c r="F16" s="31">
        <f t="shared" si="0"/>
        <v>108916.1584294624</v>
      </c>
      <c r="I16" s="226" t="s">
        <v>384</v>
      </c>
      <c r="J16" s="227">
        <f t="shared" ref="J16:O16" si="2">SUM(J7:J14)</f>
        <v>160928.21</v>
      </c>
      <c r="K16" s="227">
        <f>SUM(K7:K14)</f>
        <v>535722.00010550569</v>
      </c>
      <c r="L16" s="227">
        <f t="shared" si="2"/>
        <v>156030.76999999999</v>
      </c>
      <c r="M16" s="227">
        <f t="shared" si="2"/>
        <v>349603.62264001177</v>
      </c>
      <c r="N16" s="227">
        <f t="shared" si="2"/>
        <v>291374.86</v>
      </c>
      <c r="O16" s="228">
        <f t="shared" si="2"/>
        <v>349517.20052280347</v>
      </c>
    </row>
    <row r="17" spans="1:15" ht="15.6" x14ac:dyDescent="0.3">
      <c r="A17" s="13">
        <v>44256</v>
      </c>
      <c r="B17" s="31">
        <v>96.090909090909093</v>
      </c>
      <c r="C17" s="90">
        <v>424.45389999999998</v>
      </c>
      <c r="D17" s="119">
        <v>1134.5875000000001</v>
      </c>
      <c r="E17" s="31">
        <f>20509.85-2979.75-331.08</f>
        <v>17199.019999999997</v>
      </c>
      <c r="F17" s="31">
        <f t="shared" si="0"/>
        <v>45973.881036904124</v>
      </c>
      <c r="I17" s="226" t="s">
        <v>385</v>
      </c>
      <c r="J17" s="227">
        <f t="shared" ref="J17:O17" si="3">SUM(J3:J6)</f>
        <v>135911.52000000002</v>
      </c>
      <c r="K17" s="227">
        <f t="shared" si="3"/>
        <v>519324.32720671536</v>
      </c>
      <c r="L17" s="227">
        <f t="shared" si="3"/>
        <v>120205.52</v>
      </c>
      <c r="M17" s="227">
        <f t="shared" si="3"/>
        <v>330836.28206035087</v>
      </c>
      <c r="N17" s="227">
        <f t="shared" si="3"/>
        <v>114437.86000000002</v>
      </c>
      <c r="O17" s="228">
        <f t="shared" si="3"/>
        <v>204073.44319679303</v>
      </c>
    </row>
    <row r="18" spans="1:15" ht="15.6" x14ac:dyDescent="0.3">
      <c r="A18" s="13">
        <v>44287</v>
      </c>
      <c r="B18" s="31">
        <v>98.2</v>
      </c>
      <c r="C18" s="90">
        <v>441.89550000000003</v>
      </c>
      <c r="D18" s="119">
        <v>1134.5875000000001</v>
      </c>
      <c r="E18" s="31">
        <f>40167.4-6729.31-747.7</f>
        <v>32690.390000000003</v>
      </c>
      <c r="F18" s="31">
        <f t="shared" si="0"/>
        <v>83934.115337506271</v>
      </c>
    </row>
    <row r="19" spans="1:15" ht="15.6" x14ac:dyDescent="0.3">
      <c r="A19" s="13">
        <v>44317</v>
      </c>
      <c r="B19" s="31">
        <v>99.171052631578945</v>
      </c>
      <c r="C19" s="90">
        <v>456.78559999999999</v>
      </c>
      <c r="D19" s="119">
        <v>1134.5875000000001</v>
      </c>
      <c r="E19" s="31">
        <f>19850.17-3275.12- 363.9-24.26</f>
        <v>16186.89</v>
      </c>
      <c r="F19" s="31">
        <f t="shared" si="0"/>
        <v>40205.827543326675</v>
      </c>
      <c r="J19" s="10" t="s">
        <v>10</v>
      </c>
      <c r="K19" s="10" t="s">
        <v>421</v>
      </c>
    </row>
    <row r="20" spans="1:15" ht="15.6" x14ac:dyDescent="0.3">
      <c r="A20" s="13">
        <v>44348</v>
      </c>
      <c r="B20" s="31">
        <v>100.2380952380952</v>
      </c>
      <c r="C20" s="90">
        <v>470.78399999999999</v>
      </c>
      <c r="D20" s="119">
        <v>1134.5875000000001</v>
      </c>
      <c r="E20" s="31">
        <f>28753.87- 4673.6-519.29- 865.48</f>
        <v>22695.499999999996</v>
      </c>
      <c r="F20" s="31">
        <f t="shared" si="0"/>
        <v>54696.061476706942</v>
      </c>
      <c r="J20" s="128">
        <v>2020</v>
      </c>
      <c r="K20" s="117">
        <f>K15</f>
        <v>1055046.3273122211</v>
      </c>
    </row>
    <row r="21" spans="1:15" ht="15.6" x14ac:dyDescent="0.3">
      <c r="A21" s="13">
        <v>44378</v>
      </c>
      <c r="B21" s="31">
        <v>101.3095238095238</v>
      </c>
      <c r="C21" s="90">
        <v>485.30360000000002</v>
      </c>
      <c r="D21" s="119">
        <v>1134.5875000000001</v>
      </c>
      <c r="E21" s="31">
        <f>22775.72- 3795.12-421.68-28.11</f>
        <v>18530.810000000001</v>
      </c>
      <c r="F21" s="31">
        <f t="shared" si="0"/>
        <v>43323.036117751864</v>
      </c>
      <c r="J21" s="128">
        <v>2021</v>
      </c>
      <c r="K21" s="130">
        <f>M15</f>
        <v>680439.90470036259</v>
      </c>
    </row>
    <row r="22" spans="1:15" ht="15.6" x14ac:dyDescent="0.3">
      <c r="A22" s="13">
        <v>44409</v>
      </c>
      <c r="B22" s="31">
        <v>102.28571428571431</v>
      </c>
      <c r="C22" s="90">
        <v>497.93709999999999</v>
      </c>
      <c r="D22" s="119">
        <v>1134.5875000000001</v>
      </c>
      <c r="E22" s="31">
        <f>28357.06-4747.68-527.52-35.17</f>
        <v>23046.690000000002</v>
      </c>
      <c r="F22" s="31">
        <f t="shared" si="0"/>
        <v>52513.633529967949</v>
      </c>
      <c r="J22" s="129">
        <v>2022</v>
      </c>
      <c r="K22" s="131">
        <f>O15</f>
        <v>553590.64371959656</v>
      </c>
    </row>
    <row r="23" spans="1:15" ht="15.6" x14ac:dyDescent="0.3">
      <c r="A23" s="13">
        <v>44440</v>
      </c>
      <c r="B23" s="31">
        <v>103.4431818181818</v>
      </c>
      <c r="C23" s="90">
        <v>517.04250000000002</v>
      </c>
      <c r="D23" s="119">
        <v>1134.5875000000001</v>
      </c>
      <c r="E23" s="31">
        <f>26391.58- 4396.63-488.51</f>
        <v>21506.440000000002</v>
      </c>
      <c r="F23" s="31">
        <f t="shared" si="0"/>
        <v>47193.29260844129</v>
      </c>
      <c r="J23" s="129"/>
      <c r="K23" s="29"/>
    </row>
    <row r="24" spans="1:15" ht="15.6" x14ac:dyDescent="0.3">
      <c r="A24" s="13">
        <v>44470</v>
      </c>
      <c r="B24" s="31">
        <v>104.5263157894737</v>
      </c>
      <c r="C24" s="90">
        <v>536.54229999999995</v>
      </c>
      <c r="D24" s="119">
        <v>1134.5875000000001</v>
      </c>
      <c r="E24" s="31">
        <f>26472.98-4410.54-490.06</f>
        <v>21572.379999999997</v>
      </c>
      <c r="F24" s="31">
        <f t="shared" si="0"/>
        <v>45617.563970725147</v>
      </c>
      <c r="J24" s="10" t="s">
        <v>10</v>
      </c>
      <c r="K24" s="10" t="s">
        <v>387</v>
      </c>
      <c r="L24" s="10" t="s">
        <v>386</v>
      </c>
    </row>
    <row r="25" spans="1:15" ht="15.6" customHeight="1" x14ac:dyDescent="0.3">
      <c r="A25" s="13">
        <v>44501</v>
      </c>
      <c r="B25" s="31">
        <v>105.4285714285714</v>
      </c>
      <c r="C25" s="90">
        <v>548.70730000000003</v>
      </c>
      <c r="D25" s="119">
        <v>1134.5875000000001</v>
      </c>
      <c r="E25" s="31">
        <f>22654.94-3758.09- 417.57</f>
        <v>18479.28</v>
      </c>
      <c r="F25" s="31">
        <f t="shared" si="0"/>
        <v>38210.46320506397</v>
      </c>
      <c r="J25" s="678">
        <v>2020</v>
      </c>
      <c r="K25" s="151" t="s">
        <v>554</v>
      </c>
      <c r="L25" s="117">
        <f>K17</f>
        <v>519324.32720671536</v>
      </c>
    </row>
    <row r="26" spans="1:15" ht="15.6" customHeight="1" x14ac:dyDescent="0.3">
      <c r="A26" s="13">
        <v>44531</v>
      </c>
      <c r="B26" s="31">
        <v>106.95</v>
      </c>
      <c r="C26" s="90">
        <v>570.99810000000002</v>
      </c>
      <c r="D26" s="119">
        <v>1134.5875000000001</v>
      </c>
      <c r="E26" s="31">
        <f>16660.11-2366.82- 262.98-17.53</f>
        <v>14012.78</v>
      </c>
      <c r="F26" s="31">
        <f t="shared" si="0"/>
        <v>27843.744188027948</v>
      </c>
      <c r="J26" s="677"/>
      <c r="K26" s="153" t="s">
        <v>555</v>
      </c>
      <c r="L26" s="131">
        <f>K16</f>
        <v>535722.00010550569</v>
      </c>
    </row>
    <row r="27" spans="1:15" ht="15.6" customHeight="1" x14ac:dyDescent="0.3">
      <c r="A27" s="13">
        <v>44562</v>
      </c>
      <c r="B27" s="31">
        <v>108.96428571428569</v>
      </c>
      <c r="C27" s="90">
        <v>593.42190000000005</v>
      </c>
      <c r="D27" s="119">
        <v>1134.5875000000001</v>
      </c>
      <c r="E27" s="31">
        <f>46580.73-7836.73-870.75- 58.05</f>
        <v>37815.199999999997</v>
      </c>
      <c r="F27" s="31">
        <f t="shared" si="0"/>
        <v>72300.421049509619</v>
      </c>
      <c r="J27" s="678">
        <v>2021</v>
      </c>
      <c r="K27" s="151" t="s">
        <v>554</v>
      </c>
      <c r="L27" s="117">
        <f>M17</f>
        <v>330836.28206035087</v>
      </c>
    </row>
    <row r="28" spans="1:15" ht="15.6" customHeight="1" x14ac:dyDescent="0.3">
      <c r="A28" s="13">
        <v>44593</v>
      </c>
      <c r="B28" s="31">
        <v>111.53947368421051</v>
      </c>
      <c r="C28" s="90">
        <v>620.50070000000005</v>
      </c>
      <c r="D28" s="119">
        <v>1134.5875000000001</v>
      </c>
      <c r="E28" s="31">
        <f>21300.55-2945.09-327.23-21.82</f>
        <v>18006.41</v>
      </c>
      <c r="F28" s="31">
        <f t="shared" si="0"/>
        <v>32924.777854199034</v>
      </c>
      <c r="J28" s="677"/>
      <c r="K28" s="153" t="s">
        <v>555</v>
      </c>
      <c r="L28" s="131">
        <f>M16</f>
        <v>349603.62264001177</v>
      </c>
    </row>
    <row r="29" spans="1:15" ht="15.6" customHeight="1" x14ac:dyDescent="0.3">
      <c r="A29" s="13">
        <v>44621</v>
      </c>
      <c r="B29" s="31">
        <v>114.5833333333333</v>
      </c>
      <c r="C29" s="90">
        <v>661.86879999999996</v>
      </c>
      <c r="D29" s="119">
        <v>1134.5875000000001</v>
      </c>
      <c r="E29" s="31">
        <f>49238.48- 6227.91-691.99-46.13</f>
        <v>42272.450000000012</v>
      </c>
      <c r="F29" s="31">
        <f t="shared" si="0"/>
        <v>72464.200404030256</v>
      </c>
      <c r="J29" s="676">
        <v>2022</v>
      </c>
      <c r="K29" s="151" t="s">
        <v>554</v>
      </c>
      <c r="L29" s="130">
        <f>O17</f>
        <v>204073.44319679303</v>
      </c>
    </row>
    <row r="30" spans="1:15" ht="15.6" customHeight="1" x14ac:dyDescent="0.3">
      <c r="A30" s="13">
        <v>44652</v>
      </c>
      <c r="B30" s="31">
        <v>118.3552631578947</v>
      </c>
      <c r="C30" s="90">
        <v>702.82899999999995</v>
      </c>
      <c r="D30" s="119">
        <v>1134.5875000000001</v>
      </c>
      <c r="E30" s="31">
        <f>19463.6-2789.23-309.91-20.66</f>
        <v>16343.8</v>
      </c>
      <c r="F30" s="31">
        <f t="shared" si="0"/>
        <v>26384.043889054097</v>
      </c>
      <c r="J30" s="677"/>
      <c r="K30" s="153" t="s">
        <v>555</v>
      </c>
      <c r="L30" s="131">
        <f>O16</f>
        <v>349517.20052280347</v>
      </c>
    </row>
    <row r="31" spans="1:15" ht="15.6" x14ac:dyDescent="0.3">
      <c r="A31" s="13">
        <v>44682</v>
      </c>
      <c r="B31" s="31">
        <v>122.9</v>
      </c>
      <c r="C31" s="90">
        <v>736.36369999999999</v>
      </c>
      <c r="D31" s="119">
        <v>1134.5875000000001</v>
      </c>
      <c r="E31" s="31">
        <f>30143.87-4438.74- 493.19- 32.88</f>
        <v>25179.059999999998</v>
      </c>
      <c r="F31" s="31">
        <f t="shared" si="0"/>
        <v>38795.83789606957</v>
      </c>
    </row>
    <row r="32" spans="1:15" ht="15.6" x14ac:dyDescent="0.3">
      <c r="A32" s="13">
        <v>44713</v>
      </c>
      <c r="B32" s="31">
        <v>127.675</v>
      </c>
      <c r="C32" s="90">
        <v>776.67010000000005</v>
      </c>
      <c r="D32" s="119">
        <v>1134.5875000000001</v>
      </c>
      <c r="E32" s="31">
        <f>32610.44-4817.87-535.32</f>
        <v>27257.25</v>
      </c>
      <c r="F32" s="31">
        <f t="shared" si="0"/>
        <v>39818.367070362307</v>
      </c>
    </row>
    <row r="33" spans="1:6" ht="15.6" x14ac:dyDescent="0.3">
      <c r="A33" s="13">
        <v>44743</v>
      </c>
      <c r="B33" s="31">
        <v>134.72619047619051</v>
      </c>
      <c r="C33" s="90">
        <v>833.88940000000002</v>
      </c>
      <c r="D33" s="119">
        <v>1134.5875000000001</v>
      </c>
      <c r="E33" s="31">
        <f>25089.95-3957.7-439.74</f>
        <v>20692.509999999998</v>
      </c>
      <c r="F33" s="31">
        <f t="shared" si="0"/>
        <v>28154.169113583885</v>
      </c>
    </row>
    <row r="34" spans="1:6" ht="15.6" x14ac:dyDescent="0.3">
      <c r="A34" s="13">
        <v>44774</v>
      </c>
      <c r="B34" s="31">
        <v>141.64772727272731</v>
      </c>
      <c r="C34" s="90">
        <v>891.851</v>
      </c>
      <c r="D34" s="119">
        <v>1134.5875000000001</v>
      </c>
      <c r="E34" s="31">
        <f>39572.61- 6302.73-700.3</f>
        <v>32569.580000000005</v>
      </c>
      <c r="F34" s="31">
        <f t="shared" si="0"/>
        <v>41434.094202114487</v>
      </c>
    </row>
    <row r="35" spans="1:6" ht="15.6" x14ac:dyDescent="0.3">
      <c r="A35" s="13">
        <v>44805</v>
      </c>
      <c r="B35" s="31">
        <v>149.61904761904759</v>
      </c>
      <c r="C35" s="90">
        <v>945.68359999999996</v>
      </c>
      <c r="D35" s="119">
        <v>1134.5875000000001</v>
      </c>
      <c r="E35" s="31">
        <f>39437.18-6272.43-696.94</f>
        <v>32467.81</v>
      </c>
      <c r="F35" s="31">
        <f t="shared" si="0"/>
        <v>38953.378675885891</v>
      </c>
    </row>
    <row r="36" spans="1:6" ht="15.6" x14ac:dyDescent="0.3">
      <c r="A36" s="13">
        <v>44835</v>
      </c>
      <c r="B36" s="31">
        <v>158.61842105263159</v>
      </c>
      <c r="C36" s="90">
        <v>1007.6275000000001</v>
      </c>
      <c r="D36" s="119">
        <v>1134.5875000000001</v>
      </c>
      <c r="E36" s="31">
        <f>44515.54- 7114.65-790.52</f>
        <v>36610.370000000003</v>
      </c>
      <c r="F36" s="31">
        <f t="shared" si="0"/>
        <v>41223.237925101297</v>
      </c>
    </row>
    <row r="37" spans="1:6" ht="15.6" x14ac:dyDescent="0.3">
      <c r="A37" s="13">
        <v>44866</v>
      </c>
      <c r="B37" s="31">
        <v>168.39285714285711</v>
      </c>
      <c r="C37" s="90">
        <v>1058.0026</v>
      </c>
      <c r="D37" s="119">
        <v>1134.5875000000001</v>
      </c>
      <c r="E37" s="31">
        <f>51716.56-6138.75-682.08</f>
        <v>44895.729999999996</v>
      </c>
      <c r="F37" s="31">
        <f t="shared" si="0"/>
        <v>48145.566051893446</v>
      </c>
    </row>
    <row r="38" spans="1:6" ht="15.6" x14ac:dyDescent="0.3">
      <c r="A38" s="13">
        <v>44896</v>
      </c>
      <c r="B38" s="31">
        <v>179.28749999999999</v>
      </c>
      <c r="C38" s="90">
        <v>1114.5359000000001</v>
      </c>
      <c r="D38" s="119">
        <v>1134.5875000000001</v>
      </c>
      <c r="E38" s="31">
        <f>87489.05-14207.85-1578.65</f>
        <v>71702.55</v>
      </c>
      <c r="F38" s="31">
        <f t="shared" si="0"/>
        <v>72992.549587792557</v>
      </c>
    </row>
  </sheetData>
  <mergeCells count="5">
    <mergeCell ref="I1:O1"/>
    <mergeCell ref="J29:J30"/>
    <mergeCell ref="J27:J28"/>
    <mergeCell ref="J25:J26"/>
    <mergeCell ref="A1:F1"/>
  </mergeCells>
  <pageMargins left="0.7" right="0.7" top="0.75" bottom="0.75" header="0.3" footer="0.3"/>
  <ignoredErrors>
    <ignoredError sqref="J15:O15 J17:O17 J16 K16:O16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DCF</vt:lpstr>
      <vt:lpstr>Estado de Resultados</vt:lpstr>
      <vt:lpstr>Proyecciones económicas</vt:lpstr>
      <vt:lpstr>Ventas históricas</vt:lpstr>
      <vt:lpstr>Precios y Cant. hist.</vt:lpstr>
      <vt:lpstr>Costos hist. - Mano de Obra</vt:lpstr>
      <vt:lpstr>Hoja30</vt:lpstr>
      <vt:lpstr>Inversion Inicial</vt:lpstr>
      <vt:lpstr>Costos hist. - Energ. Eléctrica</vt:lpstr>
      <vt:lpstr>Costos hist. - GLP</vt:lpstr>
      <vt:lpstr>Costos estimados - Mant.</vt:lpstr>
      <vt:lpstr>Hoja2</vt:lpstr>
      <vt:lpstr>Bienes de Uso</vt:lpstr>
      <vt:lpstr>Impuestos históricos</vt:lpstr>
      <vt:lpstr>Capital de Trabajo (2022)</vt:lpstr>
      <vt:lpstr>CAPEX (2022)</vt:lpstr>
      <vt:lpstr>Tasa de Descuento</vt:lpstr>
      <vt:lpstr>SENASA - Faena de aves</vt:lpstr>
      <vt:lpstr>Analisis de Sensibilidad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OAS</dc:creator>
  <cp:lastModifiedBy>Lu</cp:lastModifiedBy>
  <cp:lastPrinted>2023-06-03T02:13:11Z</cp:lastPrinted>
  <dcterms:created xsi:type="dcterms:W3CDTF">2022-10-27T11:53:54Z</dcterms:created>
  <dcterms:modified xsi:type="dcterms:W3CDTF">2023-07-03T14:53:56Z</dcterms:modified>
</cp:coreProperties>
</file>